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44.xml" ContentType="application/vnd.openxmlformats-officedocument.spreadsheetml.worksheet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45.xml" ContentType="application/vnd.openxmlformats-officedocument.spreadsheetml.worksheet+xml"/>
  <Override PartName="/xl/worksheets/sheet2.xml" ContentType="application/vnd.openxmlformats-officedocument.spreadsheetml.worksheet+xml"/>
  <Override PartName="/xl/worksheets/sheet46.xml" ContentType="application/vnd.openxmlformats-officedocument.spreadsheetml.worksheet+xml"/>
  <Override PartName="/xl/worksheets/sheet3.xml" ContentType="application/vnd.openxmlformats-officedocument.spreadsheetml.worksheet+xml"/>
  <Override PartName="/xl/worksheets/sheet47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7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Item21" sheetId="21" state="visible" r:id="rId22"/>
    <sheet name="Item22" sheetId="22" state="visible" r:id="rId23"/>
    <sheet name="Item23" sheetId="23" state="visible" r:id="rId24"/>
    <sheet name="Item24" sheetId="24" state="visible" r:id="rId25"/>
    <sheet name="Item25" sheetId="25" state="visible" r:id="rId26"/>
    <sheet name="Item26" sheetId="26" state="visible" r:id="rId27"/>
    <sheet name="Item 27" sheetId="27" state="visible" r:id="rId28"/>
    <sheet name="Item28" sheetId="28" state="visible" r:id="rId29"/>
    <sheet name="Item29" sheetId="29" state="visible" r:id="rId30"/>
    <sheet name="Item30" sheetId="30" state="visible" r:id="rId31"/>
    <sheet name="Item31" sheetId="31" state="visible" r:id="rId32"/>
    <sheet name="Item32" sheetId="32" state="visible" r:id="rId33"/>
    <sheet name="Item33" sheetId="33" state="visible" r:id="rId34"/>
    <sheet name="Item 34" sheetId="34" state="visible" r:id="rId35"/>
    <sheet name="Item35" sheetId="35" state="visible" r:id="rId36"/>
    <sheet name="Item36" sheetId="36" state="visible" r:id="rId37"/>
    <sheet name="Item37" sheetId="37" state="visible" r:id="rId38"/>
    <sheet name="Item38" sheetId="38" state="visible" r:id="rId39"/>
    <sheet name="Item39" sheetId="39" state="visible" r:id="rId40"/>
    <sheet name="Item40" sheetId="40" state="visible" r:id="rId41"/>
    <sheet name="Item41" sheetId="41" state="visible" r:id="rId42"/>
    <sheet name="Item42" sheetId="42" state="visible" r:id="rId43"/>
    <sheet name=" Item43" sheetId="43" state="visible" r:id="rId44"/>
    <sheet name="Item44 " sheetId="44" state="visible" r:id="rId45"/>
    <sheet name="Item45" sheetId="45" state="visible" r:id="rId46"/>
    <sheet name="Item46" sheetId="46" state="visible" r:id="rId47"/>
    <sheet name="TOTAL" sheetId="47" state="visible" r:id="rId48"/>
  </sheets>
  <definedNames>
    <definedName function="false" hidden="false" localSheetId="46" name="_xlnm.Print_Titles" vbProcedure="false">TOTAL!$1:$2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<sst xmlns="http://schemas.openxmlformats.org/spreadsheetml/2006/main" count="1338" uniqueCount="271">
  <si>
    <t xml:space="preserve">ESTIMATIVA DO ITEM</t>
  </si>
  <si>
    <t xml:space="preserve">ITEM 1</t>
  </si>
  <si>
    <t xml:space="preserve">MATERIAL</t>
  </si>
  <si>
    <t xml:space="preserve">UNIDADE</t>
  </si>
  <si>
    <t xml:space="preserve">QUANT.</t>
  </si>
  <si>
    <t xml:space="preserve">FONTE DE PESQUISA</t>
  </si>
  <si>
    <t xml:space="preserve">PREÇOS</t>
  </si>
  <si>
    <t xml:space="preserve">DESCARTE</t>
  </si>
  <si>
    <t xml:space="preserve">Copo plástico descartável – para Água
Capacidade: 200 ml;
Material: Poliestireno;
De acordo com norma NBR 14865, da ABNT.
Acondicionados em tiras de 100 unidades. </t>
  </si>
  <si>
    <t xml:space="preserve">Centena</t>
  </si>
  <si>
    <t xml:space="preserve">RAMAX SERVICOS E COMERCIO DE ELETROELETRONICOS EIRELI</t>
  </si>
  <si>
    <t xml:space="preserve">W.M.W COMERCIAL E MATERIAIS DE LIMPEZA LTDA</t>
  </si>
  <si>
    <t xml:space="preserve">OCEANO B2B</t>
  </si>
  <si>
    <t xml:space="preserve">Contailista - Suprimentos para escritório </t>
  </si>
  <si>
    <t xml:space="preserve">KALUNGA</t>
  </si>
  <si>
    <t xml:space="preserve">DESVIO</t>
  </si>
  <si>
    <t xml:space="preserve">COEF.</t>
  </si>
  <si>
    <t xml:space="preserve">MÉDIA</t>
  </si>
  <si>
    <t xml:space="preserve">MÉDIA APÓS DESCARTE</t>
  </si>
  <si>
    <t xml:space="preserve">MEDIANA</t>
  </si>
  <si>
    <t xml:space="preserve">VALOR UNITÁRIO</t>
  </si>
  <si>
    <t xml:space="preserve">VALOR TOTAL</t>
  </si>
  <si>
    <t xml:space="preserve">Quantidade de preços coletados =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</si>
  <si>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</si>
  <si>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</si>
  <si>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</si>
  <si>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</si>
  <si>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</si>
  <si>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</si>
  <si>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</si>
  <si>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</si>
  <si>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Copo plástico descartável – para Café
Capacidade: 50 ml;
Material: Poliestireno;
De acordo com norma NBR 14865, da ABNT.
Acondicionados em tiras de 100 unidades. 
</t>
  </si>
  <si>
    <t xml:space="preserve"> RIBEIRO COMERCIO VAREJISTA E ATACADISTA EIRELI</t>
  </si>
  <si>
    <t xml:space="preserve">SUPRIMAX COMERCIAL LTDA</t>
  </si>
  <si>
    <t xml:space="preserve">GUERREIRO COMERCIO DE DESCARTAVEIS EIREL</t>
  </si>
  <si>
    <t xml:space="preserve">SANDRO PIERRE LOPES SANTANA SILVA </t>
  </si>
  <si>
    <t xml:space="preserve">CATIUSCIA DA COSTA SILVA</t>
  </si>
  <si>
    <t xml:space="preserve">ITEM 3</t>
  </si>
  <si>
    <t xml:space="preserve">Garrafa Térmica de Pressão
Capacidade: 1 litro;
Material: plástico;
Ampola de Vidro;
Indicação expressa de conformidade com a norma NBR 13282/98 da ABNT. </t>
  </si>
  <si>
    <t xml:space="preserve">unidade</t>
  </si>
  <si>
    <t xml:space="preserve">Invicta</t>
  </si>
  <si>
    <t xml:space="preserve">Top Cuias</t>
  </si>
  <si>
    <t xml:space="preserve">Shoptime</t>
  </si>
  <si>
    <t xml:space="preserve">ITEM 4</t>
  </si>
  <si>
    <t xml:space="preserve">Garrafa plástica para água mineral
Plástico, atóxico, transparente, resistente;
Capacidade: 20 litros;
Selo de adequação às normas ABNT NBR 14222, relativa ao seu processo de fabricação, e ABNT NBR 14328;
Fabricada no máximo a 6 meses contados da data de recebimento definitivo. 
</t>
  </si>
  <si>
    <t xml:space="preserve">TER AGUA LTDA - ME</t>
  </si>
  <si>
    <t xml:space="preserve">JOAO FERNANDES FILHO</t>
  </si>
  <si>
    <t xml:space="preserve">JET SUCO COMERCIO DE BEBIDAS E ALIMENTOS LTDA</t>
  </si>
  <si>
    <t xml:space="preserve">MARIA DO SOCORRO SANTOS BASILIO</t>
  </si>
  <si>
    <t xml:space="preserve">ANAUA EMPREENDIMENTOS EIRELI</t>
  </si>
  <si>
    <t xml:space="preserve">ITEM 5</t>
  </si>
  <si>
    <t xml:space="preserve">Guardanapo de papel
100% em fibras virgens;
Cor branca;
Dimensões mínimas: 20 x 23 cm;
Em embalagem plástica contendo no mínimo 48 unidades 
</t>
  </si>
  <si>
    <t xml:space="preserve">Pacote</t>
  </si>
  <si>
    <t xml:space="preserve">RAMAX SERVICOS E COMERCIO DE ELETROELETRONICOS EIREL</t>
  </si>
  <si>
    <t xml:space="preserve">WALBER CESAR MELO DA ROCHA</t>
  </si>
  <si>
    <t xml:space="preserve">ITEM 6</t>
  </si>
  <si>
    <t xml:space="preserve">Água sanitária
Solução aquosa a base de hipoclorito de sódio, com funções alvejante e desinfetante;
Frasco com 1.000 ml;
Embalagem com impressão do nome do fabricante e indicação de registro na ANVISA/MS.
Prazo de validade impresso na embalagem e não inferior a 11 meses contados da data de recebimento definitivo.
O material deverá estar acondicionado em caixas com até 24 unidades</t>
  </si>
  <si>
    <t xml:space="preserve">Frasco</t>
  </si>
  <si>
    <t xml:space="preserve">CASA ATLANTICO EIRELI</t>
  </si>
  <si>
    <t xml:space="preserve">MMV INDUSTRIA, COMERCIO E SERVICOS DE PRODUTOS DE LIMPEZA LTDA</t>
  </si>
  <si>
    <t xml:space="preserve">MARA CELIA DE ALMEIDA SANTOS</t>
  </si>
  <si>
    <t xml:space="preserve">ITEM 7</t>
  </si>
  <si>
    <t xml:space="preserve">Álcool Etílico em Gel 70%
Hidratado 70%;
Sem perfume
Frasco 500ml
Com informação de data de fabricação e número de lote;
Prazo de validade não inferior a 5 meses contados do recebimento definitivo.
Álcool destinado à assepsia das mãos 
</t>
  </si>
  <si>
    <t xml:space="preserve">Okulos</t>
  </si>
  <si>
    <t xml:space="preserve">Ponto Frio</t>
  </si>
  <si>
    <t xml:space="preserve">2020NE000678 PAD 3205/2020</t>
  </si>
  <si>
    <t xml:space="preserve">ITEM 8</t>
  </si>
  <si>
    <t xml:space="preserve">Álcool Etílico Hidratado Líquido
Mínimo de 70 º INPM; Frasco com 1.000ml;
O material deverá estar acondicionado em caixas com até 12 unidades;
Prazo de validade não inferior a 5 meses contados do recebimento definitivo</t>
  </si>
  <si>
    <t xml:space="preserve">FARMÁCIA PLANTÃO DE PAU DA LIMA</t>
  </si>
  <si>
    <t xml:space="preserve">GLOBAL DISTRIBUIDORA</t>
  </si>
  <si>
    <t xml:space="preserve">LINHA FORTE COMÉRCIO</t>
  </si>
  <si>
    <t xml:space="preserve">SOS COMÉRCIO </t>
  </si>
  <si>
    <t xml:space="preserve">ITEM 9</t>
  </si>
  <si>
    <t xml:space="preserve">Balde plástico de uso doméstico
Corpo em polipropileno;
Alça em metal;
Aro redondo;
Capacidade 20 L. </t>
  </si>
  <si>
    <t xml:space="preserve">CEPEL</t>
  </si>
  <si>
    <t xml:space="preserve">Americanas</t>
  </si>
  <si>
    <t xml:space="preserve">Casas Bahia </t>
  </si>
  <si>
    <t xml:space="preserve">ITEM 10</t>
  </si>
  <si>
    <t xml:space="preserve">Cesto para lixo
Em fibra;
Altura: 35cm;
Diâmetro superior: 31 cm;
Diâmetro da base: 23 cm;
Aros cromados;
Cor preta;
Variação permitida: ± 1,5 cm </t>
  </si>
  <si>
    <t xml:space="preserve">YOSHIMITSU OGAWA - EIRELI</t>
  </si>
  <si>
    <t xml:space="preserve">V. T. A. MACHADO DE ARRUDA EIRELI</t>
  </si>
  <si>
    <t xml:space="preserve">GCC COMERCIAL E SERVIÇOS PARA ESCRITÓRIO EIRELI</t>
  </si>
  <si>
    <t xml:space="preserve">ITEM 11</t>
  </si>
  <si>
    <t xml:space="preserve">Detergente líquido
Com tensoativo biodegradável, aroma suave;
Dermatologicamente testado;
Em embalagem plástica de 500 ml com bico dosador, com rótulo indicando o nome do fabricante, CNPJ, químico responsável e nº CRQ, número de registro na Anvisa, lote de fabricação e prazo de validade do produto. Marcas de referência:
Limpol e Ypê. </t>
  </si>
  <si>
    <t xml:space="preserve">Extra</t>
  </si>
  <si>
    <t xml:space="preserve">Magazine Luiza</t>
  </si>
  <si>
    <t xml:space="preserve">ITEM 12</t>
  </si>
  <si>
    <t xml:space="preserve">Esponja dupla face
Em poliuretano e fibra têxtil;
Dimensões: 105 x 70 x 22 mm (comprimento,
largura e espessura), admitida variação de ± 5 mm.
O material deverá estar acondicionado em
caixas/fardos com até 120 unidades</t>
  </si>
  <si>
    <t xml:space="preserve">Cepel</t>
  </si>
  <si>
    <t xml:space="preserve">Contabilista - Suprimento para escritório </t>
  </si>
  <si>
    <t xml:space="preserve">ITEM 13</t>
  </si>
  <si>
    <t xml:space="preserve">Flanela
100% Algodão;
Cor branca;
Dimensões: 29 x 29 cm (altura x largura). Variação
permitida: ± 2cm;
O material deverá estar acondicionado em
caixas/fardos com até 100 unidades
</t>
  </si>
  <si>
    <t xml:space="preserve">Higistore</t>
  </si>
  <si>
    <t xml:space="preserve">Variado</t>
  </si>
  <si>
    <t xml:space="preserve">ITEM 14</t>
  </si>
  <si>
    <t xml:space="preserve">Limpador instantâneo
Ingrediente ativo: tensoativo aniônico
biodegradável;
Composição: Linear alquil benzeno, sulfonato de
sódio, tensoativo não iônico, alcalinizante,
sequestrante, solubilizante, éter glicólico, álcool,
perfume e água;
Embalagem com impressão do nome do fabricante e
indicação de registro na ANVISA/MS;
Frasco com 500 ml, com tampa e bico econômico;
Prazo de validade impresso na embalagem e não
inferior a 11 meses contados da data de
recebimento definitivo;
O material deverá estar acondicionado em caixas
com até 24 unidades</t>
  </si>
  <si>
    <t xml:space="preserve">FR</t>
  </si>
  <si>
    <t xml:space="preserve">COMERCIALIZZA DISTRIBUIDORA DE PRODUTOS DE LIMPEZA LTDA</t>
  </si>
  <si>
    <t xml:space="preserve">CETIL SUPRIMENTOS EIRELI</t>
  </si>
  <si>
    <t xml:space="preserve">PROLIMP PRODUTOS E SERVI OS EIRELI</t>
  </si>
  <si>
    <t xml:space="preserve">WIMAGI COMERCIO E DISTRIBUICAO LTDA</t>
  </si>
  <si>
    <t xml:space="preserve">ITEM 15</t>
  </si>
  <si>
    <t xml:space="preserve">Removedor de adesivos e resíduos de colas e lacres, para utilização nas Urnas Eletrônicas e materiais correlatos. Tipo: Solvente líquido, removedor de cola de etiquetas e adesivos, dentre outras colas pegajosas; Produto que permita aplicação em superfícies de acrílico, metal, PVC e demais tipo de plástico; Isento de solventes nocivos e metais pesados; Recomendável para uso industrial; Acondicionados em frascos de 120 ml, com dosador. Embalagem com impressão do nome do fabricante e indicação de registro na ANVISA/MS; Não inflamável; Prazo de validade mínimo de 18 meses. O material deverá estar acondicionado em caixas com até 12 unidades</t>
  </si>
  <si>
    <t xml:space="preserve">Dutra Máquinas</t>
  </si>
  <si>
    <t xml:space="preserve">Loja Eleétrica</t>
  </si>
  <si>
    <t xml:space="preserve">ITEM 16</t>
  </si>
  <si>
    <t xml:space="preserve">Luva para Procedimento não Cirúrgico
Composição: Látex de borracha natural;
Tamanho: M – Médio;
Não Estéril;
Com pó bioabsorvível; Ambidestra; Cor: Creme;
Embalagem com 100 unidades; Prazo de validade
não inferior a 12 meses contados do recebimento
definitivo</t>
  </si>
  <si>
    <t xml:space="preserve">caixa </t>
  </si>
  <si>
    <t xml:space="preserve">Medjet</t>
  </si>
  <si>
    <t xml:space="preserve">Fibra cirúrgica </t>
  </si>
  <si>
    <t xml:space="preserve">Araujo Drogaria e Drugstore</t>
  </si>
  <si>
    <t xml:space="preserve">Prime Cirúrgica</t>
  </si>
  <si>
    <t xml:space="preserve">ITEM 17</t>
  </si>
  <si>
    <t xml:space="preserve">Luva para Procedimento não Cirúrgico
Composição: Látex de borracha natural;
Tamanho: G – Grande;
Não Estéril;
Com pó bio-absorvível; Ambidestra;
Cor: Creme;
Embalagem com 100 unidades;
Prazo de validade não inferior a 12 meses contados
do recebimento definitivo.</t>
  </si>
  <si>
    <t xml:space="preserve">caixa</t>
  </si>
  <si>
    <t xml:space="preserve">Fibra Cirúrgica</t>
  </si>
  <si>
    <t xml:space="preserve">Cirúrgica estilo</t>
  </si>
  <si>
    <t xml:space="preserve">Magazine Médica</t>
  </si>
  <si>
    <t xml:space="preserve">ITEM 18</t>
  </si>
  <si>
    <t xml:space="preserve">Mascara Cirúrgica Descartável
Tripla Camada de Proteção
Cor branca
Clip Nasal Embutido
Com Elástico
Caixa com 50 unidades</t>
  </si>
  <si>
    <t xml:space="preserve">Caixa</t>
  </si>
  <si>
    <t xml:space="preserve">CIRURGICA ESTILO</t>
  </si>
  <si>
    <t xml:space="preserve">EPI BRASIL</t>
  </si>
  <si>
    <t xml:space="preserve">MOBILOC</t>
  </si>
  <si>
    <t xml:space="preserve">SHOPFISIO</t>
  </si>
  <si>
    <t xml:space="preserve">COSTA ASSUNCAO DISTRIBUIDORA LTDA</t>
  </si>
  <si>
    <t xml:space="preserve">SAUDE COMERCIO DE PRODUTOS HOSPITALARES LTDA</t>
  </si>
  <si>
    <t xml:space="preserve">DUOLIMP COMERCIO LTDA</t>
  </si>
  <si>
    <t xml:space="preserve">JOSE DANTAS DINIZ FILHO</t>
  </si>
  <si>
    <t xml:space="preserve">JM INDUSTRIA DE CONFECCOES E BRINDES EIRELI</t>
  </si>
  <si>
    <t xml:space="preserve">BV SOLUCOES E NEGOCIOS EIRELI </t>
  </si>
  <si>
    <t xml:space="preserve">AFONSO E FILHOS LTDA</t>
  </si>
  <si>
    <t xml:space="preserve">C H LIMA RAMOS</t>
  </si>
  <si>
    <t xml:space="preserve">IMEDIATO COMERCIO DE PRODUTOS E SERVICOS HOSPITALARES LTDA </t>
  </si>
  <si>
    <t xml:space="preserve">COMERCIAL MARELLY EIRELI</t>
  </si>
  <si>
    <t xml:space="preserve">FIVE MEDICAL COMERCIO DE MATERIAL MEDICO HOSPITALAR EIRELI </t>
  </si>
  <si>
    <t xml:space="preserve">ITEM 19</t>
  </si>
  <si>
    <t xml:space="preserve">Pá coletora lixo
Material da base: zinco;
Material do cabo: madeira;
Comprimento do cabo: 60 cm;
Para limpeza doméstica;
Variação permitida: ± 5 cm</t>
  </si>
  <si>
    <t xml:space="preserve">VALPLASTIC COMERCIO - EIRELI</t>
  </si>
  <si>
    <t xml:space="preserve">ALEXANDRE H M CHAMONE COMERCIO</t>
  </si>
  <si>
    <t xml:space="preserve">ITEM 20</t>
  </si>
  <si>
    <t xml:space="preserve">Pano para limpeza
100% algodão;
Tipo saco, duplo, lavado e alvejado;
Com alta absorção;
Dimensões: 65 x 42 cm;
Cor branca;
Variação permitida: ± 5cm;
O material deverá estar acondicionado em fardos
com até 25 unidades</t>
  </si>
  <si>
    <t xml:space="preserve">Unidade</t>
  </si>
  <si>
    <t xml:space="preserve">RDC COMERCIAL </t>
  </si>
  <si>
    <t xml:space="preserve">SHOPTIME</t>
  </si>
  <si>
    <t xml:space="preserve">AMERICANAS</t>
  </si>
  <si>
    <t xml:space="preserve">PONTO FRIO</t>
  </si>
  <si>
    <t xml:space="preserve">ITEM 21</t>
  </si>
  <si>
    <t xml:space="preserve">Pano em Microfibra para Limpeza de Lente/LCD/Tela
Dimensões 13 X 13 cm, podendo variar em ± 2cm;
Acondicionado em pacotes com 100 unidades</t>
  </si>
  <si>
    <t xml:space="preserve">Magazine Luiza </t>
  </si>
  <si>
    <t xml:space="preserve">Miromi</t>
  </si>
  <si>
    <t xml:space="preserve">Portal do óculos </t>
  </si>
  <si>
    <t xml:space="preserve">ITEM 22</t>
  </si>
  <si>
    <t xml:space="preserve">Papel higiênico
Celulose virgem – 100% celulose;
Dimensões: mínimo de 30 m x 10 cm;
Dermatologicamente testado; Picotado;
Folha dupla;
Sem perfume;
Cor branca;
Pacote com 4 unidades.
PC = Pacote</t>
  </si>
  <si>
    <t xml:space="preserve">Pacote </t>
  </si>
  <si>
    <t xml:space="preserve">VFV SUPRIMENTOS DE ESCRITORIO EIRELI</t>
  </si>
  <si>
    <t xml:space="preserve">FATAL COMERCIO DE MATERIAL DE INFORMATICA E SERVICOS LTDA</t>
  </si>
  <si>
    <t xml:space="preserve">KAREN FRANCIELY BRITO DE LIMA SOUZA 41846375827</t>
  </si>
  <si>
    <t xml:space="preserve">RIVALDO VALERIO NETO</t>
  </si>
  <si>
    <t xml:space="preserve">ITEM 23</t>
  </si>
  <si>
    <t xml:space="preserve">Papel toalha
Cor branca, duas dobras, texturizado;
Dimensões: folhas com 22 cm x 22 cm;
Tipo interfolhado;
Macio e absorvente;
Pacote com 1000 folhas;
Variação permitida: ± 3.0 cm
PC = Pacote</t>
  </si>
  <si>
    <t xml:space="preserve">Papelex</t>
  </si>
  <si>
    <t xml:space="preserve">Datassupri Web</t>
  </si>
  <si>
    <t xml:space="preserve">Dental Cremer</t>
  </si>
  <si>
    <t xml:space="preserve">Kalunga </t>
  </si>
  <si>
    <t xml:space="preserve">ITEM 24</t>
  </si>
  <si>
    <t xml:space="preserve">Sabão em pó Composição: alquil benzeno sulfato de sódio, corante; Embalagem com 500 g; Embalagem com impressão do nome do fabricante e indicação de registro na ANVISA/MS; Tensoativo aniônico biodegradável; Prazo de validade impresso na embalagem e não inferior a 11 meses contados da data de recebimento definitivo; O material deverá estar acondicionado em caixas/fardos com até 24 unidades </t>
  </si>
  <si>
    <t xml:space="preserve">Drogaria Minas-Brasil</t>
  </si>
  <si>
    <t xml:space="preserve">Vip Fácil</t>
  </si>
  <si>
    <t xml:space="preserve">Nata Shopping</t>
  </si>
  <si>
    <t xml:space="preserve">Site Mercado </t>
  </si>
  <si>
    <t xml:space="preserve">ITEM 25</t>
  </si>
  <si>
    <t xml:space="preserve">Saco plástico para lixo
Cor preta;
Capacidade de 40 Litros;
Resistente ao peso mínimo de 5 Kg;
Cada pacote deverá conter 100 sacos;
O material deverá estar acondicionado em
caixas/fardos com até 150 pacotes</t>
  </si>
  <si>
    <t xml:space="preserve">net Suprimentos</t>
  </si>
  <si>
    <t xml:space="preserve">Loja do Mecânico</t>
  </si>
  <si>
    <t xml:space="preserve">NZ Embalagens </t>
  </si>
  <si>
    <t xml:space="preserve">ITEM 26</t>
  </si>
  <si>
    <t xml:space="preserve">Vassoura – Cerdas (naturais) em Piaçava
Cabo rosqueável;
Comprimento do cabo: mínimo de 1,15m;
Cepa com 20 cm, admitida variação de ± 2 cm;
Comprimento das cerdas: mínimo 11 cm.</t>
  </si>
  <si>
    <t xml:space="preserve">JCC CONSULTORIA, COMERCIO E CONSTRUCOES EIRELI</t>
  </si>
  <si>
    <t xml:space="preserve">ALTIS IMPORT COMERCIAL EIRELI</t>
  </si>
  <si>
    <t xml:space="preserve">ARTLIMP BRASIL</t>
  </si>
  <si>
    <t xml:space="preserve">GIMBA </t>
  </si>
  <si>
    <t xml:space="preserve">ITEM 27</t>
  </si>
  <si>
    <t xml:space="preserve">Coador de Tecido para Cafeteira Elétrica
Aplicação: para máquina de café industrial
Compatível com as marcas/modelos:
CONSERCAF/ CIC20 e CIP20</t>
  </si>
  <si>
    <t xml:space="preserve">COPEC</t>
  </si>
  <si>
    <t xml:space="preserve">N B DISTRIBUIDORA DE DESCARTÁVEIS E MÁQUINAS LTDA</t>
  </si>
  <si>
    <t xml:space="preserve">ITEM 28</t>
  </si>
  <si>
    <t xml:space="preserve">Lixeira
Para coleta seletiva;
Corpo cilíndrico em aço inox 430 polido;
Tampa basculante em aço inox 430 polido;
Aro com pintura eletrostática em amarelo, azul,
vermelho, conforme cada pedido, de acordo com
Resolução Conama n.º 275/2001;
Volume nominal: 50 litros;
Diâmetro máximo: 300 mm;
Altura máxima: 750 mm;
Garantia mínima de 1 ano.</t>
  </si>
  <si>
    <t xml:space="preserve">Purimax</t>
  </si>
  <si>
    <t xml:space="preserve">Limpo Organizado</t>
  </si>
  <si>
    <t xml:space="preserve">Lixeira &amp; Seletiva</t>
  </si>
  <si>
    <t xml:space="preserve">ITEM 29</t>
  </si>
  <si>
    <t xml:space="preserve">COLETOR DE PILHAS E BATERIAS
Capacidade mínima: 30 litros;
Compartimentos distintos para pilhas e baterias;
Profundidade máxima: 170 mm;
Para sobreposição em parede;
Cor: laranja, conforme Resolução Conama n.º
275/2001;
Identificação gráfica frontal do tipo de material
reciclável</t>
  </si>
  <si>
    <t xml:space="preserve">ITEM 30</t>
  </si>
  <si>
    <t xml:space="preserve">Xícara para Café com Pires
Porcelana branca lisa
Capacidade da xícara: 50ml, podendo variar em +
10ml
Formato redondo
Acondicionada em caixa de papelão com 06
unidades</t>
  </si>
  <si>
    <t xml:space="preserve">Terra Amada</t>
  </si>
  <si>
    <t xml:space="preserve">Rebal Comercial </t>
  </si>
  <si>
    <t xml:space="preserve">LF</t>
  </si>
  <si>
    <t xml:space="preserve">ITEM 31</t>
  </si>
  <si>
    <t xml:space="preserve">Tigela de porcelana
Tigela, material: porcelana, capacidade: 500 ml,
características adicionais: branca, redonda, uso:
copa,cozinha</t>
  </si>
  <si>
    <t xml:space="preserve">LCCR Utensílios</t>
  </si>
  <si>
    <t xml:space="preserve">Ponto da Porcelana</t>
  </si>
  <si>
    <t xml:space="preserve">ITEM 32</t>
  </si>
  <si>
    <t xml:space="preserve">Pratos Porcelana
Prato, material: porcelana, características
adicionais: raso, octogonal, diâmetro: 28,50 cm,
cor: branca</t>
  </si>
  <si>
    <t xml:space="preserve">Empório da porcelana</t>
  </si>
  <si>
    <t xml:space="preserve">ITEM 33</t>
  </si>
  <si>
    <t xml:space="preserve">Pratos para sobremesa
Material: louça, aplicação: sobremesa,
características adicionais: tipo raso, formato
quadrado, cor: branca, dimensões: 17 x 17 cm,
podendo variar em + 2,0cm.</t>
  </si>
  <si>
    <t xml:space="preserve">CHÁ DE PANELA</t>
  </si>
  <si>
    <t xml:space="preserve">DISPLAL</t>
  </si>
  <si>
    <t xml:space="preserve">LCCR</t>
  </si>
  <si>
    <t xml:space="preserve">MULTIBAR</t>
  </si>
  <si>
    <t xml:space="preserve">SILVALAR</t>
  </si>
  <si>
    <t xml:space="preserve">ITEM 34</t>
  </si>
  <si>
    <t xml:space="preserve">Taça para água em vidro incolor transparente
Com acabamento Bico de Jaca
Capacidade 300ml, podendo variar em + 50ml
Acondicionada em embalagem com 06 unidades</t>
  </si>
  <si>
    <t xml:space="preserve">Camicado</t>
  </si>
  <si>
    <t xml:space="preserve">ITEM 35</t>
  </si>
  <si>
    <t xml:space="preserve">Jarra para água/suco em cristal transparente
incolor
Com alça
Capacidade para 1,660 l podendo variar em + 0,5l
Acondicionada em embalagem individual</t>
  </si>
  <si>
    <t xml:space="preserve">ITEM 36</t>
  </si>
  <si>
    <t xml:space="preserve">Recipiente de Vidro
Tipo BOMBONIERE com pé e tampa.
Medindo: 250 x 160mm (D x A). Material: Vidro
liso transparente. Formato: Redondo.
Acondicionada em embalagem individual</t>
  </si>
  <si>
    <t xml:space="preserve">ITEM 37</t>
  </si>
  <si>
    <t xml:space="preserve">Pá de silicone
Pá culinária, material corpo: aço inoxidável, material
cabo: aço inoxidável, comprimento corpo: 11 cm,
largura: 5 cm, comprimento cabo: 13 cm, aplicação:
cortar e servir bolos e tortas</t>
  </si>
  <si>
    <t xml:space="preserve">Comercial TXV Comércio e Serviço EIRELI</t>
  </si>
  <si>
    <t xml:space="preserve">Fabiana Rodrigues Pereira</t>
  </si>
  <si>
    <t xml:space="preserve">ITEM 38</t>
  </si>
  <si>
    <t xml:space="preserve">Colher
Colher, material corpo: polietileno, material cabo:
polietileno, comprimento: 45 cm</t>
  </si>
  <si>
    <t xml:space="preserve">Dispal </t>
  </si>
  <si>
    <t xml:space="preserve">Pinheirense</t>
  </si>
  <si>
    <t xml:space="preserve">São José Produtos</t>
  </si>
  <si>
    <t xml:space="preserve">Vinho e Cerveja</t>
  </si>
  <si>
    <t xml:space="preserve">ITEM39</t>
  </si>
  <si>
    <t xml:space="preserve">Conjunto de utensílios de cozinha em
100% silicone com reforço interno -
4 peças
(1 colher ≥ 28cm , 1 concha ≥ 28cm, 1 espátula
perfurada ≥ 28cm e 1 espátula
arredondada), resistente a temperaturas entre -30°c
a 220°c.</t>
  </si>
  <si>
    <t xml:space="preserve">ITEM 40</t>
  </si>
  <si>
    <t xml:space="preserve">Pá para bolo
Aço inoxidável
Acondicionada em embalagem individual
Dimensões (CxLxA): 247x50x35 mm
Espessura: 2,5 mm.</t>
  </si>
  <si>
    <t xml:space="preserve">Casamiga</t>
  </si>
  <si>
    <t xml:space="preserve">Via Ionx</t>
  </si>
  <si>
    <t xml:space="preserve">Tramontina</t>
  </si>
  <si>
    <t xml:space="preserve">Tok&amp;Stok</t>
  </si>
  <si>
    <t xml:space="preserve">ITEM 41</t>
  </si>
  <si>
    <t xml:space="preserve">Bandeja redonda
Aço inoxidável
Diâmetro de 40 cm, podendo variar em + 2,0cm
Acondicionada em embalagem individual</t>
  </si>
  <si>
    <t xml:space="preserve">Netsuprimentos</t>
  </si>
  <si>
    <t xml:space="preserve">Madeira madeira</t>
  </si>
  <si>
    <t xml:space="preserve">ITEM 42</t>
  </si>
  <si>
    <t xml:space="preserve">Bandeja redonda
Aço inoxidável
Diâmetro de 30 cm, podendo variar em + 2,0cm</t>
  </si>
  <si>
    <t xml:space="preserve">Amricanas</t>
  </si>
  <si>
    <t xml:space="preserve">Madeira Madeira</t>
  </si>
  <si>
    <t xml:space="preserve">ITEM 43</t>
  </si>
  <si>
    <t xml:space="preserve">Bandeja Retangular com alças
Aço inoxidável
Dimensões 40 x 30cm, podendo variar em + 2,0cm
Acondicionada em embalagem individual</t>
  </si>
  <si>
    <t xml:space="preserve">CAMICADO</t>
  </si>
  <si>
    <t xml:space="preserve">WESTWING</t>
  </si>
  <si>
    <t xml:space="preserve">ITEM 44</t>
  </si>
  <si>
    <t xml:space="preserve">Porta-guardanapo
Aço inoxidável
Comprimento 11 cm,
Altura 7 cm Largura 3,5
Podendo as medidas variar para mais ou para menos
2 cm.
Acondicionada em embalagem individual</t>
  </si>
  <si>
    <t xml:space="preserve">Casas Bahia</t>
  </si>
  <si>
    <t xml:space="preserve">Via Inox</t>
  </si>
  <si>
    <t xml:space="preserve">ITEM 45</t>
  </si>
  <si>
    <t xml:space="preserve">Datasupri Web</t>
  </si>
  <si>
    <t xml:space="preserve">Kalunga</t>
  </si>
  <si>
    <t xml:space="preserve">ITEM 46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</si>
  <si>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</si>
  <si>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</si>
  <si>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</si>
  <si>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</si>
  <si>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</si>
  <si>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</si>
  <si>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</si>
  <si>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LOTE 1</t>
  </si>
  <si>
    <t xml:space="preserve">TOTAL LOTE 1</t>
  </si>
  <si>
    <t xml:space="preserve">LOTE 2</t>
  </si>
  <si>
    <t xml:space="preserve">TOTAL LOTE 2</t>
  </si>
  <si>
    <t xml:space="preserve">LOTE 3</t>
  </si>
  <si>
    <t xml:space="preserve">TOTAL LOTE 3</t>
  </si>
  <si>
    <t xml:space="preserve">VALOR TOTAL ESTIMADO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</si>
</sst>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[$R$-416]\ #,##0.00;[RED]\-[$R$-416]\ #,##0.00"/>
    <numFmt numFmtId="166" formatCode="#,##0"/>
    <numFmt numFmtId="167" formatCode="General"/>
    <numFmt numFmtId="168" formatCode="0.00%"/>
    <numFmt numFmtId="169" formatCode="_-&quot;R$ &quot;* #,##0.00_-;&quot;-R$ &quot;* #,##0.00_-;_-&quot;R$ &quot;* \-??_-;_-@_-"/>
    <numFmt numFmtId="170" formatCode="&quot;R$ &quot;#,##0.00;&quot;-R$ &quot;#,##0.00"/>
  </numFmts>
  <fonts count="2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name val="Arial"/>
      <family val="0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DDDDDD"/>
      </patternFill>
    </fill>
    <fill>
      <patternFill patternType="solid">
        <fgColor rgb="FFFFFF00"/>
        <bgColor rgb="FFFFFF00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9" fontId="19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3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3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3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3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3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8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8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13" fillId="0" borderId="2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9" borderId="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9" fontId="14" fillId="9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13" fillId="10" borderId="2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worksheet" Target="worksheets/sheet41.xml"/><Relationship Id="rId43" Type="http://schemas.openxmlformats.org/officeDocument/2006/relationships/worksheet" Target="worksheets/sheet42.xml"/><Relationship Id="rId44" Type="http://schemas.openxmlformats.org/officeDocument/2006/relationships/worksheet" Target="worksheets/sheet43.xml"/><Relationship Id="rId45" Type="http://schemas.openxmlformats.org/officeDocument/2006/relationships/worksheet" Target="worksheets/sheet44.xml"/><Relationship Id="rId46" Type="http://schemas.openxmlformats.org/officeDocument/2006/relationships/worksheet" Target="worksheets/sheet45.xml"/><Relationship Id="rId47" Type="http://schemas.openxmlformats.org/officeDocument/2006/relationships/worksheet" Target="worksheets/sheet46.xml"/><Relationship Id="rId48" Type="http://schemas.openxmlformats.org/officeDocument/2006/relationships/worksheet" Target="worksheets/sheet47.xml"/><Relationship Id="rId4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6" min="4" style="1" width="10.29"/>
    <col collapsed="false" customWidth="true" hidden="false" outlineLevel="0" max="7" min="7" style="1" width="47.43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8</v>
      </c>
      <c r="C3" s="6"/>
      <c r="D3" s="6"/>
      <c r="E3" s="7" t="s">
        <v>9</v>
      </c>
      <c r="F3" s="8" t="n">
        <v>15000</v>
      </c>
      <c r="G3" s="9" t="s">
        <v>10</v>
      </c>
      <c r="H3" s="10" t="n">
        <v>2.26</v>
      </c>
      <c r="I3" s="10" t="n">
        <f aca="false">IF(H3="","",(IF($C$20&lt;25%,"N/A",IF(H3&lt;=($D$20+$B$20),H3,"Descartado"))))</f>
        <v>2.26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11</v>
      </c>
      <c r="H4" s="10" t="n">
        <v>3.2</v>
      </c>
      <c r="I4" s="10" t="n">
        <f aca="false">IF(H4="","",(IF($C$20&lt;25%,"N/A",IF(H4&lt;=($D$20+$B$20),H4,"Descartado"))))</f>
        <v>3.2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12</v>
      </c>
      <c r="H5" s="10" t="n">
        <v>3.15</v>
      </c>
      <c r="I5" s="10" t="n">
        <f aca="false">IF(H5="","",(IF($C$20&lt;25%,"N/A",IF(H5&lt;=($D$20+$B$20),H5,"Descartado"))))</f>
        <v>3.15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13</v>
      </c>
      <c r="H6" s="10" t="n">
        <v>4.75</v>
      </c>
      <c r="I6" s="10" t="n">
        <f aca="false">IF(H6="","",(IF($C$20&lt;25%,"N/A",IF(H6&lt;=($D$20+$B$20),H6,"Descartado"))))</f>
        <v>4.75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 t="s">
        <v>14</v>
      </c>
      <c r="H7" s="10" t="n">
        <v>6.7</v>
      </c>
      <c r="I7" s="10" t="str">
        <f aca="false">IF(H7="","",(IF($C$20&lt;25%,"N/A",IF(H7&lt;=($D$20+$B$20),H7,"Descartado"))))</f>
        <v>Descartado</v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1.74941990385385</v>
      </c>
      <c r="C20" s="23" t="n">
        <f aca="false">IF(H23&lt;2,"N/A",(B20/D20))</f>
        <v>0.43604683545709</v>
      </c>
      <c r="D20" s="24" t="n">
        <f aca="false">AVERAGE(H3:H17)</f>
        <v>4.012</v>
      </c>
      <c r="E20" s="25" t="n">
        <f aca="false">IF(H23&lt;2,"N/A",(IF(C20&lt;=25%,"N/A",AVERAGE(I3:I17))))</f>
        <v>3.34</v>
      </c>
      <c r="F20" s="24" t="n">
        <f aca="false">MEDIAN(H3:H17)</f>
        <v>3.2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3.2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48000</v>
      </c>
      <c r="E23" s="32"/>
      <c r="G23" s="33" t="s">
        <v>22</v>
      </c>
      <c r="H23" s="34" t="n">
        <f aca="false">COUNT(H3:H17)</f>
        <v>5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77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78</v>
      </c>
      <c r="C3" s="6"/>
      <c r="D3" s="6"/>
      <c r="E3" s="7" t="s">
        <v>39</v>
      </c>
      <c r="F3" s="40" t="n">
        <v>500</v>
      </c>
      <c r="G3" s="9" t="s">
        <v>79</v>
      </c>
      <c r="H3" s="10" t="n">
        <v>24.46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80</v>
      </c>
      <c r="H4" s="10" t="n">
        <v>24.47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81</v>
      </c>
      <c r="H5" s="10" t="n">
        <v>33.05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4.95655458290669</v>
      </c>
      <c r="C20" s="23" t="n">
        <f aca="false">IF(H23&lt;2,"N/A",(B20/D20))</f>
        <v>0.181381602204441</v>
      </c>
      <c r="D20" s="24" t="n">
        <f aca="false">AVERAGE(H3:H17)</f>
        <v>27.3266666666667</v>
      </c>
      <c r="E20" s="25" t="str">
        <f aca="false">IF(H23&lt;2,"N/A",(IF(C20&lt;=25%,"N/A",AVERAGE(I3:I17))))</f>
        <v>N/A</v>
      </c>
      <c r="F20" s="24" t="n">
        <f aca="false">MEDIAN(H3:H17)</f>
        <v>24.47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27.3266666666667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13665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82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83</v>
      </c>
      <c r="C3" s="6"/>
      <c r="D3" s="6"/>
      <c r="E3" s="7" t="s">
        <v>57</v>
      </c>
      <c r="F3" s="8" t="n">
        <v>2000</v>
      </c>
      <c r="G3" s="9" t="s">
        <v>84</v>
      </c>
      <c r="H3" s="10" t="n">
        <v>2.1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85</v>
      </c>
      <c r="H4" s="10" t="n">
        <v>2.04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74</v>
      </c>
      <c r="H5" s="10" t="n">
        <v>2.1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0.0346410161513776</v>
      </c>
      <c r="C20" s="23" t="n">
        <f aca="false">IF(H23&lt;2,"N/A",(B20/D20))</f>
        <v>0.0166543346881623</v>
      </c>
      <c r="D20" s="24" t="n">
        <f aca="false">AVERAGE(H3:H17)</f>
        <v>2.08</v>
      </c>
      <c r="E20" s="25" t="str">
        <f aca="false">IF(H23&lt;2,"N/A",(IF(C20&lt;=25%,"N/A",AVERAGE(I3:I17))))</f>
        <v>N/A</v>
      </c>
      <c r="F20" s="24" t="n">
        <f aca="false">MEDIAN(H3:H17)</f>
        <v>2.1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2.08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4160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86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87</v>
      </c>
      <c r="C3" s="6"/>
      <c r="D3" s="6"/>
      <c r="E3" s="7" t="s">
        <v>39</v>
      </c>
      <c r="F3" s="8" t="n">
        <v>10000</v>
      </c>
      <c r="G3" s="9" t="s">
        <v>88</v>
      </c>
      <c r="H3" s="10" t="n">
        <v>1.21</v>
      </c>
      <c r="I3" s="10" t="n">
        <f aca="false">IF(H3="","",(IF($C$20&lt;25%,"N/A",IF(H3&lt;=($D$20+$B$20),H3,"Descartado"))))</f>
        <v>1.21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84</v>
      </c>
      <c r="H4" s="10" t="n">
        <v>1.5</v>
      </c>
      <c r="I4" s="10" t="n">
        <f aca="false">IF(H4="","",(IF($C$20&lt;25%,"N/A",IF(H4&lt;=($D$20+$B$20),H4,"Descartado"))))</f>
        <v>1.5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76</v>
      </c>
      <c r="H5" s="10" t="n">
        <v>0.38</v>
      </c>
      <c r="I5" s="10" t="n">
        <f aca="false">IF(H5="","",(IF($C$20&lt;25%,"N/A",IF(H5&lt;=($D$20+$B$20),H5,"Descartado"))))</f>
        <v>0.38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89</v>
      </c>
      <c r="H6" s="10" t="n">
        <v>2.15</v>
      </c>
      <c r="I6" s="10" t="str">
        <f aca="false">IF(H6="","",(IF($C$20&lt;25%,"N/A",IF(H6&lt;=($D$20+$B$20),H6,"Descartado"))))</f>
        <v>Descartado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0.734075382141825</v>
      </c>
      <c r="C20" s="23" t="n">
        <f aca="false">IF(H23&lt;2,"N/A",(B20/D20))</f>
        <v>0.560362887131164</v>
      </c>
      <c r="D20" s="24" t="n">
        <f aca="false">AVERAGE(H3:H17)</f>
        <v>1.31</v>
      </c>
      <c r="E20" s="25" t="n">
        <f aca="false">IF(H23&lt;2,"N/A",(IF(C20&lt;=25%,"N/A",AVERAGE(I3:I17))))</f>
        <v>1.03</v>
      </c>
      <c r="F20" s="24" t="n">
        <f aca="false">MEDIAN(H3:H17)</f>
        <v>1.355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1.03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10300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6" min="4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90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91</v>
      </c>
      <c r="C3" s="6"/>
      <c r="D3" s="6"/>
      <c r="E3" s="7" t="s">
        <v>39</v>
      </c>
      <c r="F3" s="8" t="n">
        <v>8000</v>
      </c>
      <c r="G3" s="9" t="s">
        <v>92</v>
      </c>
      <c r="H3" s="10" t="n">
        <v>0.58</v>
      </c>
      <c r="I3" s="10" t="n">
        <f aca="false">IF(H3="","",(IF($C$20&lt;25%,"N/A",IF(H3&lt;=($D$20+$B$20),H3,"Descartado"))))</f>
        <v>0.58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93</v>
      </c>
      <c r="H4" s="10" t="n">
        <v>1.5</v>
      </c>
      <c r="I4" s="10" t="n">
        <f aca="false">IF(H4="","",(IF($C$20&lt;25%,"N/A",IF(H4&lt;=($D$20+$B$20),H4,"Descartado"))))</f>
        <v>1.5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/>
      <c r="H5" s="10"/>
      <c r="I5" s="10" t="str">
        <f aca="false">IF(H5="","",(IF($C$20&lt;25%,"N/A",IF(H5&lt;=($D$20+$B$20),H5,"Descartado"))))</f>
        <v/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0.650538238691624</v>
      </c>
      <c r="C20" s="23" t="n">
        <f aca="false">IF(H23&lt;2,"N/A",(B20/D20))</f>
        <v>0.625517537203484</v>
      </c>
      <c r="D20" s="24" t="n">
        <f aca="false">AVERAGE(H3:H17)</f>
        <v>1.04</v>
      </c>
      <c r="E20" s="25" t="n">
        <f aca="false">IF(H23&lt;2,"N/A",(IF(C20&lt;=25%,"N/A",AVERAGE(I3:I17))))</f>
        <v>1.04</v>
      </c>
      <c r="F20" s="24" t="n">
        <f aca="false">MEDIAN(H3:H17)</f>
        <v>1.04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1.04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8320</v>
      </c>
      <c r="E23" s="32"/>
      <c r="G23" s="33" t="s">
        <v>22</v>
      </c>
      <c r="H23" s="34" t="n">
        <f aca="false">COUNT(H3:H17)</f>
        <v>2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49.87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94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95</v>
      </c>
      <c r="C3" s="6"/>
      <c r="D3" s="6"/>
      <c r="E3" s="7" t="s">
        <v>96</v>
      </c>
      <c r="F3" s="8" t="n">
        <v>5000</v>
      </c>
      <c r="G3" s="9" t="s">
        <v>97</v>
      </c>
      <c r="H3" s="10" t="n">
        <v>1.66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98</v>
      </c>
      <c r="H4" s="10" t="n">
        <v>1.77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99</v>
      </c>
      <c r="H5" s="10" t="n">
        <v>2.35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100</v>
      </c>
      <c r="H6" s="10" t="n">
        <v>2.48</v>
      </c>
      <c r="I6" s="10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0.410081292753847</v>
      </c>
      <c r="C20" s="23" t="n">
        <f aca="false">IF(H23&lt;2,"N/A",(B20/D20))</f>
        <v>0.198586582447384</v>
      </c>
      <c r="D20" s="24" t="n">
        <f aca="false">AVERAGE(H3:H17)</f>
        <v>2.065</v>
      </c>
      <c r="E20" s="25" t="str">
        <f aca="false">IF(H23&lt;2,"N/A",(IF(C20&lt;=25%,"N/A",AVERAGE(I3:I17))))</f>
        <v>N/A</v>
      </c>
      <c r="F20" s="24" t="n">
        <f aca="false">MEDIAN(H3:H17)</f>
        <v>2.06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2.065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10350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20.86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101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102</v>
      </c>
      <c r="C3" s="6"/>
      <c r="D3" s="6"/>
      <c r="E3" s="7" t="s">
        <v>57</v>
      </c>
      <c r="F3" s="8" t="n">
        <v>1500</v>
      </c>
      <c r="G3" s="9" t="s">
        <v>103</v>
      </c>
      <c r="H3" s="10" t="n">
        <v>19.48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104</v>
      </c>
      <c r="H4" s="10" t="n">
        <v>21.8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42</v>
      </c>
      <c r="H5" s="10" t="n">
        <v>17.87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1.97566022719832</v>
      </c>
      <c r="C20" s="23" t="n">
        <f aca="false">IF(H23&lt;2,"N/A",(B20/D20))</f>
        <v>0.100202547448774</v>
      </c>
      <c r="D20" s="24" t="n">
        <f aca="false">AVERAGE(H3:H17)</f>
        <v>19.7166666666667</v>
      </c>
      <c r="E20" s="25" t="str">
        <f aca="false">IF(H23&lt;2,"N/A",(IF(C20&lt;=25%,"N/A",AVERAGE(I3:I17))))</f>
        <v>N/A</v>
      </c>
      <c r="F20" s="24" t="n">
        <f aca="false">MEDIAN(H3:H17)</f>
        <v>19.48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19.7166666666667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29580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105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106</v>
      </c>
      <c r="C3" s="6"/>
      <c r="D3" s="6"/>
      <c r="E3" s="7" t="s">
        <v>107</v>
      </c>
      <c r="F3" s="8" t="n">
        <v>6000</v>
      </c>
      <c r="G3" s="9" t="s">
        <v>108</v>
      </c>
      <c r="H3" s="10" t="n">
        <v>19.2</v>
      </c>
      <c r="I3" s="10" t="n">
        <f aca="false">IF(H3="","",(IF($C$20&lt;25%,"N/A",IF(H3&lt;=($D$20+$B$20),H3,"Descartado"))))</f>
        <v>19.2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109</v>
      </c>
      <c r="H4" s="10" t="n">
        <v>23.1</v>
      </c>
      <c r="I4" s="10" t="n">
        <f aca="false">IF(H4="","",(IF($C$20&lt;25%,"N/A",IF(H4&lt;=($D$20+$B$20),H4,"Descartado"))))</f>
        <v>23.1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110</v>
      </c>
      <c r="H5" s="10" t="n">
        <v>38.1</v>
      </c>
      <c r="I5" s="10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111</v>
      </c>
      <c r="H6" s="10" t="n">
        <v>18.99</v>
      </c>
      <c r="I6" s="10" t="n">
        <f aca="false">IF(H6="","",(IF($C$20&lt;25%,"N/A",IF(H6&lt;=($D$20+$B$20),H6,"Descartado"))))</f>
        <v>18.99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9.03487825042485</v>
      </c>
      <c r="C20" s="23" t="n">
        <f aca="false">IF(H23&lt;2,"N/A",(B20/D20))</f>
        <v>0.363613170356167</v>
      </c>
      <c r="D20" s="24" t="n">
        <f aca="false">AVERAGE(H3:H17)</f>
        <v>24.8475</v>
      </c>
      <c r="E20" s="25" t="n">
        <f aca="false">IF(H23&lt;2,"N/A",(IF(C20&lt;=25%,"N/A",AVERAGE(I3:I17))))</f>
        <v>20.43</v>
      </c>
      <c r="F20" s="24" t="n">
        <f aca="false">MEDIAN(H3:H17)</f>
        <v>21.15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20.43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122580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112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113</v>
      </c>
      <c r="C3" s="6"/>
      <c r="D3" s="6"/>
      <c r="E3" s="7" t="s">
        <v>114</v>
      </c>
      <c r="F3" s="8" t="n">
        <v>3000</v>
      </c>
      <c r="G3" s="9" t="s">
        <v>115</v>
      </c>
      <c r="H3" s="10" t="n">
        <v>22.8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116</v>
      </c>
      <c r="H4" s="10" t="n">
        <v>18.89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117</v>
      </c>
      <c r="H5" s="10" t="n">
        <v>18.8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75</v>
      </c>
      <c r="H6" s="10" t="n">
        <v>19.99</v>
      </c>
      <c r="I6" s="10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1.86677975847893</v>
      </c>
      <c r="C20" s="23" t="n">
        <f aca="false">IF(H23&lt;2,"N/A",(B20/D20))</f>
        <v>0.0927822941589928</v>
      </c>
      <c r="D20" s="24" t="n">
        <f aca="false">AVERAGE(H3:H17)</f>
        <v>20.12</v>
      </c>
      <c r="E20" s="25" t="str">
        <f aca="false">IF(H23&lt;2,"N/A",(IF(C20&lt;=25%,"N/A",AVERAGE(I3:I17))))</f>
        <v>N/A</v>
      </c>
      <c r="F20" s="24" t="n">
        <f aca="false">MEDIAN(H3:H17)</f>
        <v>19.44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20.12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60360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118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119</v>
      </c>
      <c r="C3" s="6"/>
      <c r="D3" s="6"/>
      <c r="E3" s="7" t="s">
        <v>120</v>
      </c>
      <c r="F3" s="8" t="n">
        <v>3000</v>
      </c>
      <c r="G3" s="9" t="s">
        <v>121</v>
      </c>
      <c r="H3" s="10" t="n">
        <v>189</v>
      </c>
      <c r="I3" s="10" t="str">
        <f aca="false">IF(H3="","",(IF($C$20&lt;25%,"N/A",IF(H3&lt;=($D$20+$B$20),H3,"Descartado"))))</f>
        <v>Descartado</v>
      </c>
    </row>
    <row r="4" customFormat="false" ht="12.8" hidden="false" customHeight="false" outlineLevel="0" collapsed="false">
      <c r="A4" s="3"/>
      <c r="B4" s="6"/>
      <c r="C4" s="6"/>
      <c r="D4" s="6"/>
      <c r="E4" s="7"/>
      <c r="F4" s="7"/>
      <c r="G4" s="9" t="s">
        <v>122</v>
      </c>
      <c r="H4" s="10" t="n">
        <v>137</v>
      </c>
      <c r="I4" s="10" t="n">
        <f aca="false">IF(H4="","",(IF($C$20&lt;25%,"N/A",IF(H4&lt;=($D$20+$B$20),H4,"Descartado"))))</f>
        <v>137</v>
      </c>
    </row>
    <row r="5" customFormat="false" ht="12.8" hidden="false" customHeight="false" outlineLevel="0" collapsed="false">
      <c r="A5" s="3"/>
      <c r="B5" s="6"/>
      <c r="C5" s="6"/>
      <c r="D5" s="6"/>
      <c r="E5" s="7"/>
      <c r="F5" s="7"/>
      <c r="G5" s="9" t="s">
        <v>123</v>
      </c>
      <c r="H5" s="10" t="n">
        <v>122.5</v>
      </c>
      <c r="I5" s="10" t="n">
        <f aca="false">IF(H5="","",(IF($C$20&lt;25%,"N/A",IF(H5&lt;=($D$20+$B$20),H5,"Descartado"))))</f>
        <v>122.5</v>
      </c>
    </row>
    <row r="6" customFormat="false" ht="12.8" hidden="false" customHeight="false" outlineLevel="0" collapsed="false">
      <c r="A6" s="3"/>
      <c r="B6" s="6"/>
      <c r="C6" s="6"/>
      <c r="D6" s="6"/>
      <c r="E6" s="7"/>
      <c r="F6" s="7"/>
      <c r="G6" s="9" t="s">
        <v>124</v>
      </c>
      <c r="H6" s="10" t="n">
        <f aca="false">2.65*50</f>
        <v>132.5</v>
      </c>
      <c r="I6" s="10" t="n">
        <f aca="false">IF(H6="","",(IF($C$20&lt;25%,"N/A",IF(H6&lt;=($D$20+$B$20),H6,"Descartado"))))</f>
        <v>132.5</v>
      </c>
    </row>
    <row r="7" customFormat="false" ht="12.8" hidden="false" customHeight="false" outlineLevel="0" collapsed="false">
      <c r="A7" s="3"/>
      <c r="B7" s="6"/>
      <c r="C7" s="6"/>
      <c r="D7" s="6"/>
      <c r="E7" s="7"/>
      <c r="F7" s="7"/>
      <c r="G7" s="9" t="s">
        <v>125</v>
      </c>
      <c r="H7" s="10" t="n">
        <f aca="false">0.54*50</f>
        <v>27</v>
      </c>
      <c r="I7" s="10" t="n">
        <f aca="false">IF(H7="","",(IF($C$20&lt;25%,"N/A",IF(H7&lt;=($D$20+$B$20),H7,"Descartado"))))</f>
        <v>27</v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 t="s">
        <v>126</v>
      </c>
      <c r="H8" s="10" t="n">
        <f aca="false">1.01*50</f>
        <v>50.5</v>
      </c>
      <c r="I8" s="10" t="n">
        <f aca="false">IF(H8="","",(IF($C$20&lt;25%,"N/A",IF(H8&lt;=($D$20+$B$20),H8,"Descartado"))))</f>
        <v>50.5</v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 t="s">
        <v>127</v>
      </c>
      <c r="H9" s="10" t="n">
        <f aca="false">1.11*50</f>
        <v>55.5</v>
      </c>
      <c r="I9" s="10" t="n">
        <f aca="false">IF(H9="","",(IF($C$20&lt;25%,"N/A",IF(H9&lt;=($D$20+$B$20),H9,"Descartado"))))</f>
        <v>55.5</v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 t="s">
        <v>128</v>
      </c>
      <c r="H10" s="10" t="n">
        <f aca="false">1.27*50</f>
        <v>63.5</v>
      </c>
      <c r="I10" s="10" t="n">
        <f aca="false">IF(H10="","",(IF($C$20&lt;25%,"N/A",IF(H10&lt;=($D$20+$B$20),H10,"Descartado"))))</f>
        <v>63.5</v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 t="s">
        <v>129</v>
      </c>
      <c r="H11" s="10" t="n">
        <f aca="false">1.69*50</f>
        <v>84.5</v>
      </c>
      <c r="I11" s="10" t="n">
        <f aca="false">IF(H11="","",(IF($C$20&lt;25%,"N/A",IF(H11&lt;=($D$20+$B$20),H11,"Descartado"))))</f>
        <v>84.5</v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 t="s">
        <v>130</v>
      </c>
      <c r="H12" s="10" t="n">
        <f aca="false">2.34*50</f>
        <v>117</v>
      </c>
      <c r="I12" s="10" t="n">
        <f aca="false">IF(H12="","",(IF($C$20&lt;25%,"N/A",IF(H12&lt;=($D$20+$B$20),H12,"Descartado"))))</f>
        <v>117</v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 t="s">
        <v>131</v>
      </c>
      <c r="H13" s="10" t="n">
        <f aca="false">2.4*50</f>
        <v>120</v>
      </c>
      <c r="I13" s="10" t="n">
        <f aca="false">IF(H13="","",(IF($C$20&lt;25%,"N/A",IF(H13&lt;=($D$20+$B$20),H13,"Descartado"))))</f>
        <v>120</v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 t="s">
        <v>132</v>
      </c>
      <c r="H14" s="10" t="n">
        <f aca="false">2.9*50</f>
        <v>145</v>
      </c>
      <c r="I14" s="10" t="n">
        <f aca="false">IF(H14="","",(IF($C$20&lt;25%,"N/A",IF(H14&lt;=($D$20+$B$20),H14,"Descartado"))))</f>
        <v>145</v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 t="s">
        <v>133</v>
      </c>
      <c r="H15" s="10" t="n">
        <f aca="false">3*50</f>
        <v>150</v>
      </c>
      <c r="I15" s="10" t="n">
        <f aca="false">IF(H15="","",(IF($C$20&lt;25%,"N/A",IF(H15&lt;=($D$20+$B$20),H15,"Descartado"))))</f>
        <v>150</v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 t="s">
        <v>134</v>
      </c>
      <c r="H16" s="10" t="n">
        <f aca="false">3.5*50</f>
        <v>175</v>
      </c>
      <c r="I16" s="10" t="str">
        <f aca="false">IF(H16="","",(IF($C$20&lt;25%,"N/A",IF(H16&lt;=($D$20+$B$20),H16,"Descartado"))))</f>
        <v>Descartado</v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 t="s">
        <v>135</v>
      </c>
      <c r="H17" s="10" t="n">
        <f aca="false">3.6*50</f>
        <v>180</v>
      </c>
      <c r="I17" s="10" t="str">
        <f aca="false">IF(H17="","",(IF($C$20&lt;25%,"N/A",IF(H17&lt;=($D$20+$B$20),H17,"Descartado"))))</f>
        <v>Descartado</v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50.2067866784106</v>
      </c>
      <c r="C20" s="23" t="n">
        <f aca="false">IF(H23&lt;2,"N/A",(B20/D20))</f>
        <v>0.430589937207638</v>
      </c>
      <c r="D20" s="24" t="n">
        <f aca="false">AVERAGE(H3:H17)</f>
        <v>116.6</v>
      </c>
      <c r="E20" s="25" t="n">
        <f aca="false">IF(H23&lt;2,"N/A",(IF(C20&lt;=25%,"N/A",AVERAGE(I3:I17))))</f>
        <v>100.416666666667</v>
      </c>
      <c r="F20" s="24" t="n">
        <f aca="false">MEDIAN(H3:H17)</f>
        <v>122.5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100.416666666667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301260</v>
      </c>
      <c r="E23" s="32"/>
      <c r="G23" s="33" t="s">
        <v>22</v>
      </c>
      <c r="H23" s="34" t="n">
        <f aca="false">COUNT(H3:H17)</f>
        <v>15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3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51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136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137</v>
      </c>
      <c r="C3" s="6"/>
      <c r="D3" s="6"/>
      <c r="E3" s="7" t="s">
        <v>39</v>
      </c>
      <c r="F3" s="8" t="n">
        <v>100</v>
      </c>
      <c r="G3" s="9" t="s">
        <v>99</v>
      </c>
      <c r="H3" s="10" t="n">
        <v>2.33</v>
      </c>
      <c r="I3" s="10" t="n">
        <f aca="false">IF(H3="","",(IF($C$20&lt;25%,"N/A",IF(H3&lt;=($D$20+$B$20),H3,"Descartado"))))</f>
        <v>2.33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138</v>
      </c>
      <c r="H4" s="10" t="n">
        <v>2.36</v>
      </c>
      <c r="I4" s="10" t="n">
        <f aca="false">IF(H4="","",(IF($C$20&lt;25%,"N/A",IF(H4&lt;=($D$20+$B$20),H4,"Descartado"))))</f>
        <v>2.36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139</v>
      </c>
      <c r="H5" s="10" t="n">
        <v>8.69</v>
      </c>
      <c r="I5" s="10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3.66331816800015</v>
      </c>
      <c r="C20" s="23" t="n">
        <f aca="false">IF(H23&lt;2,"N/A",(B20/D20))</f>
        <v>0.821371786547119</v>
      </c>
      <c r="D20" s="24" t="n">
        <f aca="false">AVERAGE(H3:H17)</f>
        <v>4.46</v>
      </c>
      <c r="E20" s="25" t="n">
        <f aca="false">IF(H23&lt;2,"N/A",(IF(C20&lt;=25%,"N/A",AVERAGE(I3:I17))))</f>
        <v>2.345</v>
      </c>
      <c r="F20" s="24" t="n">
        <f aca="false">MEDIAN(H3:H17)</f>
        <v>2.36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2.345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235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30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31</v>
      </c>
      <c r="C3" s="6"/>
      <c r="D3" s="6"/>
      <c r="E3" s="7" t="s">
        <v>9</v>
      </c>
      <c r="F3" s="8" t="n">
        <v>10000</v>
      </c>
      <c r="G3" s="9" t="s">
        <v>32</v>
      </c>
      <c r="H3" s="10" t="n">
        <v>1.23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33</v>
      </c>
      <c r="H4" s="10" t="n">
        <v>1.3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34</v>
      </c>
      <c r="H5" s="10" t="n">
        <v>1.45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35</v>
      </c>
      <c r="H6" s="10" t="n">
        <v>1.49</v>
      </c>
      <c r="I6" s="10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 t="s">
        <v>36</v>
      </c>
      <c r="H7" s="10" t="n">
        <v>1.49</v>
      </c>
      <c r="I7" s="10" t="str">
        <f aca="false">IF(H7="","",(IF($C$20&lt;25%,"N/A",IF(H7&lt;=($D$20+$B$20),H7,"Descartado"))))</f>
        <v>N/A</v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0.119666202413213</v>
      </c>
      <c r="C20" s="23" t="n">
        <f aca="false">IF(H23&lt;2,"N/A",(B20/D20))</f>
        <v>0.0859670994347792</v>
      </c>
      <c r="D20" s="24" t="n">
        <f aca="false">AVERAGE(H3:H17)</f>
        <v>1.392</v>
      </c>
      <c r="E20" s="25" t="str">
        <f aca="false">IF(H23&lt;2,"N/A",(IF(C20&lt;=25%,"N/A",AVERAGE(I3:I17))))</f>
        <v>N/A</v>
      </c>
      <c r="F20" s="24" t="n">
        <f aca="false">MEDIAN(H3:H17)</f>
        <v>1.45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1.392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13900</v>
      </c>
      <c r="E23" s="32"/>
      <c r="G23" s="33" t="s">
        <v>22</v>
      </c>
      <c r="H23" s="34" t="n">
        <f aca="false">COUNT(H3:H17)</f>
        <v>5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140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141</v>
      </c>
      <c r="C3" s="6"/>
      <c r="D3" s="6"/>
      <c r="E3" s="7" t="s">
        <v>142</v>
      </c>
      <c r="F3" s="8" t="n">
        <v>3000</v>
      </c>
      <c r="G3" s="9" t="s">
        <v>143</v>
      </c>
      <c r="H3" s="10" t="n">
        <v>4.4</v>
      </c>
      <c r="I3" s="10" t="str">
        <f aca="false">IF(H3="","",(IF($C$20&lt;25%,"N/A",IF(H3&lt;=($D$20+$B$20),H3,"Descartado"))))</f>
        <v>Descartado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144</v>
      </c>
      <c r="H4" s="10" t="n">
        <v>2.5</v>
      </c>
      <c r="I4" s="10" t="n">
        <f aca="false">IF(H4="","",(IF($C$20&lt;25%,"N/A",IF(H4&lt;=($D$20+$B$20),H4,"Descartado"))))</f>
        <v>2.5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145</v>
      </c>
      <c r="H5" s="10" t="n">
        <v>2.37</v>
      </c>
      <c r="I5" s="10" t="n">
        <f aca="false">IF(H5="","",(IF($C$20&lt;25%,"N/A",IF(H5&lt;=($D$20+$B$20),H5,"Descartado"))))</f>
        <v>2.37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146</v>
      </c>
      <c r="H6" s="10" t="n">
        <v>2.71</v>
      </c>
      <c r="I6" s="10" t="n">
        <f aca="false">IF(H6="","",(IF($C$20&lt;25%,"N/A",IF(H6&lt;=($D$20+$B$20),H6,"Descartado"))))</f>
        <v>2.71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0.947083241677661</v>
      </c>
      <c r="C20" s="23" t="n">
        <f aca="false">IF(H23&lt;2,"N/A",(B20/D20))</f>
        <v>0.316221449641957</v>
      </c>
      <c r="D20" s="24" t="n">
        <f aca="false">AVERAGE(H3:H17)</f>
        <v>2.995</v>
      </c>
      <c r="E20" s="25" t="n">
        <f aca="false">IF(H23&lt;2,"N/A",(IF(C20&lt;=25%,"N/A",AVERAGE(I3:I17))))</f>
        <v>2.52666666666667</v>
      </c>
      <c r="F20" s="24" t="n">
        <f aca="false">MEDIAN(H3:H17)</f>
        <v>2.605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2.52666666666667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7590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147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148</v>
      </c>
      <c r="C3" s="6"/>
      <c r="D3" s="6"/>
      <c r="E3" s="7" t="s">
        <v>52</v>
      </c>
      <c r="F3" s="8" t="n">
        <v>600</v>
      </c>
      <c r="G3" s="9" t="s">
        <v>149</v>
      </c>
      <c r="H3" s="10" t="n">
        <v>81</v>
      </c>
      <c r="I3" s="10" t="n">
        <f aca="false">IF(H3="","",(IF($C$20&lt;25%,"N/A",IF(H3&lt;=($D$20+$B$20),H3,"Descartado"))))</f>
        <v>81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150</v>
      </c>
      <c r="H4" s="10" t="n">
        <v>23.18</v>
      </c>
      <c r="I4" s="10" t="n">
        <f aca="false">IF(H4="","",(IF($C$20&lt;25%,"N/A",IF(H4&lt;=($D$20+$B$20),H4,"Descartado"))))</f>
        <v>23.18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151</v>
      </c>
      <c r="H5" s="10" t="n">
        <v>66</v>
      </c>
      <c r="I5" s="10" t="n">
        <f aca="false">IF(H5="","",(IF($C$20&lt;25%,"N/A",IF(H5&lt;=($D$20+$B$20),H5,"Descartado"))))</f>
        <v>66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30.0047351818564</v>
      </c>
      <c r="C20" s="23" t="n">
        <f aca="false">IF(H23&lt;2,"N/A",(B20/D20))</f>
        <v>0.528935277621162</v>
      </c>
      <c r="D20" s="24" t="n">
        <f aca="false">AVERAGE(H3:H17)</f>
        <v>56.7266666666667</v>
      </c>
      <c r="E20" s="25" t="n">
        <f aca="false">IF(H23&lt;2,"N/A",(IF(C20&lt;=25%,"N/A",AVERAGE(I3:I17))))</f>
        <v>56.7266666666667</v>
      </c>
      <c r="F20" s="24" t="n">
        <f aca="false">MEDIAN(H3:H17)</f>
        <v>66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56.7266666666667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34038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152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153</v>
      </c>
      <c r="C3" s="6"/>
      <c r="D3" s="6"/>
      <c r="E3" s="7" t="s">
        <v>154</v>
      </c>
      <c r="F3" s="8" t="n">
        <v>15000</v>
      </c>
      <c r="G3" s="9" t="s">
        <v>155</v>
      </c>
      <c r="H3" s="10" t="n">
        <v>2.57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156</v>
      </c>
      <c r="H4" s="10" t="n">
        <v>2.57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157</v>
      </c>
      <c r="H5" s="10" t="n">
        <v>3.32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158</v>
      </c>
      <c r="H6" s="10" t="n">
        <v>3.71</v>
      </c>
      <c r="I6" s="10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0.568352883339215</v>
      </c>
      <c r="C20" s="23" t="n">
        <f aca="false">IF(H23&lt;2,"N/A",(B20/D20))</f>
        <v>0.186804563135321</v>
      </c>
      <c r="D20" s="24" t="n">
        <f aca="false">AVERAGE(H3:H17)</f>
        <v>3.0425</v>
      </c>
      <c r="E20" s="25" t="str">
        <f aca="false">IF(H23&lt;2,"N/A",(IF(C20&lt;=25%,"N/A",AVERAGE(I3:I17))))</f>
        <v>N/A</v>
      </c>
      <c r="F20" s="24" t="n">
        <f aca="false">MEDIAN(H3:H17)</f>
        <v>2.945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3.0425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45600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159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160</v>
      </c>
      <c r="C3" s="6"/>
      <c r="D3" s="6"/>
      <c r="E3" s="7" t="s">
        <v>52</v>
      </c>
      <c r="F3" s="8" t="n">
        <v>1250</v>
      </c>
      <c r="G3" s="9" t="s">
        <v>161</v>
      </c>
      <c r="H3" s="10" t="n">
        <v>28.75</v>
      </c>
      <c r="I3" s="10" t="n">
        <f aca="false">IF(H3="","",(IF($C$20&lt;25%,"N/A",IF(H3&lt;=($D$20+$B$20),H3,"Descartado"))))</f>
        <v>28.75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162</v>
      </c>
      <c r="H4" s="10" t="n">
        <v>32.42</v>
      </c>
      <c r="I4" s="10" t="n">
        <f aca="false">IF(H4="","",(IF($C$20&lt;25%,"N/A",IF(H4&lt;=($D$20+$B$20),H4,"Descartado"))))</f>
        <v>32.42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163</v>
      </c>
      <c r="H5" s="10" t="n">
        <v>14.99</v>
      </c>
      <c r="I5" s="10" t="n">
        <f aca="false">IF(H5="","",(IF($C$20&lt;25%,"N/A",IF(H5&lt;=($D$20+$B$20),H5,"Descartado"))))</f>
        <v>14.99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164</v>
      </c>
      <c r="H6" s="10" t="n">
        <v>30.9</v>
      </c>
      <c r="I6" s="10" t="n">
        <f aca="false">IF(H6="","",(IF($C$20&lt;25%,"N/A",IF(H6&lt;=($D$20+$B$20),H6,"Descartado"))))</f>
        <v>30.9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7.99308242586467</v>
      </c>
      <c r="C20" s="23" t="n">
        <f aca="false">IF(H23&lt;2,"N/A",(B20/D20))</f>
        <v>0.298639358336061</v>
      </c>
      <c r="D20" s="24" t="n">
        <f aca="false">AVERAGE(H3:H17)</f>
        <v>26.765</v>
      </c>
      <c r="E20" s="25" t="n">
        <f aca="false">IF(H23&lt;2,"N/A",(IF(C20&lt;=25%,"N/A",AVERAGE(I3:I17))))</f>
        <v>26.765</v>
      </c>
      <c r="F20" s="24" t="n">
        <f aca="false">MEDIAN(H3:H17)</f>
        <v>29.825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26.765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33462.5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165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166</v>
      </c>
      <c r="C3" s="6"/>
      <c r="D3" s="6"/>
      <c r="E3" s="7" t="s">
        <v>120</v>
      </c>
      <c r="F3" s="40" t="n">
        <v>3500</v>
      </c>
      <c r="G3" s="9" t="s">
        <v>167</v>
      </c>
      <c r="H3" s="10" t="n">
        <v>4.32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168</v>
      </c>
      <c r="H4" s="10" t="n">
        <v>4.58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169</v>
      </c>
      <c r="H5" s="10" t="n">
        <v>3.98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170</v>
      </c>
      <c r="H6" s="10" t="n">
        <v>4.19</v>
      </c>
      <c r="I6" s="10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0.251047804212664</v>
      </c>
      <c r="C20" s="23" t="n">
        <f aca="false">IF(H23&lt;2,"N/A",(B20/D20))</f>
        <v>0.0588278392999798</v>
      </c>
      <c r="D20" s="24" t="n">
        <f aca="false">AVERAGE(H3:H17)</f>
        <v>4.2675</v>
      </c>
      <c r="E20" s="25" t="str">
        <f aca="false">IF(H23&lt;2,"N/A",(IF(C20&lt;=25%,"N/A",AVERAGE(I3:I17))))</f>
        <v>N/A</v>
      </c>
      <c r="F20" s="24" t="n">
        <f aca="false">MEDIAN(H3:H17)</f>
        <v>4.255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4.2675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14945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6" min="4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171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172</v>
      </c>
      <c r="C3" s="6"/>
      <c r="D3" s="6"/>
      <c r="E3" s="7" t="s">
        <v>52</v>
      </c>
      <c r="F3" s="8" t="n">
        <v>1500</v>
      </c>
      <c r="G3" s="9" t="s">
        <v>173</v>
      </c>
      <c r="H3" s="10" t="n">
        <v>16.9</v>
      </c>
      <c r="I3" s="10" t="n">
        <f aca="false">IF(H3="","",(IF($C$20&lt;25%,"N/A",IF(H3&lt;=($D$20+$B$20),H3,"Descartado"))))</f>
        <v>16.9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75</v>
      </c>
      <c r="H4" s="10" t="n">
        <v>22.33</v>
      </c>
      <c r="I4" s="10" t="n">
        <f aca="false">IF(H4="","",(IF($C$20&lt;25%,"N/A",IF(H4&lt;=($D$20+$B$20),H4,"Descartado"))))</f>
        <v>22.33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174</v>
      </c>
      <c r="H5" s="10" t="n">
        <v>31.62</v>
      </c>
      <c r="I5" s="10" t="n">
        <f aca="false">IF(H5="","",(IF($C$20&lt;25%,"N/A",IF(H5&lt;=($D$20+$B$20),H5,"Descartado"))))</f>
        <v>31.62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175</v>
      </c>
      <c r="H6" s="10" t="n">
        <v>45.65</v>
      </c>
      <c r="I6" s="10" t="str">
        <f aca="false">IF(H6="","",(IF($C$20&lt;25%,"N/A",IF(H6&lt;=($D$20+$B$20),H6,"Descartado"))))</f>
        <v>Descartado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12.5820414347858</v>
      </c>
      <c r="C20" s="23" t="n">
        <f aca="false">IF(H23&lt;2,"N/A",(B20/D20))</f>
        <v>0.43200142265359</v>
      </c>
      <c r="D20" s="24" t="n">
        <f aca="false">AVERAGE(H3:H17)</f>
        <v>29.125</v>
      </c>
      <c r="E20" s="25" t="n">
        <f aca="false">IF(H23&lt;2,"N/A",(IF(C20&lt;=25%,"N/A",AVERAGE(I3:I17))))</f>
        <v>23.6166666666667</v>
      </c>
      <c r="F20" s="24" t="n">
        <f aca="false">MEDIAN(H3:H17)</f>
        <v>26.975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23.6166666666667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35430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44.31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176</v>
      </c>
      <c r="B2" s="4" t="s">
        <v>2</v>
      </c>
      <c r="C2" s="4"/>
      <c r="D2" s="4"/>
      <c r="E2" s="3"/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177</v>
      </c>
      <c r="C3" s="6"/>
      <c r="D3" s="6"/>
      <c r="E3" s="7" t="s">
        <v>39</v>
      </c>
      <c r="F3" s="40" t="n">
        <v>600</v>
      </c>
      <c r="G3" s="9" t="s">
        <v>178</v>
      </c>
      <c r="H3" s="10" t="n">
        <v>5.16</v>
      </c>
      <c r="I3" s="10" t="n">
        <f aca="false">IF(H3="","",(IF($C$20&lt;25%,"N/A",IF(H3&lt;=($D$20+$B$20),H3,"Descartado"))))</f>
        <v>5.16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179</v>
      </c>
      <c r="H4" s="10" t="n">
        <v>5.17</v>
      </c>
      <c r="I4" s="10" t="n">
        <f aca="false">IF(H4="","",(IF($C$20&lt;25%,"N/A",IF(H4&lt;=($D$20+$B$20),H4,"Descartado"))))</f>
        <v>5.17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180</v>
      </c>
      <c r="H5" s="10" t="n">
        <v>11.5</v>
      </c>
      <c r="I5" s="10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181</v>
      </c>
      <c r="H6" s="10" t="n">
        <v>9.319</v>
      </c>
      <c r="I6" s="10" t="n">
        <f aca="false">IF(H6="","",(IF($C$20&lt;25%,"N/A",IF(H6&lt;=($D$20+$B$20),H6,"Descartado"))))</f>
        <v>9.319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3.15611632390189</v>
      </c>
      <c r="C20" s="23" t="n">
        <f aca="false">IF(H23&lt;2,"N/A",(B20/D20))</f>
        <v>0.405292795775388</v>
      </c>
      <c r="D20" s="24" t="n">
        <f aca="false">AVERAGE(H3:H17)</f>
        <v>7.78725</v>
      </c>
      <c r="E20" s="25" t="n">
        <f aca="false">IF(H23&lt;2,"N/A",(IF(C20&lt;=25%,"N/A",AVERAGE(I3:I17))))</f>
        <v>6.54966666666667</v>
      </c>
      <c r="F20" s="24" t="n">
        <f aca="false">MEDIAN(H3:H17)</f>
        <v>7.2445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6.54966666666667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3930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182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183</v>
      </c>
      <c r="C3" s="6"/>
      <c r="D3" s="6"/>
      <c r="E3" s="7" t="s">
        <v>39</v>
      </c>
      <c r="F3" s="40" t="n">
        <v>120</v>
      </c>
      <c r="G3" s="9" t="s">
        <v>75</v>
      </c>
      <c r="H3" s="10" t="n">
        <v>14.9</v>
      </c>
      <c r="I3" s="10" t="n">
        <f aca="false">IF(H3="","",(IF($C$20&lt;25%,"N/A",IF(H3&lt;=($D$20+$B$20),H3,"Descartado"))))</f>
        <v>14.9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184</v>
      </c>
      <c r="H4" s="10" t="n">
        <v>28</v>
      </c>
      <c r="I4" s="10" t="str">
        <f aca="false">IF(H4="","",(IF($C$20&lt;25%,"N/A",IF(H4&lt;=($D$20+$B$20),H4,"Descartado"))))</f>
        <v>Descartado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185</v>
      </c>
      <c r="H5" s="10" t="n">
        <v>13.49</v>
      </c>
      <c r="I5" s="10" t="n">
        <f aca="false">IF(H5="","",(IF($C$20&lt;25%,"N/A",IF(H5&lt;=($D$20+$B$20),H5,"Descartado"))))</f>
        <v>13.49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8.00143945383162</v>
      </c>
      <c r="C20" s="23" t="n">
        <f aca="false">IF(H23&lt;2,"N/A",(B20/D20))</f>
        <v>0.425683957465772</v>
      </c>
      <c r="D20" s="24" t="n">
        <f aca="false">AVERAGE(H3:H17)</f>
        <v>18.7966666666667</v>
      </c>
      <c r="E20" s="25" t="n">
        <f aca="false">IF(H23&lt;2,"N/A",(IF(C20&lt;=25%,"N/A",AVERAGE(I3:I17))))</f>
        <v>14.195</v>
      </c>
      <c r="F20" s="24" t="n">
        <f aca="false">MEDIAN(H3:H17)</f>
        <v>14.9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14.195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1704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186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187</v>
      </c>
      <c r="C3" s="6"/>
      <c r="D3" s="6"/>
      <c r="E3" s="7" t="s">
        <v>39</v>
      </c>
      <c r="F3" s="40" t="n">
        <v>45</v>
      </c>
      <c r="G3" s="10" t="s">
        <v>188</v>
      </c>
      <c r="H3" s="10" t="n">
        <v>396.64</v>
      </c>
      <c r="I3" s="10" t="str">
        <f aca="false">IF(H3="","",(IF($C$20&lt;25%,"N/A",IF(H3&lt;=($D$20+$B$20),H3,"Descartado"))))</f>
        <v>Descartado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10" t="s">
        <v>189</v>
      </c>
      <c r="H4" s="10" t="n">
        <v>278.3</v>
      </c>
      <c r="I4" s="10" t="n">
        <f aca="false">IF(H4="","",(IF($C$20&lt;25%,"N/A",IF(H4&lt;=($D$20+$B$20),H4,"Descartado"))))</f>
        <v>278.3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10" t="s">
        <v>190</v>
      </c>
      <c r="H5" s="10" t="n">
        <v>228.02</v>
      </c>
      <c r="I5" s="10" t="n">
        <f aca="false">IF(H5="","",(IF($C$20&lt;25%,"N/A",IF(H5&lt;=($D$20+$B$20),H5,"Descartado"))))</f>
        <v>228.02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10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10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10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10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10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86.5689882887246</v>
      </c>
      <c r="C20" s="23" t="n">
        <f aca="false">IF(H23&lt;2,"N/A",(B20/D20))</f>
        <v>0.287617352779939</v>
      </c>
      <c r="D20" s="24" t="n">
        <f aca="false">AVERAGE(H3:H17)</f>
        <v>300.986666666667</v>
      </c>
      <c r="E20" s="25" t="n">
        <f aca="false">IF(H23&lt;2,"N/A",(IF(C20&lt;=25%,"N/A",AVERAGE(I3:I17))))</f>
        <v>253.16</v>
      </c>
      <c r="F20" s="24" t="n">
        <f aca="false">MEDIAN(H3:H17)</f>
        <v>278.3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253.16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11392.2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191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192</v>
      </c>
      <c r="C3" s="6"/>
      <c r="D3" s="6"/>
      <c r="E3" s="7" t="s">
        <v>39</v>
      </c>
      <c r="F3" s="40" t="n">
        <v>4</v>
      </c>
      <c r="G3" s="9" t="s">
        <v>76</v>
      </c>
      <c r="H3" s="10" t="n">
        <v>95.6</v>
      </c>
      <c r="I3" s="10" t="n">
        <f aca="false">IF(H3="","",(IF($C$20&lt;25%,"N/A",IF(H3&lt;=($D$20+$B$20),H3,"Descartado"))))</f>
        <v>95.6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75</v>
      </c>
      <c r="H4" s="10" t="n">
        <v>162.84</v>
      </c>
      <c r="I4" s="10" t="n">
        <f aca="false">IF(H4="","",(IF($C$20&lt;25%,"N/A",IF(H4&lt;=($D$20+$B$20),H4,"Descartado"))))</f>
        <v>162.84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/>
      <c r="H5" s="10"/>
      <c r="I5" s="10" t="str">
        <f aca="false">IF(H5="","",(IF($C$20&lt;25%,"N/A",IF(H5&lt;=($D$20+$B$20),H5,"Descartado"))))</f>
        <v/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47.5458599669835</v>
      </c>
      <c r="C20" s="23" t="n">
        <f aca="false">IF(H23&lt;2,"N/A",(B20/D20))</f>
        <v>0.367945054689548</v>
      </c>
      <c r="D20" s="24" t="n">
        <f aca="false">AVERAGE(H3:H17)</f>
        <v>129.22</v>
      </c>
      <c r="E20" s="25" t="n">
        <f aca="false">IF(H23&lt;2,"N/A",(IF(C20&lt;=25%,"N/A",AVERAGE(I3:I17))))</f>
        <v>129.22</v>
      </c>
      <c r="F20" s="24" t="n">
        <f aca="false">MEDIAN(H3:H17)</f>
        <v>129.22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129.22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516.88</v>
      </c>
      <c r="E23" s="32"/>
      <c r="G23" s="33" t="s">
        <v>22</v>
      </c>
      <c r="H23" s="34" t="n">
        <f aca="false">COUNT(H3:H17)</f>
        <v>2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37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38</v>
      </c>
      <c r="C3" s="6"/>
      <c r="D3" s="6"/>
      <c r="E3" s="7" t="s">
        <v>39</v>
      </c>
      <c r="F3" s="40" t="n">
        <v>200</v>
      </c>
      <c r="G3" s="9" t="s">
        <v>40</v>
      </c>
      <c r="H3" s="10" t="n">
        <v>49.9</v>
      </c>
      <c r="I3" s="10" t="n">
        <f aca="false">IF(H3="","",(IF($C$20&lt;25%,"N/A",IF(H3&lt;=($D$20+$B$20),H3,"Descartado"))))</f>
        <v>49.9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41</v>
      </c>
      <c r="H4" s="10" t="n">
        <v>97</v>
      </c>
      <c r="I4" s="10" t="str">
        <f aca="false">IF(H4="","",(IF($C$20&lt;25%,"N/A",IF(H4&lt;=($D$20+$B$20),H4,"Descartado"))))</f>
        <v>Descartado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42</v>
      </c>
      <c r="H5" s="10" t="n">
        <v>53.5</v>
      </c>
      <c r="I5" s="10" t="n">
        <f aca="false">IF(H5="","",(IF($C$20&lt;25%,"N/A",IF(H5&lt;=($D$20+$B$20),H5,"Descartado"))))</f>
        <v>53.5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26.2158349094588</v>
      </c>
      <c r="C20" s="23" t="n">
        <f aca="false">IF(H23&lt;2,"N/A",(B20/D20))</f>
        <v>0.392452618405072</v>
      </c>
      <c r="D20" s="24" t="n">
        <f aca="false">AVERAGE(H3:H17)</f>
        <v>66.8</v>
      </c>
      <c r="E20" s="25" t="n">
        <f aca="false">IF(H23&lt;2,"N/A",(IF(C20&lt;=25%,"N/A",AVERAGE(I3:I17))))</f>
        <v>51.7</v>
      </c>
      <c r="F20" s="24" t="n">
        <f aca="false">MEDIAN(H3:H17)</f>
        <v>53.5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51.7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10340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193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194</v>
      </c>
      <c r="C3" s="6"/>
      <c r="D3" s="6"/>
      <c r="E3" s="7" t="s">
        <v>39</v>
      </c>
      <c r="F3" s="40" t="n">
        <v>60</v>
      </c>
      <c r="G3" s="9" t="s">
        <v>195</v>
      </c>
      <c r="H3" s="10" t="n">
        <v>10.1</v>
      </c>
      <c r="I3" s="10" t="n">
        <f aca="false">IF(H3="","",(IF($C$20&lt;25%,"N/A",IF(H3&lt;=($D$20+$B$20),H3,"Descartado"))))</f>
        <v>10.1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196</v>
      </c>
      <c r="H4" s="10" t="n">
        <v>15.59</v>
      </c>
      <c r="I4" s="10" t="n">
        <f aca="false">IF(H4="","",(IF($C$20&lt;25%,"N/A",IF(H4&lt;=($D$20+$B$20),H4,"Descartado"))))</f>
        <v>15.59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75</v>
      </c>
      <c r="H5" s="10" t="n">
        <v>32.16</v>
      </c>
      <c r="I5" s="10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 t="s">
        <v>197</v>
      </c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11.4843995634658</v>
      </c>
      <c r="C20" s="23" t="n">
        <f aca="false">IF(H23&lt;2,"N/A",(B20/D20))</f>
        <v>0.595560910810672</v>
      </c>
      <c r="D20" s="24" t="n">
        <f aca="false">AVERAGE(H3:H17)</f>
        <v>19.2833333333333</v>
      </c>
      <c r="E20" s="25" t="n">
        <f aca="false">IF(H23&lt;2,"N/A",(IF(C20&lt;=25%,"N/A",AVERAGE(I3:I17))))</f>
        <v>12.845</v>
      </c>
      <c r="F20" s="24" t="n">
        <f aca="false">MEDIAN(H3:H17)</f>
        <v>15.59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12.845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771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198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199</v>
      </c>
      <c r="C3" s="6"/>
      <c r="D3" s="6"/>
      <c r="E3" s="7" t="s">
        <v>39</v>
      </c>
      <c r="F3" s="40" t="n">
        <v>10</v>
      </c>
      <c r="G3" s="9" t="s">
        <v>200</v>
      </c>
      <c r="H3" s="10" t="n">
        <v>9.99</v>
      </c>
      <c r="I3" s="10" t="n">
        <f aca="false">IF(H3="","",(IF($C$20&lt;25%,"N/A",IF(H3&lt;=($D$20+$B$20),H3,"Descartado"))))</f>
        <v>9.99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201</v>
      </c>
      <c r="H4" s="10" t="n">
        <v>13.8</v>
      </c>
      <c r="I4" s="10" t="n">
        <f aca="false">IF(H4="","",(IF($C$20&lt;25%,"N/A",IF(H4&lt;=($D$20+$B$20),H4,"Descartado"))))</f>
        <v>13.8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85</v>
      </c>
      <c r="H5" s="10" t="n">
        <v>21.48</v>
      </c>
      <c r="I5" s="10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5.852614800241</v>
      </c>
      <c r="C20" s="23" t="n">
        <f aca="false">IF(H23&lt;2,"N/A",(B20/D20))</f>
        <v>0.387847236596488</v>
      </c>
      <c r="D20" s="24" t="n">
        <f aca="false">AVERAGE(H3:H17)</f>
        <v>15.09</v>
      </c>
      <c r="E20" s="25" t="n">
        <f aca="false">IF(H23&lt;2,"N/A",(IF(C20&lt;=25%,"N/A",AVERAGE(I3:I17))))</f>
        <v>11.895</v>
      </c>
      <c r="F20" s="24" t="n">
        <f aca="false">MEDIAN(H3:H17)</f>
        <v>13.8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11.895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119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202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203</v>
      </c>
      <c r="C3" s="6"/>
      <c r="D3" s="6"/>
      <c r="E3" s="7" t="s">
        <v>39</v>
      </c>
      <c r="F3" s="40" t="n">
        <v>36</v>
      </c>
      <c r="G3" s="9" t="s">
        <v>75</v>
      </c>
      <c r="H3" s="10" t="n">
        <v>32.9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204</v>
      </c>
      <c r="H4" s="10" t="n">
        <v>19.3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85</v>
      </c>
      <c r="H5" s="10" t="n">
        <v>24.99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64</v>
      </c>
      <c r="H6" s="10" t="n">
        <v>27.5</v>
      </c>
      <c r="I6" s="10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5.64656458978968</v>
      </c>
      <c r="C20" s="23" t="n">
        <f aca="false">IF(H23&lt;2,"N/A",(B20/D20))</f>
        <v>0.215744181480167</v>
      </c>
      <c r="D20" s="24" t="n">
        <f aca="false">AVERAGE(H3:H17)</f>
        <v>26.1725</v>
      </c>
      <c r="E20" s="25" t="str">
        <f aca="false">IF(H23&lt;2,"N/A",(IF(C20&lt;=25%,"N/A",AVERAGE(I3:I17))))</f>
        <v>N/A</v>
      </c>
      <c r="F20" s="24" t="n">
        <f aca="false">MEDIAN(H3:H17)</f>
        <v>26.245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26.1725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942.12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19" activeCellId="0" sqref="G19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205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206</v>
      </c>
      <c r="C3" s="6"/>
      <c r="D3" s="6"/>
      <c r="E3" s="7" t="s">
        <v>39</v>
      </c>
      <c r="F3" s="40" t="n">
        <v>36</v>
      </c>
      <c r="G3" s="9" t="s">
        <v>145</v>
      </c>
      <c r="H3" s="10" t="n">
        <v>13.7</v>
      </c>
      <c r="I3" s="10" t="n">
        <f aca="false">IF(H3="","",(IF($C$20&lt;25%,"N/A",IF(H3&lt;=($D$20+$B$20),H3,"Descartado"))))</f>
        <v>13.7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207</v>
      </c>
      <c r="H4" s="10" t="n">
        <v>19.9</v>
      </c>
      <c r="I4" s="10" t="n">
        <f aca="false">IF(H4="","",(IF($C$20&lt;25%,"N/A",IF(H4&lt;=($D$20+$B$20),H4,"Descartado"))))</f>
        <v>19.9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208</v>
      </c>
      <c r="H5" s="10" t="n">
        <v>13.28</v>
      </c>
      <c r="I5" s="10" t="n">
        <f aca="false">IF(H5="","",(IF($C$20&lt;25%,"N/A",IF(H5&lt;=($D$20+$B$20),H5,"Descartado"))))</f>
        <v>13.28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209</v>
      </c>
      <c r="H6" s="10" t="n">
        <v>28.24</v>
      </c>
      <c r="I6" s="10" t="str">
        <f aca="false">IF(H6="","",(IF($C$20&lt;25%,"N/A",IF(H6&lt;=($D$20+$B$20),H6,"Descartado"))))</f>
        <v>Descartado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 t="s">
        <v>210</v>
      </c>
      <c r="H7" s="10" t="n">
        <v>13.7</v>
      </c>
      <c r="I7" s="10" t="n">
        <f aca="false">IF(H7="","",(IF($C$20&lt;25%,"N/A",IF(H7&lt;=($D$20+$B$20),H7,"Descartado"))))</f>
        <v>13.7</v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 t="s">
        <v>211</v>
      </c>
      <c r="H8" s="10" t="n">
        <v>17.9</v>
      </c>
      <c r="I8" s="10" t="n">
        <f aca="false">IF(H8="","",(IF($C$20&lt;25%,"N/A",IF(H8&lt;=($D$20+$B$20),H8,"Descartado"))))</f>
        <v>17.9</v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5.7872780015018</v>
      </c>
      <c r="C20" s="23" t="n">
        <f aca="false">IF(H23&lt;2,"N/A",(B20/D20))</f>
        <v>0.325371701733609</v>
      </c>
      <c r="D20" s="24" t="n">
        <f aca="false">AVERAGE(H3:H17)</f>
        <v>17.7866666666667</v>
      </c>
      <c r="E20" s="25" t="n">
        <f aca="false">IF(H23&lt;2,"N/A",(IF(C20&lt;=25%,"N/A",AVERAGE(I3:I17))))</f>
        <v>15.696</v>
      </c>
      <c r="F20" s="24" t="n">
        <f aca="false">MEDIAN(H3:H17)</f>
        <v>15.8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15.696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565.2</v>
      </c>
      <c r="E23" s="32"/>
      <c r="G23" s="33" t="s">
        <v>22</v>
      </c>
      <c r="H23" s="34" t="n">
        <f aca="false">COUNT(H3:H17)</f>
        <v>6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212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7" t="s">
        <v>213</v>
      </c>
      <c r="C3" s="7"/>
      <c r="D3" s="7"/>
      <c r="E3" s="7" t="s">
        <v>39</v>
      </c>
      <c r="F3" s="40" t="n">
        <v>60</v>
      </c>
      <c r="G3" s="43" t="s">
        <v>75</v>
      </c>
      <c r="H3" s="10" t="n">
        <v>18.27</v>
      </c>
      <c r="I3" s="10" t="n">
        <f aca="false">IF(H3="","",(IF($C$20&lt;25%,"N/A",IF(H3&lt;=($D$20+$B$20),H3,"Descartado"))))</f>
        <v>18.27</v>
      </c>
    </row>
    <row r="4" customFormat="false" ht="12.75" hidden="false" customHeight="false" outlineLevel="0" collapsed="false">
      <c r="A4" s="3"/>
      <c r="B4" s="7"/>
      <c r="C4" s="7"/>
      <c r="D4" s="7"/>
      <c r="E4" s="7"/>
      <c r="F4" s="7"/>
      <c r="G4" s="9" t="s">
        <v>85</v>
      </c>
      <c r="H4" s="10" t="n">
        <v>13.32</v>
      </c>
      <c r="I4" s="10" t="n">
        <f aca="false">IF(H4="","",(IF($C$20&lt;25%,"N/A",IF(H4&lt;=($D$20+$B$20),H4,"Descartado"))))</f>
        <v>13.32</v>
      </c>
    </row>
    <row r="5" customFormat="false" ht="12.75" hidden="false" customHeight="false" outlineLevel="0" collapsed="false">
      <c r="A5" s="3"/>
      <c r="B5" s="7"/>
      <c r="C5" s="7"/>
      <c r="D5" s="7"/>
      <c r="E5" s="7"/>
      <c r="F5" s="7"/>
      <c r="G5" s="9" t="s">
        <v>214</v>
      </c>
      <c r="H5" s="10" t="n">
        <v>24.99</v>
      </c>
      <c r="I5" s="10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7"/>
      <c r="C6" s="7"/>
      <c r="D6" s="7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7"/>
      <c r="C7" s="7"/>
      <c r="D7" s="7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7"/>
      <c r="C8" s="7"/>
      <c r="D8" s="7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7"/>
      <c r="C9" s="7"/>
      <c r="D9" s="7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7"/>
      <c r="C10" s="7"/>
      <c r="D10" s="7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7"/>
      <c r="C11" s="7"/>
      <c r="D11" s="7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7"/>
      <c r="C12" s="7"/>
      <c r="D12" s="7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7"/>
      <c r="C13" s="7"/>
      <c r="D13" s="7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7"/>
      <c r="C14" s="7"/>
      <c r="D14" s="7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7"/>
      <c r="C15" s="7"/>
      <c r="D15" s="7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7"/>
      <c r="C16" s="7"/>
      <c r="D16" s="7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7"/>
      <c r="C17" s="7"/>
      <c r="D17" s="7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5.85732874269491</v>
      </c>
      <c r="C20" s="23" t="n">
        <f aca="false">IF(H23&lt;2,"N/A",(B20/D20))</f>
        <v>0.31056886228499</v>
      </c>
      <c r="D20" s="24" t="n">
        <f aca="false">AVERAGE(H3:H17)</f>
        <v>18.86</v>
      </c>
      <c r="E20" s="25" t="n">
        <f aca="false">IF(H23&lt;2,"N/A",(IF(C20&lt;=25%,"N/A",AVERAGE(I3:I17))))</f>
        <v>15.795</v>
      </c>
      <c r="F20" s="24" t="n">
        <f aca="false">MEDIAN(H3:H17)</f>
        <v>18.27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15.795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948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215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7" t="s">
        <v>216</v>
      </c>
      <c r="C3" s="7"/>
      <c r="D3" s="7"/>
      <c r="E3" s="7" t="s">
        <v>39</v>
      </c>
      <c r="F3" s="40" t="n">
        <v>10</v>
      </c>
      <c r="G3" s="9" t="s">
        <v>75</v>
      </c>
      <c r="H3" s="10" t="n">
        <v>27.88</v>
      </c>
      <c r="I3" s="10" t="n">
        <f aca="false">IF(H3="","",(IF($C$20&lt;25%,"N/A",IF(H3&lt;=($D$20+$B$20),H3,"Descartado"))))</f>
        <v>27.88</v>
      </c>
    </row>
    <row r="4" customFormat="false" ht="12.75" hidden="false" customHeight="false" outlineLevel="0" collapsed="false">
      <c r="A4" s="3"/>
      <c r="B4" s="7"/>
      <c r="C4" s="7"/>
      <c r="D4" s="7"/>
      <c r="E4" s="7"/>
      <c r="F4" s="7"/>
      <c r="G4" s="9" t="s">
        <v>42</v>
      </c>
      <c r="H4" s="10" t="n">
        <v>30.98</v>
      </c>
      <c r="I4" s="10" t="n">
        <f aca="false">IF(H4="","",(IF($C$20&lt;25%,"N/A",IF(H4&lt;=($D$20+$B$20),H4,"Descartado"))))</f>
        <v>30.98</v>
      </c>
    </row>
    <row r="5" customFormat="false" ht="12.75" hidden="false" customHeight="false" outlineLevel="0" collapsed="false">
      <c r="A5" s="3"/>
      <c r="B5" s="7"/>
      <c r="C5" s="7"/>
      <c r="D5" s="7"/>
      <c r="E5" s="7"/>
      <c r="F5" s="7"/>
      <c r="G5" s="9" t="s">
        <v>214</v>
      </c>
      <c r="H5" s="10" t="n">
        <v>59.9</v>
      </c>
      <c r="I5" s="10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7"/>
      <c r="C6" s="7"/>
      <c r="D6" s="7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7"/>
      <c r="C7" s="7"/>
      <c r="D7" s="7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7"/>
      <c r="C8" s="7"/>
      <c r="D8" s="7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7"/>
      <c r="C9" s="7"/>
      <c r="D9" s="7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7"/>
      <c r="C10" s="7"/>
      <c r="D10" s="7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7"/>
      <c r="C11" s="7"/>
      <c r="D11" s="7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7"/>
      <c r="C12" s="7"/>
      <c r="D12" s="7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7"/>
      <c r="C13" s="7"/>
      <c r="D13" s="7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7"/>
      <c r="C14" s="7"/>
      <c r="D14" s="7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7"/>
      <c r="C15" s="7"/>
      <c r="D15" s="7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7"/>
      <c r="C16" s="7"/>
      <c r="D16" s="7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7"/>
      <c r="C17" s="7"/>
      <c r="D17" s="7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17.6600151000313</v>
      </c>
      <c r="C20" s="23" t="n">
        <f aca="false">IF(H23&lt;2,"N/A",(B20/D20))</f>
        <v>0.446110182722246</v>
      </c>
      <c r="D20" s="24" t="n">
        <f aca="false">AVERAGE(H3:H17)</f>
        <v>39.5866666666667</v>
      </c>
      <c r="E20" s="25" t="n">
        <f aca="false">IF(H23&lt;2,"N/A",(IF(C20&lt;=25%,"N/A",AVERAGE(I3:I17))))</f>
        <v>29.43</v>
      </c>
      <c r="F20" s="24" t="n">
        <f aca="false">MEDIAN(H3:H17)</f>
        <v>30.98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29.43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294.3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217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7" t="s">
        <v>218</v>
      </c>
      <c r="C3" s="7"/>
      <c r="D3" s="7"/>
      <c r="E3" s="7" t="s">
        <v>39</v>
      </c>
      <c r="F3" s="40" t="n">
        <v>10</v>
      </c>
      <c r="G3" s="9" t="s">
        <v>42</v>
      </c>
      <c r="H3" s="10" t="n">
        <v>39.9</v>
      </c>
      <c r="I3" s="10" t="n">
        <f aca="false">IF(H3="","",(IF($C$20&lt;25%,"N/A",IF(H3&lt;=($D$20+$B$20),H3,"Descartado"))))</f>
        <v>39.9</v>
      </c>
    </row>
    <row r="4" customFormat="false" ht="12.75" hidden="false" customHeight="false" outlineLevel="0" collapsed="false">
      <c r="A4" s="3"/>
      <c r="B4" s="7"/>
      <c r="C4" s="7"/>
      <c r="D4" s="7"/>
      <c r="E4" s="7"/>
      <c r="F4" s="7"/>
      <c r="G4" s="9" t="s">
        <v>85</v>
      </c>
      <c r="H4" s="10" t="n">
        <v>59.9</v>
      </c>
      <c r="I4" s="10" t="str">
        <f aca="false">IF(H4="","",(IF($C$20&lt;25%,"N/A",IF(H4&lt;=($D$20+$B$20),H4,"Descartado"))))</f>
        <v>Descartado</v>
      </c>
    </row>
    <row r="5" customFormat="false" ht="12.75" hidden="false" customHeight="false" outlineLevel="0" collapsed="false">
      <c r="A5" s="3"/>
      <c r="B5" s="7"/>
      <c r="C5" s="7"/>
      <c r="D5" s="7"/>
      <c r="E5" s="7"/>
      <c r="F5" s="7"/>
      <c r="G5" s="9" t="s">
        <v>75</v>
      </c>
      <c r="H5" s="10" t="n">
        <v>37.71</v>
      </c>
      <c r="I5" s="10" t="n">
        <f aca="false">IF(H5="","",(IF($C$20&lt;25%,"N/A",IF(H5&lt;=($D$20+$B$20),H5,"Descartado"))))</f>
        <v>37.71</v>
      </c>
    </row>
    <row r="6" customFormat="false" ht="12.75" hidden="false" customHeight="false" outlineLevel="0" collapsed="false">
      <c r="A6" s="3"/>
      <c r="B6" s="7"/>
      <c r="C6" s="7"/>
      <c r="D6" s="7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7"/>
      <c r="C7" s="7"/>
      <c r="D7" s="7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7"/>
      <c r="C8" s="7"/>
      <c r="D8" s="7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7"/>
      <c r="C9" s="7"/>
      <c r="D9" s="7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7"/>
      <c r="C10" s="7"/>
      <c r="D10" s="7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7"/>
      <c r="C11" s="7"/>
      <c r="D11" s="7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7"/>
      <c r="C12" s="7"/>
      <c r="D12" s="7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7"/>
      <c r="C13" s="7"/>
      <c r="D13" s="7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7"/>
      <c r="C14" s="7"/>
      <c r="D14" s="7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7"/>
      <c r="C15" s="7"/>
      <c r="D15" s="7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7"/>
      <c r="C16" s="7"/>
      <c r="D16" s="7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7"/>
      <c r="C17" s="7"/>
      <c r="D17" s="7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12.2283291308884</v>
      </c>
      <c r="C20" s="23" t="n">
        <f aca="false">IF(H23&lt;2,"N/A",(B20/D20))</f>
        <v>0.266780506091667</v>
      </c>
      <c r="D20" s="24" t="n">
        <f aca="false">AVERAGE(H3:H17)</f>
        <v>45.8366666666667</v>
      </c>
      <c r="E20" s="25" t="n">
        <f aca="false">IF(H23&lt;2,"N/A",(IF(C20&lt;=25%,"N/A",AVERAGE(I3:I17))))</f>
        <v>38.805</v>
      </c>
      <c r="F20" s="24" t="n">
        <f aca="false">MEDIAN(H3:H17)</f>
        <v>39.9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38.805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388.1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6" min="4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219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220</v>
      </c>
      <c r="C3" s="6"/>
      <c r="D3" s="6"/>
      <c r="E3" s="7" t="s">
        <v>39</v>
      </c>
      <c r="F3" s="40" t="n">
        <v>10</v>
      </c>
      <c r="G3" s="9" t="s">
        <v>221</v>
      </c>
      <c r="H3" s="10" t="n">
        <v>6.34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222</v>
      </c>
      <c r="H4" s="10" t="n">
        <v>7.53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/>
      <c r="H5" s="10"/>
      <c r="I5" s="10" t="str">
        <f aca="false">IF(H5="","",(IF($C$20&lt;25%,"N/A",IF(H5&lt;=($D$20+$B$20),H5,"Descartado"))))</f>
        <v/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0.841457069611992</v>
      </c>
      <c r="C20" s="23" t="n">
        <f aca="false">IF(H23&lt;2,"N/A",(B20/D20))</f>
        <v>0.121334833397547</v>
      </c>
      <c r="D20" s="24" t="n">
        <f aca="false">AVERAGE(H3:H17)</f>
        <v>6.935</v>
      </c>
      <c r="E20" s="25" t="str">
        <f aca="false">IF(H23&lt;2,"N/A",(IF(C20&lt;=25%,"N/A",AVERAGE(I3:I17))))</f>
        <v>N/A</v>
      </c>
      <c r="F20" s="24" t="n">
        <f aca="false">MEDIAN(H3:H17)</f>
        <v>6.935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6.935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69.4</v>
      </c>
      <c r="E23" s="32"/>
      <c r="G23" s="33" t="s">
        <v>22</v>
      </c>
      <c r="H23" s="34" t="n">
        <f aca="false">COUNT(H3:H17)</f>
        <v>2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223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224</v>
      </c>
      <c r="C3" s="6"/>
      <c r="D3" s="6"/>
      <c r="E3" s="7" t="s">
        <v>39</v>
      </c>
      <c r="F3" s="40" t="n">
        <v>10</v>
      </c>
      <c r="G3" s="9" t="s">
        <v>75</v>
      </c>
      <c r="H3" s="10" t="n">
        <v>39.9</v>
      </c>
      <c r="I3" s="10" t="str">
        <f aca="false">IF(H3="","",(IF($C$20&lt;25%,"N/A",IF(H3&lt;=($D$20+$B$20),H3,"Descartado"))))</f>
        <v>Descartado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225</v>
      </c>
      <c r="H4" s="10" t="n">
        <v>31.86</v>
      </c>
      <c r="I4" s="10" t="n">
        <f aca="false">IF(H4="","",(IF($C$20&lt;25%,"N/A",IF(H4&lt;=($D$20+$B$20),H4,"Descartado"))))</f>
        <v>31.86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226</v>
      </c>
      <c r="H5" s="10" t="n">
        <v>30.6</v>
      </c>
      <c r="I5" s="10" t="n">
        <f aca="false">IF(H5="","",(IF($C$20&lt;25%,"N/A",IF(H5&lt;=($D$20+$B$20),H5,"Descartado"))))</f>
        <v>30.6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227</v>
      </c>
      <c r="H6" s="10" t="n">
        <v>15.5</v>
      </c>
      <c r="I6" s="10" t="n">
        <f aca="false">IF(H6="","",(IF($C$20&lt;25%,"N/A",IF(H6&lt;=($D$20+$B$20),H6,"Descartado"))))</f>
        <v>15.5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 t="s">
        <v>228</v>
      </c>
      <c r="H7" s="10" t="n">
        <v>17.97</v>
      </c>
      <c r="I7" s="10" t="n">
        <f aca="false">IF(H7="","",(IF($C$20&lt;25%,"N/A",IF(H7&lt;=($D$20+$B$20),H7,"Descartado"))))</f>
        <v>17.97</v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10.2059139718107</v>
      </c>
      <c r="C20" s="23" t="n">
        <f aca="false">IF(H23&lt;2,"N/A",(B20/D20))</f>
        <v>0.375687034226999</v>
      </c>
      <c r="D20" s="24" t="n">
        <f aca="false">AVERAGE(H3:H17)</f>
        <v>27.166</v>
      </c>
      <c r="E20" s="25" t="n">
        <f aca="false">IF(H23&lt;2,"N/A",(IF(C20&lt;=25%,"N/A",AVERAGE(I3:I17))))</f>
        <v>23.9825</v>
      </c>
      <c r="F20" s="24" t="n">
        <f aca="false">MEDIAN(H3:H17)</f>
        <v>30.6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23.9825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239.8</v>
      </c>
      <c r="E23" s="32"/>
      <c r="G23" s="33" t="s">
        <v>22</v>
      </c>
      <c r="H23" s="34" t="n">
        <f aca="false">COUNT(H3:H17)</f>
        <v>5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229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230</v>
      </c>
      <c r="C3" s="6"/>
      <c r="D3" s="6"/>
      <c r="E3" s="7" t="s">
        <v>39</v>
      </c>
      <c r="F3" s="40" t="n">
        <v>4</v>
      </c>
      <c r="G3" s="9" t="s">
        <v>85</v>
      </c>
      <c r="H3" s="10" t="n">
        <v>125.4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75</v>
      </c>
      <c r="H4" s="10" t="n">
        <v>97.75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214</v>
      </c>
      <c r="H5" s="10" t="n">
        <v>101.9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14.9108182203392</v>
      </c>
      <c r="C20" s="23" t="n">
        <f aca="false">IF(H23&lt;2,"N/A",(B20/D20))</f>
        <v>0.137617150164644</v>
      </c>
      <c r="D20" s="24" t="n">
        <f aca="false">AVERAGE(H3:H17)</f>
        <v>108.35</v>
      </c>
      <c r="E20" s="25" t="str">
        <f aca="false">IF(H23&lt;2,"N/A",(IF(C20&lt;=25%,"N/A",AVERAGE(I3:I17))))</f>
        <v>N/A</v>
      </c>
      <c r="F20" s="24" t="n">
        <f aca="false">MEDIAN(H3:H17)</f>
        <v>101.9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108.35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433.4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43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44</v>
      </c>
      <c r="C3" s="6"/>
      <c r="D3" s="6"/>
      <c r="E3" s="7" t="s">
        <v>39</v>
      </c>
      <c r="F3" s="40" t="n">
        <v>200</v>
      </c>
      <c r="G3" s="9" t="s">
        <v>45</v>
      </c>
      <c r="H3" s="10" t="n">
        <v>7</v>
      </c>
      <c r="I3" s="10" t="n">
        <f aca="false">IF(H3="","",(IF($C$20&lt;25%,"N/A",IF(H3&lt;=($D$20+$B$20),H3,"Descartado"))))</f>
        <v>7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46</v>
      </c>
      <c r="H4" s="10" t="n">
        <v>9</v>
      </c>
      <c r="I4" s="10" t="n">
        <f aca="false">IF(H4="","",(IF($C$20&lt;25%,"N/A",IF(H4&lt;=($D$20+$B$20),H4,"Descartado"))))</f>
        <v>9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47</v>
      </c>
      <c r="H5" s="10" t="n">
        <v>11</v>
      </c>
      <c r="I5" s="10" t="n">
        <f aca="false">IF(H5="","",(IF($C$20&lt;25%,"N/A",IF(H5&lt;=($D$20+$B$20),H5,"Descartado"))))</f>
        <v>11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48</v>
      </c>
      <c r="H6" s="10" t="n">
        <v>11.87</v>
      </c>
      <c r="I6" s="10" t="n">
        <f aca="false">IF(H6="","",(IF($C$20&lt;25%,"N/A",IF(H6&lt;=($D$20+$B$20),H6,"Descartado"))))</f>
        <v>11.87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 t="s">
        <v>49</v>
      </c>
      <c r="H7" s="10" t="n">
        <v>23</v>
      </c>
      <c r="I7" s="10" t="str">
        <f aca="false">IF(H7="","",(IF($C$20&lt;25%,"N/A",IF(H7&lt;=($D$20+$B$20),H7,"Descartado"))))</f>
        <v>Descartado</v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6.23132249205576</v>
      </c>
      <c r="C20" s="23" t="n">
        <f aca="false">IF(H23&lt;2,"N/A",(B20/D20))</f>
        <v>0.503581904966523</v>
      </c>
      <c r="D20" s="24" t="n">
        <f aca="false">AVERAGE(H3:H17)</f>
        <v>12.374</v>
      </c>
      <c r="E20" s="25" t="n">
        <f aca="false">IF(H23&lt;2,"N/A",(IF(C20&lt;=25%,"N/A",AVERAGE(I3:I17))))</f>
        <v>9.7175</v>
      </c>
      <c r="F20" s="24" t="n">
        <f aca="false">MEDIAN(H3:H17)</f>
        <v>11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9.7175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1944</v>
      </c>
      <c r="E23" s="32"/>
      <c r="G23" s="33" t="s">
        <v>22</v>
      </c>
      <c r="H23" s="34" t="n">
        <f aca="false">COUNT(H3:H17)</f>
        <v>5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231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232</v>
      </c>
      <c r="C3" s="6"/>
      <c r="D3" s="6"/>
      <c r="E3" s="7" t="s">
        <v>39</v>
      </c>
      <c r="F3" s="40" t="n">
        <v>10</v>
      </c>
      <c r="G3" s="9" t="s">
        <v>233</v>
      </c>
      <c r="H3" s="10" t="n">
        <v>6.9</v>
      </c>
      <c r="I3" s="10" t="n">
        <f aca="false">IF(H3="","",(IF($C$20&lt;25%,"N/A",IF(H3&lt;=($D$20+$B$20),H3,"Descartado"))))</f>
        <v>6.9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234</v>
      </c>
      <c r="H4" s="10" t="n">
        <v>16.86</v>
      </c>
      <c r="I4" s="10" t="n">
        <f aca="false">IF(H4="","",(IF($C$20&lt;25%,"N/A",IF(H4&lt;=($D$20+$B$20),H4,"Descartado"))))</f>
        <v>16.86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235</v>
      </c>
      <c r="H5" s="10" t="n">
        <v>71.16</v>
      </c>
      <c r="I5" s="10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236</v>
      </c>
      <c r="H6" s="10" t="n">
        <v>35.9</v>
      </c>
      <c r="I6" s="10" t="n">
        <f aca="false">IF(H6="","",(IF($C$20&lt;25%,"N/A",IF(H6&lt;=($D$20+$B$20),H6,"Descartado"))))</f>
        <v>35.9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28.31935204061</v>
      </c>
      <c r="C20" s="23" t="n">
        <f aca="false">IF(H23&lt;2,"N/A",(B20/D20))</f>
        <v>0.865902829555419</v>
      </c>
      <c r="D20" s="24" t="n">
        <f aca="false">AVERAGE(H3:H17)</f>
        <v>32.705</v>
      </c>
      <c r="E20" s="25" t="n">
        <f aca="false">IF(H23&lt;2,"N/A",(IF(C20&lt;=25%,"N/A",AVERAGE(I3:I17))))</f>
        <v>19.8866666666667</v>
      </c>
      <c r="F20" s="24" t="n">
        <f aca="false">MEDIAN(H3:H17)</f>
        <v>26.38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19.8866666666667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198.9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237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238</v>
      </c>
      <c r="C3" s="6"/>
      <c r="D3" s="6"/>
      <c r="E3" s="7" t="s">
        <v>39</v>
      </c>
      <c r="F3" s="40" t="n">
        <v>10</v>
      </c>
      <c r="G3" s="9" t="s">
        <v>239</v>
      </c>
      <c r="H3" s="10" t="n">
        <v>21.1</v>
      </c>
      <c r="I3" s="10" t="n">
        <f aca="false">IF(H3="","",(IF($C$20&lt;25%,"N/A",IF(H3&lt;=($D$20+$B$20),H3,"Descartado"))))</f>
        <v>21.1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75</v>
      </c>
      <c r="H4" s="10" t="n">
        <v>24.4</v>
      </c>
      <c r="I4" s="10" t="n">
        <f aca="false">IF(H4="","",(IF($C$20&lt;25%,"N/A",IF(H4&lt;=($D$20+$B$20),H4,"Descartado"))))</f>
        <v>24.4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240</v>
      </c>
      <c r="H5" s="10" t="n">
        <v>50.78</v>
      </c>
      <c r="I5" s="10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16.2670259523163</v>
      </c>
      <c r="C20" s="23" t="n">
        <f aca="false">IF(H23&lt;2,"N/A",(B20/D20))</f>
        <v>0.506866201256222</v>
      </c>
      <c r="D20" s="24" t="n">
        <f aca="false">AVERAGE(H3:H17)</f>
        <v>32.0933333333333</v>
      </c>
      <c r="E20" s="25" t="n">
        <f aca="false">IF(H23&lt;2,"N/A",(IF(C20&lt;=25%,"N/A",AVERAGE(I3:I17))))</f>
        <v>22.75</v>
      </c>
      <c r="F20" s="24" t="n">
        <f aca="false">MEDIAN(H3:H17)</f>
        <v>24.4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22.75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227.5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241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242</v>
      </c>
      <c r="C3" s="6"/>
      <c r="D3" s="6"/>
      <c r="E3" s="7" t="s">
        <v>39</v>
      </c>
      <c r="F3" s="40" t="n">
        <v>20</v>
      </c>
      <c r="G3" s="1" t="s">
        <v>235</v>
      </c>
      <c r="H3" s="10" t="n">
        <v>61.66</v>
      </c>
      <c r="I3" s="10" t="n">
        <f aca="false">IF(H3="","",(IF($C$20&lt;25%,"N/A",IF(H3&lt;=($D$20+$B$20),H3,"Descartado"))))</f>
        <v>61.66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243</v>
      </c>
      <c r="H4" s="10" t="n">
        <v>94.05</v>
      </c>
      <c r="I4" s="10" t="str">
        <f aca="false">IF(H4="","",(IF($C$20&lt;25%,"N/A",IF(H4&lt;=($D$20+$B$20),H4,"Descartado"))))</f>
        <v>Descartado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1" t="s">
        <v>244</v>
      </c>
      <c r="H5" s="10" t="n">
        <v>58.46</v>
      </c>
      <c r="I5" s="10" t="n">
        <f aca="false">IF(H5="","",(IF($C$20&lt;25%,"N/A",IF(H5&lt;=($D$20+$B$20),H5,"Descartado"))))</f>
        <v>58.46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19.689253413982</v>
      </c>
      <c r="C20" s="23" t="n">
        <f aca="false">IF(H23&lt;2,"N/A",(B20/D20))</f>
        <v>0.275798478974393</v>
      </c>
      <c r="D20" s="24" t="n">
        <f aca="false">AVERAGE(H3:H17)</f>
        <v>71.39</v>
      </c>
      <c r="E20" s="25" t="n">
        <f aca="false">IF(H23&lt;2,"N/A",(IF(C20&lt;=25%,"N/A",AVERAGE(I3:I17))))</f>
        <v>60.06</v>
      </c>
      <c r="F20" s="24" t="n">
        <f aca="false">MEDIAN(H3:H17)</f>
        <v>61.66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60.06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1201.2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245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246</v>
      </c>
      <c r="C3" s="6"/>
      <c r="D3" s="6"/>
      <c r="E3" s="7" t="s">
        <v>39</v>
      </c>
      <c r="F3" s="40" t="n">
        <v>10</v>
      </c>
      <c r="G3" s="9" t="s">
        <v>247</v>
      </c>
      <c r="H3" s="10" t="n">
        <v>95.99</v>
      </c>
      <c r="I3" s="10" t="n">
        <f aca="false">IF(H3="","",(IF($C$20&lt;25%,"N/A",IF(H3&lt;=($D$20+$B$20),H3,"Descartado"))))</f>
        <v>95.99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235</v>
      </c>
      <c r="H4" s="10" t="n">
        <v>165.3</v>
      </c>
      <c r="I4" s="10" t="str">
        <f aca="false">IF(H4="","",(IF($C$20&lt;25%,"N/A",IF(H4&lt;=($D$20+$B$20),H4,"Descartado"))))</f>
        <v>Descartado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248</v>
      </c>
      <c r="H5" s="10" t="n">
        <v>82.9</v>
      </c>
      <c r="I5" s="10" t="n">
        <f aca="false">IF(H5="","",(IF($C$20&lt;25%,"N/A",IF(H5&lt;=($D$20+$B$20),H5,"Descartado"))))</f>
        <v>82.9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44.2812680486908</v>
      </c>
      <c r="C20" s="23" t="n">
        <f aca="false">IF(H23&lt;2,"N/A",(B20/D20))</f>
        <v>0.385960673308557</v>
      </c>
      <c r="D20" s="24" t="n">
        <f aca="false">AVERAGE(H3:H17)</f>
        <v>114.73</v>
      </c>
      <c r="E20" s="25" t="n">
        <f aca="false">IF(H23&lt;2,"N/A",(IF(C20&lt;=25%,"N/A",AVERAGE(I3:I17))))</f>
        <v>89.445</v>
      </c>
      <c r="F20" s="24" t="n">
        <f aca="false">MEDIAN(H3:H17)</f>
        <v>95.99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89.445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894.5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249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250</v>
      </c>
      <c r="C3" s="6"/>
      <c r="D3" s="6"/>
      <c r="E3" s="7" t="s">
        <v>142</v>
      </c>
      <c r="F3" s="8" t="n">
        <v>10</v>
      </c>
      <c r="G3" s="9" t="s">
        <v>235</v>
      </c>
      <c r="H3" s="10" t="n">
        <v>42.66</v>
      </c>
      <c r="I3" s="10" t="str">
        <f aca="false">IF(H3="","",(IF($C$20&lt;25%,"N/A",IF(H3&lt;=($D$20+$B$20),H3,"Descartado"))))</f>
        <v>Descartado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251</v>
      </c>
      <c r="H4" s="10" t="n">
        <v>18.9</v>
      </c>
      <c r="I4" s="10" t="n">
        <f aca="false">IF(H4="","",(IF($C$20&lt;25%,"N/A",IF(H4&lt;=($D$20+$B$20),H4,"Descartado"))))</f>
        <v>18.9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252</v>
      </c>
      <c r="H5" s="10" t="n">
        <v>22.85</v>
      </c>
      <c r="I5" s="10" t="n">
        <f aca="false">IF(H5="","",(IF($C$20&lt;25%,"N/A",IF(H5&lt;=($D$20+$B$20),H5,"Descartado"))))</f>
        <v>22.85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12.7316940480571</v>
      </c>
      <c r="C20" s="23" t="n">
        <f aca="false">IF(H23&lt;2,"N/A",(B20/D20))</f>
        <v>0.452494753514647</v>
      </c>
      <c r="D20" s="24" t="n">
        <f aca="false">AVERAGE(H3:H17)</f>
        <v>28.1366666666667</v>
      </c>
      <c r="E20" s="25" t="n">
        <f aca="false">IF(H23&lt;2,"N/A",(IF(C20&lt;=25%,"N/A",AVERAGE(I3:I17))))</f>
        <v>20.875</v>
      </c>
      <c r="F20" s="24" t="n">
        <f aca="false">MEDIAN(H3:H17)</f>
        <v>22.85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20.875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208.8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253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160</v>
      </c>
      <c r="C3" s="6"/>
      <c r="D3" s="6"/>
      <c r="E3" s="7" t="s">
        <v>154</v>
      </c>
      <c r="F3" s="8" t="n">
        <v>3750</v>
      </c>
      <c r="G3" s="9" t="s">
        <v>161</v>
      </c>
      <c r="H3" s="10" t="n">
        <v>28.75</v>
      </c>
      <c r="I3" s="10" t="n">
        <f aca="false">IF(H3="","",(IF($C$20&lt;25%,"N/A",IF(H3&lt;=($D$20+$B$20),H3,"Descartado"))))</f>
        <v>28.75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254</v>
      </c>
      <c r="H4" s="10" t="n">
        <v>32.42</v>
      </c>
      <c r="I4" s="10" t="n">
        <f aca="false">IF(H4="","",(IF($C$20&lt;25%,"N/A",IF(H4&lt;=($D$20+$B$20),H4,"Descartado"))))</f>
        <v>32.42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163</v>
      </c>
      <c r="H5" s="10" t="n">
        <v>14.99</v>
      </c>
      <c r="I5" s="10" t="n">
        <f aca="false">IF(H5="","",(IF($C$20&lt;25%,"N/A",IF(H5&lt;=($D$20+$B$20),H5,"Descartado"))))</f>
        <v>14.99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255</v>
      </c>
      <c r="H6" s="10" t="n">
        <v>30.9</v>
      </c>
      <c r="I6" s="10" t="n">
        <f aca="false">IF(H6="","",(IF($C$20&lt;25%,"N/A",IF(H6&lt;=($D$20+$B$20),H6,"Descartado"))))</f>
        <v>30.9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7.99308242586467</v>
      </c>
      <c r="C20" s="23" t="n">
        <f aca="false">IF(H23&lt;2,"N/A",(B20/D20))</f>
        <v>0.298639358336061</v>
      </c>
      <c r="D20" s="24" t="n">
        <f aca="false">AVERAGE(H3:H17)</f>
        <v>26.765</v>
      </c>
      <c r="E20" s="25" t="n">
        <f aca="false">IF(H23&lt;2,"N/A",(IF(C20&lt;=25%,"N/A",AVERAGE(I3:I17))))</f>
        <v>26.765</v>
      </c>
      <c r="F20" s="24" t="n">
        <f aca="false">MEDIAN(H3:H17)</f>
        <v>29.825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26.765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100387.5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8" activeCellId="0" sqref="A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256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172</v>
      </c>
      <c r="C3" s="6"/>
      <c r="D3" s="6"/>
      <c r="E3" s="7" t="s">
        <v>52</v>
      </c>
      <c r="F3" s="8" t="n">
        <v>4500</v>
      </c>
      <c r="G3" s="9" t="s">
        <v>173</v>
      </c>
      <c r="H3" s="10" t="n">
        <v>16.9</v>
      </c>
      <c r="I3" s="10" t="n">
        <f aca="false">IF(H3="","",(IF($C$20&lt;25%,"N/A",IF(H3&lt;=($D$20+$B$20),H3,"Descartado"))))</f>
        <v>16.9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75</v>
      </c>
      <c r="H4" s="10" t="n">
        <v>22.33</v>
      </c>
      <c r="I4" s="10" t="n">
        <f aca="false">IF(H4="","",(IF($C$20&lt;25%,"N/A",IF(H4&lt;=($D$20+$B$20),H4,"Descartado"))))</f>
        <v>22.33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174</v>
      </c>
      <c r="H5" s="10" t="n">
        <v>31.62</v>
      </c>
      <c r="I5" s="10" t="n">
        <f aca="false">IF(H5="","",(IF($C$20&lt;25%,"N/A",IF(H5&lt;=($D$20+$B$20),H5,"Descartado"))))</f>
        <v>31.62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 t="s">
        <v>175</v>
      </c>
      <c r="H6" s="10" t="n">
        <v>45.65</v>
      </c>
      <c r="I6" s="10" t="str">
        <f aca="false">IF(H6="","",(IF($C$20&lt;25%,"N/A",IF(H6&lt;=($D$20+$B$20),H6,"Descartado"))))</f>
        <v>Descartado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12.5820414347858</v>
      </c>
      <c r="C20" s="23" t="n">
        <f aca="false">IF(H23&lt;2,"N/A",(B20/D20))</f>
        <v>0.43200142265359</v>
      </c>
      <c r="D20" s="24" t="n">
        <f aca="false">AVERAGE(H3:H17)</f>
        <v>29.125</v>
      </c>
      <c r="E20" s="25" t="n">
        <f aca="false">IF(H23&lt;2,"N/A",(IF(C20&lt;=25%,"N/A",AVERAGE(I3:I17))))</f>
        <v>23.6166666666667</v>
      </c>
      <c r="F20" s="24" t="n">
        <f aca="false">MEDIAN(H3:H17)</f>
        <v>26.975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23.6166666666667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106290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55"/>
  <sheetViews>
    <sheetView showFormulas="false" showGridLines="true" showRowColHeaders="true" showZeros="true" rightToLeft="false" tabSelected="false" showOutlineSymbols="true" defaultGridColor="true" view="pageBreakPreview" topLeftCell="A19" colorId="64" zoomScale="100" zoomScaleNormal="100" zoomScalePageLayoutView="100" workbookViewId="0">
      <selection pane="topLeft" activeCell="J6" activeCellId="0" sqref="J6"/>
    </sheetView>
  </sheetViews>
  <sheetFormatPr defaultColWidth="9.13671875" defaultRowHeight="12.8" zeroHeight="false" outlineLevelRow="0" outlineLevelCol="0"/>
  <cols>
    <col collapsed="false" customWidth="false" hidden="false" outlineLevel="0" max="1" min="1" style="44" width="9.13"/>
    <col collapsed="false" customWidth="true" hidden="false" outlineLevel="0" max="2" min="2" style="44" width="47.43"/>
    <col collapsed="false" customWidth="true" hidden="false" outlineLevel="0" max="5" min="3" style="44" width="13.29"/>
    <col collapsed="false" customWidth="true" hidden="false" outlineLevel="0" max="6" min="6" style="44" width="17.4"/>
    <col collapsed="false" customWidth="false" hidden="false" outlineLevel="0" max="13" min="7" style="45" width="9.13"/>
    <col collapsed="false" customWidth="false" hidden="false" outlineLevel="0" max="1023" min="14" style="44" width="9.13"/>
    <col collapsed="false" customWidth="true" hidden="false" outlineLevel="0" max="1024" min="1024" style="0" width="11.52"/>
  </cols>
  <sheetData>
    <row r="1" customFormat="false" ht="15.75" hidden="false" customHeight="true" outlineLevel="0" collapsed="false">
      <c r="A1" s="46" t="s">
        <v>257</v>
      </c>
      <c r="B1" s="46"/>
      <c r="C1" s="46"/>
      <c r="D1" s="46"/>
      <c r="E1" s="46"/>
      <c r="F1" s="46"/>
    </row>
    <row r="2" customFormat="false" ht="20.85" hidden="false" customHeight="false" outlineLevel="0" collapsed="false">
      <c r="A2" s="5" t="s">
        <v>258</v>
      </c>
      <c r="B2" s="5" t="s">
        <v>259</v>
      </c>
      <c r="C2" s="5" t="s">
        <v>260</v>
      </c>
      <c r="D2" s="5" t="s">
        <v>261</v>
      </c>
      <c r="E2" s="5" t="s">
        <v>262</v>
      </c>
      <c r="F2" s="5" t="s">
        <v>263</v>
      </c>
    </row>
    <row r="3" customFormat="false" ht="49.95" hidden="false" customHeight="false" outlineLevel="0" collapsed="false">
      <c r="A3" s="47" t="n">
        <v>1</v>
      </c>
      <c r="B3" s="48" t="str">
        <f aca="false">Item1!B3</f>
        <v>Copo plástico descartável – para Água
Capacidade: 200 ml;
Material: Poliestireno;
De acordo com norma NBR 14865, da ABNT.
Acondicionados em tiras de 100 unidades.</v>
      </c>
      <c r="C3" s="47" t="str">
        <f aca="false">Item1!E3</f>
        <v>Centena</v>
      </c>
      <c r="D3" s="47" t="n">
        <f aca="false">Item1!F3</f>
        <v>15000</v>
      </c>
      <c r="E3" s="49" t="n">
        <f aca="false">Item1!D22</f>
        <v>3.2</v>
      </c>
      <c r="F3" s="50" t="n">
        <f aca="false">(ROUND(E3,2)*D3)</f>
        <v>48000</v>
      </c>
    </row>
    <row r="4" customFormat="false" ht="49.95" hidden="false" customHeight="false" outlineLevel="0" collapsed="false">
      <c r="A4" s="47" t="n">
        <v>2</v>
      </c>
      <c r="B4" s="48" t="str">
        <f aca="false">Item2!B3</f>
        <v>Copo plástico descartável – para Café
Capacidade: 50 ml;
Material: Poliestireno;
De acordo com norma NBR 14865, da ABNT.
Acondicionados em tiras de 100 unidades.</v>
      </c>
      <c r="C4" s="47" t="str">
        <f aca="false">Item2!E3</f>
        <v>Centena</v>
      </c>
      <c r="D4" s="47" t="n">
        <f aca="false">Item2!F3</f>
        <v>10000</v>
      </c>
      <c r="E4" s="49" t="n">
        <f aca="false">Item2!D22</f>
        <v>1.392</v>
      </c>
      <c r="F4" s="50" t="n">
        <f aca="false">(ROUND(E4,2)*D4)</f>
        <v>13900</v>
      </c>
    </row>
    <row r="5" customFormat="false" ht="59.7" hidden="false" customHeight="false" outlineLevel="0" collapsed="false">
      <c r="A5" s="47" t="n">
        <v>3</v>
      </c>
      <c r="B5" s="48" t="str">
        <f aca="false">Item3!B3</f>
        <v>Garrafa Térmica de Pressão
Capacidade: 1 litro;
Material: plástico;
Ampola de Vidro;
Indicação expressa de conformidade com a norma NBR 13282/98 da ABNT.</v>
      </c>
      <c r="C5" s="47" t="str">
        <f aca="false">Item3!E3</f>
        <v>unidade</v>
      </c>
      <c r="D5" s="47" t="n">
        <f aca="false">Item3!F3</f>
        <v>200</v>
      </c>
      <c r="E5" s="49" t="n">
        <f aca="false">Item3!D22</f>
        <v>51.7</v>
      </c>
      <c r="F5" s="50" t="n">
        <f aca="false">(ROUND(E5,2)*D5)</f>
        <v>10340</v>
      </c>
    </row>
    <row r="6" customFormat="false" ht="69.4" hidden="false" customHeight="false" outlineLevel="0" collapsed="false">
      <c r="A6" s="47" t="n">
        <v>4</v>
      </c>
      <c r="B6" s="48" t="str">
        <f aca="false">Item4!B3</f>
        <v>Garrafa plástica para água mineral
Plástico, atóxico, transparente, resistente;
Capacidade: 20 litros;
Selo de adequação às normas ABNT NBR 14222, relativa ao seu processo de fabricação, e ABNT NBR 14328;
Fabricada no máximo a 6 meses contados da data de recebimento definitivo.</v>
      </c>
      <c r="C6" s="47" t="str">
        <f aca="false">Item4!E3</f>
        <v>unidade</v>
      </c>
      <c r="D6" s="47" t="n">
        <f aca="false">Item4!F3</f>
        <v>200</v>
      </c>
      <c r="E6" s="49" t="n">
        <f aca="false">Item4!D22</f>
        <v>9.7175</v>
      </c>
      <c r="F6" s="50" t="n">
        <f aca="false">(ROUND(E6,2)*D6)</f>
        <v>1944</v>
      </c>
    </row>
    <row r="7" customFormat="false" ht="49.95" hidden="false" customHeight="false" outlineLevel="0" collapsed="false">
      <c r="A7" s="47" t="n">
        <v>5</v>
      </c>
      <c r="B7" s="48" t="str">
        <f aca="false">Item5!B3</f>
        <v>Guardanapo de papel
100% em fibras virgens;
Cor branca;
Dimensões mínimas: 20 x 23 cm;
Em embalagem plástica contendo no mínimo 48 unidades</v>
      </c>
      <c r="C7" s="47" t="str">
        <f aca="false">Item5!E3</f>
        <v>Pacote</v>
      </c>
      <c r="D7" s="47" t="n">
        <f aca="false">Item5!F3</f>
        <v>7000</v>
      </c>
      <c r="E7" s="49" t="n">
        <f aca="false">Item5!D22</f>
        <v>0.733333333333333</v>
      </c>
      <c r="F7" s="50" t="n">
        <f aca="false">(ROUND(E7,2)*D7)</f>
        <v>5110</v>
      </c>
    </row>
    <row r="8" customFormat="false" ht="98.5" hidden="false" customHeight="false" outlineLevel="0" collapsed="false">
      <c r="A8" s="47" t="n">
        <v>6</v>
      </c>
      <c r="B8" s="48" t="str">
        <f aca="false">Item6!B3</f>
        <v>Água sanitária
Solução aquosa a base de hipoclorito de sódio, com funções alvejante e desinfetante;
Frasco com 1.000 ml;
Embalagem com impressão do nome do fabricante e indicação de registro na ANVISA/MS.
Prazo de validade impresso na embalagem e não inferior a 11 meses contados da data de recebimento definitivo.
O material deverá estar acondicionado em caixas com até 24 unidades</v>
      </c>
      <c r="C8" s="47" t="str">
        <f aca="false">Item6!E3</f>
        <v>Frasco</v>
      </c>
      <c r="D8" s="47" t="n">
        <f aca="false">Item6!F3</f>
        <v>600</v>
      </c>
      <c r="E8" s="49" t="n">
        <f aca="false">Item6!D22</f>
        <v>1.545</v>
      </c>
      <c r="F8" s="50" t="n">
        <f aca="false">(ROUND(E8,2)*D8)</f>
        <v>930</v>
      </c>
    </row>
    <row r="9" customFormat="false" ht="79.1" hidden="false" customHeight="false" outlineLevel="0" collapsed="false">
      <c r="A9" s="47" t="n">
        <v>7</v>
      </c>
      <c r="B9" s="48" t="str">
        <f aca="false">Item7!B3</f>
        <v>Álcool Etílico em Gel 70%
Hidratado 70%;
Sem perfume
Frasco 500ml
Com informação de data de fabricação e número de lote;
Prazo de validade não inferior a 5 meses contados do recebimento definitivo.
Álcool destinado à assepsia das mãos</v>
      </c>
      <c r="C9" s="47" t="str">
        <f aca="false">Item7!E3</f>
        <v>Frasco</v>
      </c>
      <c r="D9" s="51" t="n">
        <f aca="false">Item7!F3</f>
        <v>12000</v>
      </c>
      <c r="E9" s="49" t="n">
        <f aca="false">Item7!D22</f>
        <v>28.575</v>
      </c>
      <c r="F9" s="50" t="n">
        <f aca="false">(ROUND(E9,2)*D9)</f>
        <v>342960</v>
      </c>
    </row>
    <row r="10" customFormat="false" ht="59.7" hidden="false" customHeight="false" outlineLevel="0" collapsed="false">
      <c r="A10" s="47" t="n">
        <v>8</v>
      </c>
      <c r="B10" s="48" t="str">
        <f aca="false">Item8!B3</f>
        <v>Álcool Etílico Hidratado Líquido
Mínimo de 70 º INPM; Frasco com 1.000ml;
O material deverá estar acondicionado em caixas com até 12 unidades;
Prazo de validade não inferior a 5 meses contados do recebimento definitivo</v>
      </c>
      <c r="C10" s="47" t="str">
        <f aca="false">Item8!E3</f>
        <v>Frasco</v>
      </c>
      <c r="D10" s="47" t="n">
        <f aca="false">Item8!F3</f>
        <v>3000</v>
      </c>
      <c r="E10" s="49" t="n">
        <f aca="false">Item8!D22</f>
        <v>6.89</v>
      </c>
      <c r="F10" s="50" t="n">
        <f aca="false">(ROUND(E10,2)*D10)</f>
        <v>20670</v>
      </c>
    </row>
    <row r="11" customFormat="false" ht="49.95" hidden="false" customHeight="false" outlineLevel="0" collapsed="false">
      <c r="A11" s="47" t="n">
        <v>9</v>
      </c>
      <c r="B11" s="48" t="str">
        <f aca="false">Item9!B3</f>
        <v>Balde plástico de uso doméstico
Corpo em polipropileno;
Alça em metal;
Aro redondo;
Capacidade 20 L.</v>
      </c>
      <c r="C11" s="47" t="str">
        <f aca="false">Item9!E3</f>
        <v>unidade</v>
      </c>
      <c r="D11" s="47" t="n">
        <f aca="false">Item9!F3</f>
        <v>200</v>
      </c>
      <c r="E11" s="49" t="n">
        <f aca="false">Item9!D22</f>
        <v>7.76666666666667</v>
      </c>
      <c r="F11" s="50" t="n">
        <f aca="false">(ROUND(E11,2)*D11)</f>
        <v>1554</v>
      </c>
    </row>
    <row r="12" customFormat="false" ht="79.1" hidden="false" customHeight="false" outlineLevel="0" collapsed="false">
      <c r="A12" s="47" t="n">
        <v>10</v>
      </c>
      <c r="B12" s="48" t="str">
        <f aca="false">Item10!B3</f>
        <v>Cesto para lixo
Em fibra;
Altura: 35cm;
Diâmetro superior: 31 cm;
Diâmetro da base: 23 cm;
Aros cromados;
Cor preta;
Variação permitida: ± 1,5 cm</v>
      </c>
      <c r="C12" s="47" t="str">
        <f aca="false">Item10!E3</f>
        <v>unidade</v>
      </c>
      <c r="D12" s="47" t="n">
        <f aca="false">Item10!F3</f>
        <v>500</v>
      </c>
      <c r="E12" s="49" t="n">
        <f aca="false">Item10!D22</f>
        <v>27.3266666666667</v>
      </c>
      <c r="F12" s="50" t="n">
        <f aca="false">(ROUND(E12,2)*D12)</f>
        <v>13665</v>
      </c>
    </row>
    <row r="13" customFormat="false" ht="88.8" hidden="false" customHeight="false" outlineLevel="0" collapsed="false">
      <c r="A13" s="47" t="n">
        <v>11</v>
      </c>
      <c r="B13" s="48" t="str">
        <f aca="false">Item11!B3</f>
        <v>Detergente líquido
Com tensoativo biodegradável, aroma suave;
Dermatologicamente testado;
Em embalagem plástica de 500 ml com bico dosador, com rótulo indicando o nome do fabricante, CNPJ, químico responsável e nº CRQ, número de registro na Anvisa, lote de fabricação e prazo de validade do produto. Marcas de referência:
Limpol e Ypê.</v>
      </c>
      <c r="C13" s="47" t="str">
        <f aca="false">Item11!E3</f>
        <v>Frasco</v>
      </c>
      <c r="D13" s="47" t="n">
        <f aca="false">Item11!F3</f>
        <v>2000</v>
      </c>
      <c r="E13" s="49" t="n">
        <f aca="false">Item11!D22</f>
        <v>2.08</v>
      </c>
      <c r="F13" s="50" t="n">
        <f aca="false">(ROUND(E13,2)*D13)</f>
        <v>4160</v>
      </c>
    </row>
    <row r="14" customFormat="false" ht="59.7" hidden="false" customHeight="false" outlineLevel="0" collapsed="false">
      <c r="A14" s="47" t="n">
        <v>12</v>
      </c>
      <c r="B14" s="48" t="str">
        <f aca="false">Item12!B3</f>
        <v>Esponja dupla face
Em poliuretano e fibra têxtil;
Dimensões: 105 x 70 x 22 mm (comprimento,
largura e espessura), admitida variação de ± 5 mm.
O material deverá estar acondicionado em
caixas/fardos com até 120 unidades</v>
      </c>
      <c r="C14" s="47" t="str">
        <f aca="false">Item12!E3</f>
        <v>unidade</v>
      </c>
      <c r="D14" s="47" t="n">
        <f aca="false">Item12!F3</f>
        <v>10000</v>
      </c>
      <c r="E14" s="49" t="n">
        <f aca="false">Item12!D22</f>
        <v>1.03</v>
      </c>
      <c r="F14" s="50" t="n">
        <f aca="false">(ROUND(E14,2)*D14)</f>
        <v>10300</v>
      </c>
    </row>
    <row r="15" customFormat="false" ht="69.4" hidden="false" customHeight="false" outlineLevel="0" collapsed="false">
      <c r="A15" s="47" t="n">
        <v>13</v>
      </c>
      <c r="B15" s="48" t="str">
        <f aca="false">Item13!B3</f>
        <v>Flanela
100% Algodão;
Cor branca;
Dimensões: 29 x 29 cm (altura x largura). Variação
permitida: ± 2cm;
O material deverá estar acondicionado em
caixas/fardos com até 100 unidades</v>
      </c>
      <c r="C15" s="47" t="str">
        <f aca="false">Item13!E3</f>
        <v>unidade</v>
      </c>
      <c r="D15" s="47" t="n">
        <f aca="false">Item13!F3</f>
        <v>8000</v>
      </c>
      <c r="E15" s="49" t="n">
        <f aca="false">Item13!D22</f>
        <v>1.04</v>
      </c>
      <c r="F15" s="50" t="n">
        <f aca="false">(ROUND(E15,2)*D15)</f>
        <v>8320</v>
      </c>
    </row>
    <row r="16" customFormat="false" ht="147" hidden="false" customHeight="false" outlineLevel="0" collapsed="false">
      <c r="A16" s="47" t="n">
        <v>14</v>
      </c>
      <c r="B16" s="48" t="str">
        <f aca="false">Item14!B3</f>
        <v>Limpador instantâneo
Ingrediente ativo: tensoativo aniônico
biodegradável;
Composição: Linear alquil benzeno, sulfonato de
sódio, tensoativo não iônico, alcalinizante,
sequestrante, solubilizante, éter glicólico, álcool,
perfume e água;
Embalagem com impressão do nome do fabricante e
indicação de registro na ANVISA/MS;
Frasco com 500 ml, com tampa e bico econômico;
Prazo de validade impresso na embalagem e não
inferior a 11 meses contados da data de
recebimento definitivo;
O material deverá estar acondicionado em caixas
com até 24 unidades</v>
      </c>
      <c r="C16" s="47" t="str">
        <f aca="false">Item14!E3</f>
        <v>FR</v>
      </c>
      <c r="D16" s="47" t="n">
        <f aca="false">Item14!F3</f>
        <v>5000</v>
      </c>
      <c r="E16" s="49" t="n">
        <f aca="false">Item14!D22</f>
        <v>2.065</v>
      </c>
      <c r="F16" s="50" t="n">
        <f aca="false">(ROUND(E16,2)*D16)</f>
        <v>10350</v>
      </c>
    </row>
    <row r="17" customFormat="false" ht="108.2" hidden="false" customHeight="false" outlineLevel="0" collapsed="false">
      <c r="A17" s="47" t="n">
        <v>15</v>
      </c>
      <c r="B17" s="48" t="str">
        <f aca="false">Item15!B3</f>
        <v>Removedor de adesivos e resíduos de colas e lacres, para utilização nas Urnas Eletrônicas e materiais correlatos. Tipo: Solvente líquido, removedor de cola de etiquetas e adesivos, dentre outras colas pegajosas; Produto que permita aplicação em superfícies de acrílico, metal, PVC e demais tipo de plástico; Isento de solventes nocivos e metais pesados; Recomendável para uso industrial; Acondicionados em frascos de 120 ml, com dosador. Embalagem com impressão do nome do fabricante e indicação de registro na ANVISA/MS; Não inflamável; Prazo de validade mínimo de 18 meses. O material deverá estar acondicionado em caixas com até 12 unidades</v>
      </c>
      <c r="C17" s="47" t="str">
        <f aca="false">Item15!E3</f>
        <v>Frasco</v>
      </c>
      <c r="D17" s="47" t="n">
        <f aca="false">Item15!F3</f>
        <v>1500</v>
      </c>
      <c r="E17" s="49" t="n">
        <f aca="false">Item15!D22</f>
        <v>19.7166666666667</v>
      </c>
      <c r="F17" s="50" t="n">
        <f aca="false">(ROUND(E17,2)*D17)</f>
        <v>29580</v>
      </c>
    </row>
    <row r="18" customFormat="false" ht="79.1" hidden="false" customHeight="false" outlineLevel="0" collapsed="false">
      <c r="A18" s="47" t="n">
        <v>16</v>
      </c>
      <c r="B18" s="48" t="str">
        <f aca="false">Item16!B3</f>
        <v>Luva para Procedimento não Cirúrgico
Composição: Látex de borracha natural;
Tamanho: M – Médio;
Não Estéril;
Com pó bioabsorvível; Ambidestra; Cor: Creme;
Embalagem com 100 unidades; Prazo de validade
não inferior a 12 meses contados do recebimento
definitivo</v>
      </c>
      <c r="C18" s="47" t="str">
        <f aca="false">Item16!E3</f>
        <v>caixa</v>
      </c>
      <c r="D18" s="47" t="n">
        <f aca="false">Item16!F3</f>
        <v>6000</v>
      </c>
      <c r="E18" s="49" t="n">
        <f aca="false">Item16!D22</f>
        <v>20.43</v>
      </c>
      <c r="F18" s="50" t="n">
        <f aca="false">(ROUND(E18,2)*D18)</f>
        <v>122580</v>
      </c>
    </row>
    <row r="19" customFormat="false" ht="88.8" hidden="false" customHeight="false" outlineLevel="0" collapsed="false">
      <c r="A19" s="47" t="n">
        <v>17</v>
      </c>
      <c r="B19" s="48" t="str">
        <f aca="false">Item17!B3</f>
        <v>Luva para Procedimento não Cirúrgico
Composição: Látex de borracha natural;
Tamanho: G – Grande;
Não Estéril;
Com pó bio-absorvível; Ambidestra;
Cor: Creme;
Embalagem com 100 unidades;
Prazo de validade não inferior a 12 meses contados
do recebimento definitivo.</v>
      </c>
      <c r="C19" s="47" t="str">
        <f aca="false">Item17!E3</f>
        <v>caixa</v>
      </c>
      <c r="D19" s="47" t="n">
        <f aca="false">Item17!F3</f>
        <v>3000</v>
      </c>
      <c r="E19" s="49" t="n">
        <f aca="false">Item17!D22</f>
        <v>20.12</v>
      </c>
      <c r="F19" s="50" t="n">
        <f aca="false">(ROUND(E19,2)*D19)</f>
        <v>60360</v>
      </c>
    </row>
    <row r="20" customFormat="false" ht="59.7" hidden="false" customHeight="false" outlineLevel="0" collapsed="false">
      <c r="A20" s="47" t="n">
        <v>18</v>
      </c>
      <c r="B20" s="48" t="str">
        <f aca="false">Item18!B3</f>
        <v>Mascara Cirúrgica Descartável
Tripla Camada de Proteção
Cor branca
Clip Nasal Embutido
Com Elástico
Caixa com 50 unidades</v>
      </c>
      <c r="C20" s="47" t="str">
        <f aca="false">Item18!E3</f>
        <v>Caixa</v>
      </c>
      <c r="D20" s="47" t="n">
        <f aca="false">Item18!F3</f>
        <v>3000</v>
      </c>
      <c r="E20" s="49" t="n">
        <f aca="false">Item18!D22</f>
        <v>100.416666666667</v>
      </c>
      <c r="F20" s="50" t="n">
        <f aca="false">(ROUND(E20,2)*D20)</f>
        <v>301260</v>
      </c>
    </row>
    <row r="21" customFormat="false" ht="59.7" hidden="false" customHeight="false" outlineLevel="0" collapsed="false">
      <c r="A21" s="47" t="n">
        <v>19</v>
      </c>
      <c r="B21" s="48" t="str">
        <f aca="false">Item19!B3</f>
        <v>Pá coletora lixo
Material da base: zinco;
Material do cabo: madeira;
Comprimento do cabo: 60 cm;
Para limpeza doméstica;
Variação permitida: ± 5 cm</v>
      </c>
      <c r="C21" s="47" t="str">
        <f aca="false">Item19!E3</f>
        <v>unidade</v>
      </c>
      <c r="D21" s="47" t="n">
        <f aca="false">Item19!F3</f>
        <v>100</v>
      </c>
      <c r="E21" s="49" t="n">
        <f aca="false">Item19!D22</f>
        <v>2.345</v>
      </c>
      <c r="F21" s="50" t="n">
        <f aca="false">(ROUND(E21,2)*D21)</f>
        <v>235</v>
      </c>
    </row>
    <row r="22" customFormat="false" ht="88.8" hidden="false" customHeight="false" outlineLevel="0" collapsed="false">
      <c r="A22" s="47" t="n">
        <v>20</v>
      </c>
      <c r="B22" s="48" t="str">
        <f aca="false">Item20!B3</f>
        <v>Pano para limpeza
100% algodão;
Tipo saco, duplo, lavado e alvejado;
Com alta absorção;
Dimensões: 65 x 42 cm;
Cor branca;
Variação permitida: ± 5cm;
O material deverá estar acondicionado em fardos
com até 25 unidades</v>
      </c>
      <c r="C22" s="47" t="str">
        <f aca="false">Item20!E3</f>
        <v>Unidade</v>
      </c>
      <c r="D22" s="47" t="n">
        <f aca="false">Item20!F3</f>
        <v>3000</v>
      </c>
      <c r="E22" s="49" t="n">
        <f aca="false">Item20!D22</f>
        <v>2.52666666666667</v>
      </c>
      <c r="F22" s="50" t="n">
        <f aca="false">(ROUND(E22,2)*D22)</f>
        <v>7590</v>
      </c>
    </row>
    <row r="23" customFormat="false" ht="30.55" hidden="false" customHeight="false" outlineLevel="0" collapsed="false">
      <c r="A23" s="47" t="n">
        <v>21</v>
      </c>
      <c r="B23" s="48" t="str">
        <f aca="false">Item21!B3</f>
        <v>Pano em Microfibra para Limpeza de Lente/LCD/Tela
Dimensões 13 X 13 cm, podendo variar em ± 2cm;
Acondicionado em pacotes com 100 unidades</v>
      </c>
      <c r="C23" s="47" t="str">
        <f aca="false">Item21!E3</f>
        <v>Pacote</v>
      </c>
      <c r="D23" s="47" t="n">
        <f aca="false">Item21!F3</f>
        <v>600</v>
      </c>
      <c r="E23" s="49" t="n">
        <f aca="false">Item21!D22</f>
        <v>56.7266666666667</v>
      </c>
      <c r="F23" s="50" t="n">
        <f aca="false">(ROUND(E23,2)*D23)</f>
        <v>34038</v>
      </c>
    </row>
    <row r="24" customFormat="false" ht="88.8" hidden="false" customHeight="false" outlineLevel="0" collapsed="false">
      <c r="A24" s="47" t="n">
        <v>22</v>
      </c>
      <c r="B24" s="48" t="str">
        <f aca="false">Item22!B3</f>
        <v>Papel higiênico
Celulose virgem – 100% celulose;
Dimensões: mínimo de 30 m x 10 cm;
Dermatologicamente testado; Picotado;
Folha dupla;
Sem perfume;
Cor branca;
Pacote com 4 unidades.
PC = Pacote</v>
      </c>
      <c r="C24" s="47" t="str">
        <f aca="false">Item22!E3</f>
        <v>Pacote</v>
      </c>
      <c r="D24" s="47" t="n">
        <f aca="false">Item22!F3</f>
        <v>15000</v>
      </c>
      <c r="E24" s="49" t="n">
        <f aca="false">Item22!D22</f>
        <v>3.0425</v>
      </c>
      <c r="F24" s="50" t="n">
        <f aca="false">(ROUND(E24,2)*D24)</f>
        <v>45600</v>
      </c>
    </row>
    <row r="25" customFormat="false" ht="79.1" hidden="false" customHeight="false" outlineLevel="0" collapsed="false">
      <c r="A25" s="47" t="n">
        <v>23</v>
      </c>
      <c r="B25" s="48" t="str">
        <f aca="false">Item23!B3</f>
        <v>Papel toalha
Cor branca, duas dobras, texturizado;
Dimensões: folhas com 22 cm x 22 cm;
Tipo interfolhado;
Macio e absorvente;
Pacote com 1000 folhas;
Variação permitida: ± 3.0 cm
PC = Pacote</v>
      </c>
      <c r="C25" s="47" t="str">
        <f aca="false">Item23!E3</f>
        <v>Pacote</v>
      </c>
      <c r="D25" s="47" t="n">
        <f aca="false">Item23!F3</f>
        <v>1250</v>
      </c>
      <c r="E25" s="49" t="n">
        <f aca="false">Item23!D22</f>
        <v>26.765</v>
      </c>
      <c r="F25" s="50" t="n">
        <f aca="false">(ROUND(E25,2)*D25)</f>
        <v>33462.5</v>
      </c>
    </row>
    <row r="26" customFormat="false" ht="69.4" hidden="false" customHeight="false" outlineLevel="0" collapsed="false">
      <c r="A26" s="47" t="n">
        <v>24</v>
      </c>
      <c r="B26" s="48" t="str">
        <f aca="false">Item24!B3</f>
        <v>Sabão em pó Composição: alquil benzeno sulfato de sódio, corante; Embalagem com 500 g; Embalagem com impressão do nome do fabricante e indicação de registro na ANVISA/MS; Tensoativo aniônico biodegradável; Prazo de validade impresso na embalagem e não inferior a 11 meses contados da data de recebimento definitivo; O material deverá estar acondicionado em caixas/fardos com até 24 unidades</v>
      </c>
      <c r="C26" s="47" t="str">
        <f aca="false">Item24!E3</f>
        <v>Caixa</v>
      </c>
      <c r="D26" s="47" t="n">
        <f aca="false">Item24!F3</f>
        <v>3500</v>
      </c>
      <c r="E26" s="49" t="n">
        <f aca="false">Item24!D22</f>
        <v>4.2675</v>
      </c>
      <c r="F26" s="50" t="n">
        <f aca="false">(ROUND(E26,2)*D26)</f>
        <v>14945</v>
      </c>
    </row>
    <row r="27" customFormat="false" ht="69.4" hidden="false" customHeight="false" outlineLevel="0" collapsed="false">
      <c r="A27" s="47" t="n">
        <v>25</v>
      </c>
      <c r="B27" s="48" t="str">
        <f aca="false">Item25!B3</f>
        <v>Saco plástico para lixo
Cor preta;
Capacidade de 40 Litros;
Resistente ao peso mínimo de 5 Kg;
Cada pacote deverá conter 100 sacos;
O material deverá estar acondicionado em
caixas/fardos com até 150 pacotes</v>
      </c>
      <c r="C27" s="47" t="str">
        <f aca="false">Item25!E3</f>
        <v>Pacote</v>
      </c>
      <c r="D27" s="47" t="n">
        <f aca="false">Item25!F3</f>
        <v>1500</v>
      </c>
      <c r="E27" s="49" t="n">
        <f aca="false">Item25!D22</f>
        <v>23.6166666666667</v>
      </c>
      <c r="F27" s="50" t="n">
        <f aca="false">(ROUND(E27,2)*D27)</f>
        <v>35430</v>
      </c>
    </row>
    <row r="28" customFormat="false" ht="49.95" hidden="false" customHeight="false" outlineLevel="0" collapsed="false">
      <c r="A28" s="47" t="n">
        <v>26</v>
      </c>
      <c r="B28" s="48" t="str">
        <f aca="false">Item26!B3</f>
        <v>Vassoura – Cerdas (naturais) em Piaçava
Cabo rosqueável;
Comprimento do cabo: mínimo de 1,15m;
Cepa com 20 cm, admitida variação de ± 2 cm;
Comprimento das cerdas: mínimo 11 cm.</v>
      </c>
      <c r="C28" s="47" t="str">
        <f aca="false">Item26!E3</f>
        <v>unidade</v>
      </c>
      <c r="D28" s="47" t="n">
        <f aca="false">Item26!F3</f>
        <v>600</v>
      </c>
      <c r="E28" s="49" t="n">
        <f aca="false">Item26!D22</f>
        <v>6.54966666666667</v>
      </c>
      <c r="F28" s="50" t="n">
        <f aca="false">(ROUND(E28,2)*D28)</f>
        <v>3930</v>
      </c>
    </row>
    <row r="29" customFormat="false" ht="40.25" hidden="false" customHeight="false" outlineLevel="0" collapsed="false">
      <c r="A29" s="47" t="n">
        <v>27</v>
      </c>
      <c r="B29" s="48" t="str">
        <f aca="false">'Item 27'!B3</f>
        <v>Coador de Tecido para Cafeteira Elétrica
Aplicação: para máquina de café industrial
Compatível com as marcas/modelos:
CONSERCAF/ CIC20 e CIP20</v>
      </c>
      <c r="C29" s="47" t="str">
        <f aca="false">'Item 27'!E3</f>
        <v>unidade</v>
      </c>
      <c r="D29" s="47" t="n">
        <f aca="false">'Item 27'!F3</f>
        <v>120</v>
      </c>
      <c r="E29" s="49" t="n">
        <f aca="false">'Item 27'!D22</f>
        <v>14.195</v>
      </c>
      <c r="F29" s="50" t="n">
        <f aca="false">(ROUND(E29,2)*D29)</f>
        <v>1704</v>
      </c>
    </row>
    <row r="30" customFormat="false" ht="108.2" hidden="false" customHeight="false" outlineLevel="0" collapsed="false">
      <c r="A30" s="47" t="n">
        <v>28</v>
      </c>
      <c r="B30" s="48" t="str">
        <f aca="false">Item28!B3</f>
        <v>Lixeira
Para coleta seletiva;
Corpo cilíndrico em aço inox 430 polido;
Tampa basculante em aço inox 430 polido;
Aro com pintura eletrostática em amarelo, azul,
vermelho, conforme cada pedido, de acordo com
Resolução Conama n.º 275/2001;
Volume nominal: 50 litros;
Diâmetro máximo: 300 mm;
Altura máxima: 750 mm;
Garantia mínima de 1 ano.</v>
      </c>
      <c r="C30" s="47" t="str">
        <f aca="false">Item28!E3</f>
        <v>unidade</v>
      </c>
      <c r="D30" s="47" t="n">
        <f aca="false">Item28!F3</f>
        <v>45</v>
      </c>
      <c r="E30" s="49" t="n">
        <f aca="false">Item28!D22</f>
        <v>253.16</v>
      </c>
      <c r="F30" s="50" t="n">
        <f aca="false">(ROUND(E30,2)*D30)</f>
        <v>11392.2</v>
      </c>
    </row>
    <row r="31" customFormat="false" ht="88.8" hidden="false" customHeight="false" outlineLevel="0" collapsed="false">
      <c r="A31" s="47" t="n">
        <v>29</v>
      </c>
      <c r="B31" s="48" t="str">
        <f aca="false">Item29!B3</f>
        <v>COLETOR DE PILHAS E BATERIAS
Capacidade mínima: 30 litros;
Compartimentos distintos para pilhas e baterias;
Profundidade máxima: 170 mm;
Para sobreposição em parede;
Cor: laranja, conforme Resolução Conama n.º
275/2001;
Identificação gráfica frontal do tipo de material
reciclável</v>
      </c>
      <c r="C31" s="47" t="str">
        <f aca="false">Item29!E3</f>
        <v>unidade</v>
      </c>
      <c r="D31" s="47" t="n">
        <f aca="false">Item29!F3</f>
        <v>4</v>
      </c>
      <c r="E31" s="49" t="n">
        <f aca="false">Item29!D22</f>
        <v>129.22</v>
      </c>
      <c r="F31" s="50" t="n">
        <f aca="false">(ROUND(E31,2)*D31)</f>
        <v>516.88</v>
      </c>
    </row>
    <row r="32" customFormat="false" ht="15.75" hidden="false" customHeight="true" outlineLevel="0" collapsed="false">
      <c r="A32" s="46" t="s">
        <v>264</v>
      </c>
      <c r="B32" s="46"/>
      <c r="C32" s="46"/>
      <c r="D32" s="46"/>
      <c r="E32" s="46"/>
      <c r="F32" s="46"/>
    </row>
    <row r="33" customFormat="false" ht="69.4" hidden="false" customHeight="false" outlineLevel="0" collapsed="false">
      <c r="A33" s="47" t="n">
        <v>30</v>
      </c>
      <c r="B33" s="48" t="str">
        <f aca="false">Item30!B3</f>
        <v>Xícara para Café com Pires
Porcelana branca lisa
Capacidade da xícara: 50ml, podendo variar em +
10ml
Formato redondo
Acondicionada em caixa de papelão com 06
unidades</v>
      </c>
      <c r="C33" s="47" t="str">
        <f aca="false">Item30!E3</f>
        <v>unidade</v>
      </c>
      <c r="D33" s="47" t="n">
        <f aca="false">Item30!F3</f>
        <v>60</v>
      </c>
      <c r="E33" s="49" t="n">
        <f aca="false">Item30!D22</f>
        <v>12.845</v>
      </c>
      <c r="F33" s="50" t="n">
        <f aca="false">(ROUND(E33,2)*D33)</f>
        <v>771</v>
      </c>
    </row>
    <row r="34" customFormat="false" ht="40.25" hidden="false" customHeight="false" outlineLevel="0" collapsed="false">
      <c r="A34" s="47" t="n">
        <v>31</v>
      </c>
      <c r="B34" s="48" t="str">
        <f aca="false">Item31!B3</f>
        <v>Tigela de porcelana
Tigela, material: porcelana, capacidade: 500 ml,
características adicionais: branca, redonda, uso:
copa,cozinha</v>
      </c>
      <c r="C34" s="47" t="str">
        <f aca="false">Item31!E3</f>
        <v>unidade</v>
      </c>
      <c r="D34" s="47" t="n">
        <f aca="false">Item31!F3</f>
        <v>10</v>
      </c>
      <c r="E34" s="49" t="n">
        <f aca="false">Item31!D22</f>
        <v>11.895</v>
      </c>
      <c r="F34" s="50" t="n">
        <f aca="false">(ROUND(E34,2)*D34)</f>
        <v>119</v>
      </c>
    </row>
    <row r="35" customFormat="false" ht="40.25" hidden="false" customHeight="false" outlineLevel="0" collapsed="false">
      <c r="A35" s="47" t="n">
        <v>32</v>
      </c>
      <c r="B35" s="48" t="str">
        <f aca="false">Item32!B3</f>
        <v>Pratos Porcelana
Prato, material: porcelana, características
adicionais: raso, octogonal, diâmetro: 28,50 cm,
cor: branca</v>
      </c>
      <c r="C35" s="47" t="str">
        <f aca="false">Item32!E3</f>
        <v>unidade</v>
      </c>
      <c r="D35" s="47" t="n">
        <f aca="false">Item32!F3</f>
        <v>36</v>
      </c>
      <c r="E35" s="49" t="n">
        <f aca="false">Item32!D22</f>
        <v>26.1725</v>
      </c>
      <c r="F35" s="50" t="n">
        <f aca="false">(ROUND(E35,2)*D35)</f>
        <v>942.12</v>
      </c>
    </row>
    <row r="36" customFormat="false" ht="49.95" hidden="false" customHeight="false" outlineLevel="0" collapsed="false">
      <c r="A36" s="47" t="n">
        <v>33</v>
      </c>
      <c r="B36" s="48" t="str">
        <f aca="false">Item33!B3</f>
        <v>Pratos para sobremesa
Material: louça, aplicação: sobremesa,
características adicionais: tipo raso, formato
quadrado, cor: branca, dimensões: 17 x 17 cm,
podendo variar em + 2,0cm.</v>
      </c>
      <c r="C36" s="47" t="str">
        <f aca="false">Item33!E3</f>
        <v>unidade</v>
      </c>
      <c r="D36" s="47" t="n">
        <f aca="false">Item33!F3</f>
        <v>36</v>
      </c>
      <c r="E36" s="49" t="n">
        <f aca="false">Item33!D22</f>
        <v>15.696</v>
      </c>
      <c r="F36" s="50" t="n">
        <f aca="false">(ROUND(E36,2)*D36)</f>
        <v>565.2</v>
      </c>
    </row>
    <row r="37" customFormat="false" ht="40.25" hidden="false" customHeight="false" outlineLevel="0" collapsed="false">
      <c r="A37" s="47" t="n">
        <v>34</v>
      </c>
      <c r="B37" s="48" t="str">
        <f aca="false">'Item 34'!B3</f>
        <v>Taça para água em vidro incolor transparente
Com acabamento Bico de Jaca
Capacidade 300ml, podendo variar em + 50ml
Acondicionada em embalagem com 06 unidades</v>
      </c>
      <c r="C37" s="47" t="str">
        <f aca="false">'Item 34'!E3</f>
        <v>unidade</v>
      </c>
      <c r="D37" s="47" t="n">
        <f aca="false">'Item 34'!F3</f>
        <v>60</v>
      </c>
      <c r="E37" s="49" t="n">
        <f aca="false">'Item 34'!D22</f>
        <v>15.795</v>
      </c>
      <c r="F37" s="50" t="n">
        <f aca="false">(ROUND(E37,2)*D37)</f>
        <v>948</v>
      </c>
    </row>
    <row r="38" customFormat="false" ht="49.95" hidden="false" customHeight="false" outlineLevel="0" collapsed="false">
      <c r="A38" s="47" t="n">
        <v>35</v>
      </c>
      <c r="B38" s="48" t="str">
        <f aca="false">Item35!B3</f>
        <v>Jarra para água/suco em cristal transparente
incolor
Com alça
Capacidade para 1,660 l podendo variar em + 0,5l
Acondicionada em embalagem individual</v>
      </c>
      <c r="C38" s="47" t="str">
        <f aca="false">Item35!E3</f>
        <v>unidade</v>
      </c>
      <c r="D38" s="47" t="n">
        <f aca="false">Item35!F3</f>
        <v>10</v>
      </c>
      <c r="E38" s="49" t="n">
        <f aca="false">Item35!D22</f>
        <v>29.43</v>
      </c>
      <c r="F38" s="50" t="n">
        <f aca="false">(ROUND(E38,2)*D38)</f>
        <v>294.3</v>
      </c>
    </row>
    <row r="39" customFormat="false" ht="49.95" hidden="false" customHeight="false" outlineLevel="0" collapsed="false">
      <c r="A39" s="47" t="n">
        <v>36</v>
      </c>
      <c r="B39" s="48" t="str">
        <f aca="false">Item36!B3</f>
        <v>Recipiente de Vidro
Tipo BOMBONIERE com pé e tampa.
Medindo: 250 x 160mm (D x A). Material: Vidro
liso transparente. Formato: Redondo.
Acondicionada em embalagem individual</v>
      </c>
      <c r="C39" s="47" t="str">
        <f aca="false">Item36!E3</f>
        <v>unidade</v>
      </c>
      <c r="D39" s="47" t="n">
        <f aca="false">Item36!F3</f>
        <v>10</v>
      </c>
      <c r="E39" s="49" t="n">
        <f aca="false">Item36!D22</f>
        <v>38.805</v>
      </c>
      <c r="F39" s="50" t="n">
        <f aca="false">(ROUND(E39,2)*D39)</f>
        <v>388.1</v>
      </c>
    </row>
    <row r="40" customFormat="false" ht="15.75" hidden="false" customHeight="true" outlineLevel="0" collapsed="false">
      <c r="A40" s="52" t="s">
        <v>265</v>
      </c>
      <c r="B40" s="52"/>
      <c r="C40" s="52"/>
      <c r="D40" s="52"/>
      <c r="E40" s="52"/>
      <c r="F40" s="53" t="n">
        <f aca="false">F33+F34+F35+F36+F37+F38+F39</f>
        <v>4027.72</v>
      </c>
    </row>
    <row r="41" customFormat="false" ht="15.75" hidden="false" customHeight="true" outlineLevel="0" collapsed="false">
      <c r="A41" s="46" t="s">
        <v>266</v>
      </c>
      <c r="B41" s="46"/>
      <c r="C41" s="46"/>
      <c r="D41" s="46"/>
      <c r="E41" s="46"/>
      <c r="F41" s="46"/>
    </row>
    <row r="42" customFormat="false" ht="49.95" hidden="false" customHeight="false" outlineLevel="0" collapsed="false">
      <c r="A42" s="47" t="n">
        <v>37</v>
      </c>
      <c r="B42" s="48" t="str">
        <f aca="false">Item37!B3</f>
        <v>Pá de silicone
Pá culinária, material corpo: aço inoxidável, material
cabo: aço inoxidável, comprimento corpo: 11 cm,
largura: 5 cm, comprimento cabo: 13 cm, aplicação:
cortar e servir bolos e tortas</v>
      </c>
      <c r="C42" s="47" t="str">
        <f aca="false">Item37!E3</f>
        <v>unidade</v>
      </c>
      <c r="D42" s="47" t="n">
        <f aca="false">Item37!F3</f>
        <v>10</v>
      </c>
      <c r="E42" s="49" t="n">
        <f aca="false">Item37!D22</f>
        <v>6.935</v>
      </c>
      <c r="F42" s="50" t="n">
        <f aca="false">(ROUND(E42,2)*D42)</f>
        <v>69.4</v>
      </c>
    </row>
    <row r="43" customFormat="false" ht="30.55" hidden="false" customHeight="false" outlineLevel="0" collapsed="false">
      <c r="A43" s="47" t="n">
        <v>38</v>
      </c>
      <c r="B43" s="48" t="str">
        <f aca="false">Item38!B3</f>
        <v>Colher
Colher, material corpo: polietileno, material cabo:
polietileno, comprimento: 45 cm</v>
      </c>
      <c r="C43" s="47" t="str">
        <f aca="false">Item38!E3</f>
        <v>unidade</v>
      </c>
      <c r="D43" s="47" t="n">
        <f aca="false">Item38!F3</f>
        <v>10</v>
      </c>
      <c r="E43" s="49" t="n">
        <f aca="false">Item38!D22</f>
        <v>23.9825</v>
      </c>
      <c r="F43" s="50" t="n">
        <f aca="false">(ROUND(E43,2)*D43)</f>
        <v>239.8</v>
      </c>
    </row>
    <row r="44" customFormat="false" ht="69.4" hidden="false" customHeight="false" outlineLevel="0" collapsed="false">
      <c r="A44" s="47" t="n">
        <v>39</v>
      </c>
      <c r="B44" s="48" t="str">
        <f aca="false">Item39!B3</f>
        <v>Conjunto de utensílios de cozinha em
100% silicone com reforço interno -
4 peças
(1 colher ≥ 28cm , 1 concha ≥ 28cm, 1 espátula
perfurada ≥ 28cm e 1 espátula
arredondada), resistente a temperaturas entre -30°c
a 220°c.</v>
      </c>
      <c r="C44" s="47" t="str">
        <f aca="false">Item39!E3</f>
        <v>unidade</v>
      </c>
      <c r="D44" s="47" t="n">
        <f aca="false">Item39!F3</f>
        <v>4</v>
      </c>
      <c r="E44" s="49" t="n">
        <f aca="false">Item39!D22</f>
        <v>108.35</v>
      </c>
      <c r="F44" s="50" t="n">
        <f aca="false">(ROUND(E44,2)*D44)</f>
        <v>433.4</v>
      </c>
    </row>
    <row r="45" customFormat="false" ht="49.95" hidden="false" customHeight="false" outlineLevel="0" collapsed="false">
      <c r="A45" s="47" t="n">
        <v>40</v>
      </c>
      <c r="B45" s="48" t="str">
        <f aca="false">Item40!B3</f>
        <v>Pá para bolo
Aço inoxidável
Acondicionada em embalagem individual
Dimensões (CxLxA): 247x50x35 mm
Espessura: 2,5 mm.</v>
      </c>
      <c r="C45" s="47" t="str">
        <f aca="false">Item40!E3</f>
        <v>unidade</v>
      </c>
      <c r="D45" s="47" t="n">
        <f aca="false">Item40!F3</f>
        <v>10</v>
      </c>
      <c r="E45" s="49" t="n">
        <f aca="false">Item40!D22</f>
        <v>19.8866666666667</v>
      </c>
      <c r="F45" s="50" t="n">
        <f aca="false">(ROUND(E45,2)*D45)</f>
        <v>198.9</v>
      </c>
    </row>
    <row r="46" customFormat="false" ht="15.75" hidden="false" customHeight="true" outlineLevel="0" collapsed="false">
      <c r="A46" s="52" t="s">
        <v>267</v>
      </c>
      <c r="B46" s="52"/>
      <c r="C46" s="52"/>
      <c r="D46" s="52"/>
      <c r="E46" s="52"/>
      <c r="F46" s="53" t="n">
        <f aca="false">F42+F43+F44+F45</f>
        <v>941.5</v>
      </c>
    </row>
    <row r="47" customFormat="false" ht="15.75" hidden="false" customHeight="true" outlineLevel="0" collapsed="false">
      <c r="A47" s="46" t="s">
        <v>268</v>
      </c>
      <c r="B47" s="46"/>
      <c r="C47" s="46"/>
      <c r="D47" s="46"/>
      <c r="E47" s="46"/>
      <c r="F47" s="46"/>
    </row>
    <row r="48" customFormat="false" ht="40.25" hidden="false" customHeight="false" outlineLevel="0" collapsed="false">
      <c r="A48" s="47" t="n">
        <v>41</v>
      </c>
      <c r="B48" s="48" t="str">
        <f aca="false">Item41!B3</f>
        <v>Bandeja redonda
Aço inoxidável
Diâmetro de 40 cm, podendo variar em + 2,0cm
Acondicionada em embalagem individual</v>
      </c>
      <c r="C48" s="47" t="str">
        <f aca="false">Item41!E3</f>
        <v>unidade</v>
      </c>
      <c r="D48" s="47" t="n">
        <f aca="false">Item41!F3</f>
        <v>10</v>
      </c>
      <c r="E48" s="49" t="n">
        <f aca="false">Item41!D22</f>
        <v>22.75</v>
      </c>
      <c r="F48" s="50" t="n">
        <f aca="false">(ROUND(E48,2)*D48)</f>
        <v>227.5</v>
      </c>
    </row>
    <row r="49" customFormat="false" ht="30.55" hidden="false" customHeight="false" outlineLevel="0" collapsed="false">
      <c r="A49" s="47" t="n">
        <v>42</v>
      </c>
      <c r="B49" s="48" t="str">
        <f aca="false">Item42!B3</f>
        <v>Bandeja redonda
Aço inoxidável
Diâmetro de 30 cm, podendo variar em + 2,0cm</v>
      </c>
      <c r="C49" s="47" t="str">
        <f aca="false">Item42!E3</f>
        <v>unidade</v>
      </c>
      <c r="D49" s="47" t="n">
        <f aca="false">Item42!F3</f>
        <v>20</v>
      </c>
      <c r="E49" s="49" t="n">
        <f aca="false">Item42!D22</f>
        <v>60.06</v>
      </c>
      <c r="F49" s="50" t="n">
        <f aca="false">(ROUND(E49,2)*D49)</f>
        <v>1201.2</v>
      </c>
    </row>
    <row r="50" customFormat="false" ht="40.25" hidden="false" customHeight="false" outlineLevel="0" collapsed="false">
      <c r="A50" s="47" t="n">
        <v>43</v>
      </c>
      <c r="B50" s="48" t="str">
        <f aca="false">' Item43'!B3</f>
        <v>Bandeja Retangular com alças
Aço inoxidável
Dimensões 40 x 30cm, podendo variar em + 2,0cm
Acondicionada em embalagem individual</v>
      </c>
      <c r="C50" s="47" t="str">
        <f aca="false">' Item43'!E3</f>
        <v>unidade</v>
      </c>
      <c r="D50" s="47" t="n">
        <f aca="false">' Item43'!F3</f>
        <v>10</v>
      </c>
      <c r="E50" s="49" t="n">
        <f aca="false">' Item43'!D22</f>
        <v>89.445</v>
      </c>
      <c r="F50" s="50" t="n">
        <f aca="false">(ROUND(E50,2)*D50)</f>
        <v>894.5</v>
      </c>
    </row>
    <row r="51" customFormat="false" ht="69.4" hidden="false" customHeight="false" outlineLevel="0" collapsed="false">
      <c r="A51" s="47" t="n">
        <v>44</v>
      </c>
      <c r="B51" s="48" t="str">
        <f aca="false">'Item44 '!B3</f>
        <v>Porta-guardanapo
Aço inoxidável
Comprimento 11 cm,
Altura 7 cm Largura 3,5
Podendo as medidas variar para mais ou para menos
2 cm.
Acondicionada em embalagem individual</v>
      </c>
      <c r="C51" s="47" t="str">
        <f aca="false">'Item44 '!E3</f>
        <v>Unidade</v>
      </c>
      <c r="D51" s="51" t="n">
        <f aca="false">'Item44 '!F3</f>
        <v>10</v>
      </c>
      <c r="E51" s="49" t="n">
        <f aca="false">'Item44 '!D22</f>
        <v>20.875</v>
      </c>
      <c r="F51" s="50" t="n">
        <f aca="false">(ROUND(E51,2)*D51)</f>
        <v>208.8</v>
      </c>
    </row>
    <row r="52" customFormat="false" ht="15.75" hidden="false" customHeight="true" outlineLevel="0" collapsed="false">
      <c r="A52" s="52" t="s">
        <v>269</v>
      </c>
      <c r="B52" s="52"/>
      <c r="C52" s="52"/>
      <c r="D52" s="52"/>
      <c r="E52" s="52"/>
      <c r="F52" s="53" t="n">
        <f aca="false">F48+F49+F50+F51</f>
        <v>2532</v>
      </c>
    </row>
    <row r="53" customFormat="false" ht="79.1" hidden="false" customHeight="false" outlineLevel="0" collapsed="false">
      <c r="A53" s="54" t="n">
        <v>45</v>
      </c>
      <c r="B53" s="55" t="str">
        <f aca="false">Item45!B3</f>
        <v>Papel toalha
Cor branca, duas dobras, texturizado;
Dimensões: folhas com 22 cm x 22 cm;
Tipo interfolhado;
Macio e absorvente;
Pacote com 1000 folhas;
Variação permitida: ± 3.0 cm
PC = Pacote</v>
      </c>
      <c r="C53" s="54" t="str">
        <f aca="false">Item45!E3</f>
        <v>Pacote</v>
      </c>
      <c r="D53" s="56" t="n">
        <f aca="false">Item45!F3</f>
        <v>3750</v>
      </c>
      <c r="E53" s="57" t="n">
        <f aca="false">Item45!D22</f>
        <v>26.765</v>
      </c>
      <c r="F53" s="58" t="n">
        <f aca="false">(ROUND(E53,2)*D53)</f>
        <v>100387.5</v>
      </c>
    </row>
    <row r="54" customFormat="false" ht="99.75" hidden="false" customHeight="true" outlineLevel="0" collapsed="false">
      <c r="A54" s="54" t="n">
        <v>46</v>
      </c>
      <c r="B54" s="55" t="str">
        <f aca="false">Item46!B3</f>
        <v>Saco plástico para lixo
Cor preta;
Capacidade de 40 Litros;
Resistente ao peso mínimo de 5 Kg;
Cada pacote deverá conter 100 sacos;
O material deverá estar acondicionado em
caixas/fardos com até 150 pacotes</v>
      </c>
      <c r="C54" s="54" t="str">
        <f aca="false">Item46!E3</f>
        <v>Pacote</v>
      </c>
      <c r="D54" s="56" t="n">
        <f aca="false">Item46!F3</f>
        <v>4500</v>
      </c>
      <c r="E54" s="57" t="n">
        <f aca="false">Item46!D22</f>
        <v>23.6166666666667</v>
      </c>
      <c r="F54" s="58" t="n">
        <f aca="false">(ROUND(E54,2)*D54)</f>
        <v>106290</v>
      </c>
    </row>
    <row r="55" customFormat="false" ht="15.75" hidden="false" customHeight="true" outlineLevel="0" collapsed="false">
      <c r="A55" s="46" t="s">
        <v>270</v>
      </c>
      <c r="B55" s="46"/>
      <c r="C55" s="46"/>
      <c r="D55" s="46"/>
      <c r="E55" s="46"/>
      <c r="F55" s="53" t="n">
        <f aca="false">SUM(F3:F31,F40,F46,F52,F53:F54)</f>
        <v>1409005.3</v>
      </c>
    </row>
  </sheetData>
  <mergeCells count="8">
    <mergeCell ref="A1:F1"/>
    <mergeCell ref="A32:F32"/>
    <mergeCell ref="A40:E40"/>
    <mergeCell ref="A41:F41"/>
    <mergeCell ref="A46:E46"/>
    <mergeCell ref="A47:F47"/>
    <mergeCell ref="A52:E52"/>
    <mergeCell ref="A55:E5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47.02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50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51</v>
      </c>
      <c r="C3" s="6"/>
      <c r="D3" s="6"/>
      <c r="E3" s="7" t="s">
        <v>52</v>
      </c>
      <c r="F3" s="8" t="n">
        <v>7000</v>
      </c>
      <c r="G3" s="9" t="s">
        <v>53</v>
      </c>
      <c r="H3" s="10" t="n">
        <v>0.7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54</v>
      </c>
      <c r="H4" s="10" t="n">
        <v>0.7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11</v>
      </c>
      <c r="H5" s="10" t="n">
        <v>0.8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0.0577350269189626</v>
      </c>
      <c r="C20" s="23" t="n">
        <f aca="false">IF(H23&lt;2,"N/A",(B20/D20))</f>
        <v>0.0787295821622217</v>
      </c>
      <c r="D20" s="24" t="n">
        <f aca="false">AVERAGE(H3:H17)</f>
        <v>0.733333333333333</v>
      </c>
      <c r="E20" s="25" t="str">
        <f aca="false">IF(H23&lt;2,"N/A",(IF(C20&lt;=25%,"N/A",AVERAGE(I3:I17))))</f>
        <v>N/A</v>
      </c>
      <c r="F20" s="24" t="n">
        <f aca="false">MEDIAN(H3:H17)</f>
        <v>0.7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0.733333333333333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5110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56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55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56</v>
      </c>
      <c r="C3" s="6"/>
      <c r="D3" s="6"/>
      <c r="E3" s="7" t="s">
        <v>57</v>
      </c>
      <c r="F3" s="40" t="n">
        <v>600</v>
      </c>
      <c r="G3" s="9" t="s">
        <v>58</v>
      </c>
      <c r="H3" s="10" t="n">
        <v>1.3</v>
      </c>
      <c r="I3" s="10" t="n">
        <f aca="false">IF(H3="","",(IF($C$20&lt;25%,"N/A",IF(H3&lt;=($D$20+$B$20),H3,"Descartado"))))</f>
        <v>1.3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59</v>
      </c>
      <c r="H4" s="10" t="n">
        <v>1.79</v>
      </c>
      <c r="I4" s="10" t="n">
        <f aca="false">IF(H4="","",(IF($C$20&lt;25%,"N/A",IF(H4&lt;=($D$20+$B$20),H4,"Descartado"))))</f>
        <v>1.79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60</v>
      </c>
      <c r="H5" s="10" t="n">
        <v>17.74</v>
      </c>
      <c r="I5" s="10" t="str">
        <f aca="false">IF(H5="","",(IF($C$20&lt;25%,"N/A",IF(H5&lt;=($D$20+$B$20),H5,"Descartado"))))</f>
        <v>Descartado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9.35339688740584</v>
      </c>
      <c r="C20" s="23" t="n">
        <f aca="false">IF(H23&lt;2,"N/A",(B20/D20))</f>
        <v>1.34710468853661</v>
      </c>
      <c r="D20" s="24" t="n">
        <f aca="false">AVERAGE(H3:H17)</f>
        <v>6.94333333333333</v>
      </c>
      <c r="E20" s="25" t="n">
        <f aca="false">IF(H23&lt;2,"N/A",(IF(C20&lt;=25%,"N/A",AVERAGE(I3:I17))))</f>
        <v>1.545</v>
      </c>
      <c r="F20" s="24" t="n">
        <f aca="false">MEDIAN(H3:H17)</f>
        <v>1.79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1.545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930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51.13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61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62</v>
      </c>
      <c r="C3" s="6"/>
      <c r="D3" s="6"/>
      <c r="E3" s="7" t="s">
        <v>57</v>
      </c>
      <c r="F3" s="8" t="n">
        <v>12000</v>
      </c>
      <c r="G3" s="41" t="s">
        <v>63</v>
      </c>
      <c r="H3" s="42" t="n">
        <v>27.51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41" t="s">
        <v>42</v>
      </c>
      <c r="H4" s="42" t="n">
        <v>31.9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41" t="s">
        <v>64</v>
      </c>
      <c r="H5" s="42" t="n">
        <v>29.9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41" t="s">
        <v>65</v>
      </c>
      <c r="H6" s="42" t="n">
        <v>24.99</v>
      </c>
      <c r="I6" s="10" t="str">
        <f aca="false">IF(H6="","",(IF($C$20&lt;25%,"N/A",IF(H6&lt;=($D$20+$B$20),H6,"Descartado"))))</f>
        <v>N/A</v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2.98873997976851</v>
      </c>
      <c r="C20" s="23" t="n">
        <f aca="false">IF(H23&lt;2,"N/A",(B20/D20))</f>
        <v>0.104592825188749</v>
      </c>
      <c r="D20" s="24" t="n">
        <f aca="false">AVERAGE(H3:H17)</f>
        <v>28.575</v>
      </c>
      <c r="E20" s="25" t="str">
        <f aca="false">IF(H23&lt;2,"N/A",(IF(C20&lt;=25%,"N/A",AVERAGE(I3:I17))))</f>
        <v>N/A</v>
      </c>
      <c r="F20" s="24" t="n">
        <f aca="false">MEDIAN(H3:H17)</f>
        <v>28.705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28.575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342960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7" activeCellId="0" sqref="G7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66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67</v>
      </c>
      <c r="C3" s="6"/>
      <c r="D3" s="6"/>
      <c r="E3" s="7" t="s">
        <v>57</v>
      </c>
      <c r="F3" s="8" t="n">
        <v>3000</v>
      </c>
      <c r="G3" s="9" t="s">
        <v>68</v>
      </c>
      <c r="H3" s="10" t="n">
        <v>8.5</v>
      </c>
      <c r="I3" s="10" t="n">
        <f aca="false">IF(H3="","",(IF($C$20&lt;25%,"N/A",IF(H3&lt;=($D$20+$B$20),H3,"Descartado"))))</f>
        <v>8.5</v>
      </c>
    </row>
    <row r="4" customFormat="false" ht="12.8" hidden="false" customHeight="false" outlineLevel="0" collapsed="false">
      <c r="A4" s="3"/>
      <c r="B4" s="6"/>
      <c r="C4" s="6"/>
      <c r="D4" s="6"/>
      <c r="E4" s="7"/>
      <c r="F4" s="7"/>
      <c r="G4" s="9" t="s">
        <v>69</v>
      </c>
      <c r="H4" s="10" t="n">
        <v>5.98</v>
      </c>
      <c r="I4" s="10" t="n">
        <f aca="false">IF(H4="","",(IF($C$20&lt;25%,"N/A",IF(H4&lt;=($D$20+$B$20),H4,"Descartado"))))</f>
        <v>5.98</v>
      </c>
    </row>
    <row r="5" customFormat="false" ht="12.8" hidden="false" customHeight="false" outlineLevel="0" collapsed="false">
      <c r="A5" s="3"/>
      <c r="B5" s="6"/>
      <c r="C5" s="6"/>
      <c r="D5" s="6"/>
      <c r="E5" s="7"/>
      <c r="F5" s="7"/>
      <c r="G5" s="9" t="s">
        <v>70</v>
      </c>
      <c r="H5" s="10" t="n">
        <v>6.19</v>
      </c>
      <c r="I5" s="10" t="n">
        <f aca="false">IF(H5="","",(IF($C$20&lt;25%,"N/A",IF(H5&lt;=($D$20+$B$20),H5,"Descartado"))))</f>
        <v>6.19</v>
      </c>
    </row>
    <row r="6" customFormat="false" ht="12.8" hidden="false" customHeight="false" outlineLevel="0" collapsed="false">
      <c r="A6" s="3"/>
      <c r="B6" s="6"/>
      <c r="C6" s="6"/>
      <c r="D6" s="6"/>
      <c r="E6" s="7"/>
      <c r="F6" s="7"/>
      <c r="G6" s="9" t="s">
        <v>71</v>
      </c>
      <c r="H6" s="10" t="n">
        <v>9.99</v>
      </c>
      <c r="I6" s="10" t="str">
        <f aca="false">IF(H6="","",(IF($C$20&lt;25%,"N/A",IF(H6&lt;=($D$20+$B$20),H6,"Descartado"))))</f>
        <v>Descartado</v>
      </c>
    </row>
    <row r="7" customFormat="false" ht="12.8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8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8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8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8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8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8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8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8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8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8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1.92507142724627</v>
      </c>
      <c r="C20" s="23" t="n">
        <f aca="false">IF(H23&lt;2,"N/A",(B20/D20))</f>
        <v>0.251150871134543</v>
      </c>
      <c r="D20" s="24" t="n">
        <f aca="false">AVERAGE(H3:H17)</f>
        <v>7.665</v>
      </c>
      <c r="E20" s="25" t="n">
        <f aca="false">IF(H23&lt;2,"N/A",(IF(C20&lt;=25%,"N/A",AVERAGE(I3:I17))))</f>
        <v>6.89</v>
      </c>
      <c r="F20" s="24" t="n">
        <f aca="false">MEDIAN(H3:H17)</f>
        <v>7.345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6.89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20670</v>
      </c>
      <c r="E23" s="32"/>
      <c r="G23" s="33" t="s">
        <v>22</v>
      </c>
      <c r="H23" s="34" t="n">
        <f aca="false">COUNT(H3:H17)</f>
        <v>4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I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F18" activeCellId="0" sqref="F1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11.86"/>
    <col collapsed="false" customWidth="false" hidden="false" outlineLevel="0" max="3" min="2" style="1" width="9.13"/>
    <col collapsed="false" customWidth="true" hidden="false" outlineLevel="0" max="4" min="4" style="1" width="10.29"/>
    <col collapsed="false" customWidth="false" hidden="false" outlineLevel="0" max="5" min="5" style="1" width="9.13"/>
    <col collapsed="false" customWidth="true" hidden="false" outlineLevel="0" max="6" min="6" style="1" width="10.29"/>
    <col collapsed="false" customWidth="true" hidden="false" outlineLevel="0" max="7" min="7" style="1" width="39.28"/>
    <col collapsed="false" customWidth="true" hidden="false" outlineLevel="0" max="9" min="8" style="1" width="10.29"/>
    <col collapsed="false" customWidth="false" hidden="false" outlineLevel="0" max="1024" min="10" style="1" width="9.13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72</v>
      </c>
      <c r="B2" s="4" t="s">
        <v>2</v>
      </c>
      <c r="C2" s="4"/>
      <c r="D2" s="4"/>
      <c r="E2" s="3" t="s">
        <v>3</v>
      </c>
      <c r="F2" s="3" t="s">
        <v>4</v>
      </c>
      <c r="G2" s="3" t="s">
        <v>5</v>
      </c>
      <c r="H2" s="4" t="s">
        <v>6</v>
      </c>
      <c r="I2" s="5" t="s">
        <v>7</v>
      </c>
    </row>
    <row r="3" customFormat="false" ht="12.75" hidden="false" customHeight="true" outlineLevel="0" collapsed="false">
      <c r="A3" s="3"/>
      <c r="B3" s="6" t="s">
        <v>73</v>
      </c>
      <c r="C3" s="6"/>
      <c r="D3" s="6"/>
      <c r="E3" s="7" t="s">
        <v>39</v>
      </c>
      <c r="F3" s="40" t="n">
        <v>200</v>
      </c>
      <c r="G3" s="9" t="s">
        <v>74</v>
      </c>
      <c r="H3" s="10" t="n">
        <v>9.45</v>
      </c>
      <c r="I3" s="10" t="str">
        <f aca="false">IF(H3="","",(IF($C$20&lt;25%,"N/A",IF(H3&lt;=($D$20+$B$20),H3,"Descartado"))))</f>
        <v>N/A</v>
      </c>
    </row>
    <row r="4" customFormat="false" ht="12.75" hidden="false" customHeight="false" outlineLevel="0" collapsed="false">
      <c r="A4" s="3"/>
      <c r="B4" s="6"/>
      <c r="C4" s="6"/>
      <c r="D4" s="6"/>
      <c r="E4" s="7"/>
      <c r="F4" s="7"/>
      <c r="G4" s="9" t="s">
        <v>75</v>
      </c>
      <c r="H4" s="10" t="n">
        <v>6.56</v>
      </c>
      <c r="I4" s="10" t="str">
        <f aca="false">IF(H4="","",(IF($C$20&lt;25%,"N/A",IF(H4&lt;=($D$20+$B$20),H4,"Descartado"))))</f>
        <v>N/A</v>
      </c>
    </row>
    <row r="5" customFormat="false" ht="12.75" hidden="false" customHeight="false" outlineLevel="0" collapsed="false">
      <c r="A5" s="3"/>
      <c r="B5" s="6"/>
      <c r="C5" s="6"/>
      <c r="D5" s="6"/>
      <c r="E5" s="7"/>
      <c r="F5" s="7"/>
      <c r="G5" s="9" t="s">
        <v>76</v>
      </c>
      <c r="H5" s="10" t="n">
        <v>7.29</v>
      </c>
      <c r="I5" s="10" t="str">
        <f aca="false">IF(H5="","",(IF($C$20&lt;25%,"N/A",IF(H5&lt;=($D$20+$B$20),H5,"Descartado"))))</f>
        <v>N/A</v>
      </c>
    </row>
    <row r="6" customFormat="false" ht="12.75" hidden="false" customHeight="false" outlineLevel="0" collapsed="false">
      <c r="A6" s="3"/>
      <c r="B6" s="6"/>
      <c r="C6" s="6"/>
      <c r="D6" s="6"/>
      <c r="E6" s="7"/>
      <c r="F6" s="7"/>
      <c r="G6" s="9"/>
      <c r="H6" s="10"/>
      <c r="I6" s="10" t="str">
        <f aca="false">IF(H6="","",(IF($C$20&lt;25%,"N/A",IF(H6&lt;=($D$20+$B$20),H6,"Descartado"))))</f>
        <v/>
      </c>
    </row>
    <row r="7" customFormat="false" ht="12.75" hidden="false" customHeight="false" outlineLevel="0" collapsed="false">
      <c r="A7" s="3"/>
      <c r="B7" s="6"/>
      <c r="C7" s="6"/>
      <c r="D7" s="6"/>
      <c r="E7" s="7"/>
      <c r="F7" s="7"/>
      <c r="G7" s="9"/>
      <c r="H7" s="10"/>
      <c r="I7" s="10" t="str">
        <f aca="false">IF(H7="","",(IF($C$20&lt;25%,"N/A",IF(H7&lt;=($D$20+$B$20),H7,"Descartado"))))</f>
        <v/>
      </c>
    </row>
    <row r="8" customFormat="false" ht="12.75" hidden="false" customHeight="false" outlineLevel="0" collapsed="false">
      <c r="A8" s="3"/>
      <c r="B8" s="6"/>
      <c r="C8" s="6"/>
      <c r="D8" s="6"/>
      <c r="E8" s="7"/>
      <c r="F8" s="7"/>
      <c r="G8" s="9"/>
      <c r="H8" s="10"/>
      <c r="I8" s="10" t="str">
        <f aca="false">IF(H8="","",(IF($C$20&lt;25%,"N/A",IF(H8&lt;=($D$20+$B$20),H8,"Descartado"))))</f>
        <v/>
      </c>
    </row>
    <row r="9" customFormat="false" ht="12.75" hidden="false" customHeight="false" outlineLevel="0" collapsed="false">
      <c r="A9" s="3"/>
      <c r="B9" s="6"/>
      <c r="C9" s="6"/>
      <c r="D9" s="6"/>
      <c r="E9" s="7"/>
      <c r="F9" s="7"/>
      <c r="G9" s="9"/>
      <c r="H9" s="10"/>
      <c r="I9" s="10" t="str">
        <f aca="false">IF(H9="","",(IF($C$20&lt;25%,"N/A",IF(H9&lt;=($D$20+$B$20),H9,"Descartado"))))</f>
        <v/>
      </c>
    </row>
    <row r="10" customFormat="false" ht="12.75" hidden="false" customHeight="false" outlineLevel="0" collapsed="false">
      <c r="A10" s="3"/>
      <c r="B10" s="6"/>
      <c r="C10" s="6"/>
      <c r="D10" s="6"/>
      <c r="E10" s="7"/>
      <c r="F10" s="7"/>
      <c r="G10" s="9"/>
      <c r="H10" s="10"/>
      <c r="I10" s="10" t="str">
        <f aca="false">IF(H10="","",(IF($C$20&lt;25%,"N/A",IF(H10&lt;=($D$20+$B$20),H10,"Descartado"))))</f>
        <v/>
      </c>
    </row>
    <row r="11" customFormat="false" ht="12.75" hidden="false" customHeight="false" outlineLevel="0" collapsed="false">
      <c r="A11" s="3"/>
      <c r="B11" s="6"/>
      <c r="C11" s="6"/>
      <c r="D11" s="6"/>
      <c r="E11" s="7"/>
      <c r="F11" s="7"/>
      <c r="G11" s="9"/>
      <c r="H11" s="10"/>
      <c r="I11" s="10" t="str">
        <f aca="false">IF(H11="","",(IF($C$20&lt;25%,"N/A",IF(H11&lt;=($D$20+$B$20),H11,"Descartado"))))</f>
        <v/>
      </c>
    </row>
    <row r="12" customFormat="false" ht="12.75" hidden="false" customHeight="false" outlineLevel="0" collapsed="false">
      <c r="A12" s="3"/>
      <c r="B12" s="6"/>
      <c r="C12" s="6"/>
      <c r="D12" s="6"/>
      <c r="E12" s="7"/>
      <c r="F12" s="7"/>
      <c r="G12" s="9"/>
      <c r="H12" s="10"/>
      <c r="I12" s="10" t="str">
        <f aca="false">IF(H12="","",(IF($C$20&lt;25%,"N/A",IF(H12&lt;=($D$20+$B$20),H12,"Descartado"))))</f>
        <v/>
      </c>
    </row>
    <row r="13" customFormat="false" ht="12.75" hidden="false" customHeight="false" outlineLevel="0" collapsed="false">
      <c r="A13" s="3"/>
      <c r="B13" s="6"/>
      <c r="C13" s="6"/>
      <c r="D13" s="6"/>
      <c r="E13" s="7"/>
      <c r="F13" s="7"/>
      <c r="G13" s="9"/>
      <c r="H13" s="10"/>
      <c r="I13" s="10" t="str">
        <f aca="false">IF(H13="","",(IF($C$20&lt;25%,"N/A",IF(H13&lt;=($D$20+$B$20),H13,"Descartado"))))</f>
        <v/>
      </c>
    </row>
    <row r="14" customFormat="false" ht="12.75" hidden="false" customHeight="false" outlineLevel="0" collapsed="false">
      <c r="A14" s="3"/>
      <c r="B14" s="6"/>
      <c r="C14" s="6"/>
      <c r="D14" s="6"/>
      <c r="E14" s="7"/>
      <c r="F14" s="7"/>
      <c r="G14" s="9"/>
      <c r="H14" s="10"/>
      <c r="I14" s="10" t="str">
        <f aca="false">IF(H14="","",(IF($C$20&lt;25%,"N/A",IF(H14&lt;=($D$20+$B$20),H14,"Descartado"))))</f>
        <v/>
      </c>
    </row>
    <row r="15" customFormat="false" ht="12.75" hidden="false" customHeight="false" outlineLevel="0" collapsed="false">
      <c r="A15" s="3"/>
      <c r="B15" s="6"/>
      <c r="C15" s="6"/>
      <c r="D15" s="6"/>
      <c r="E15" s="7"/>
      <c r="F15" s="7"/>
      <c r="G15" s="9"/>
      <c r="H15" s="10"/>
      <c r="I15" s="10" t="str">
        <f aca="false">IF(H15="","",(IF($C$20&lt;25%,"N/A",IF(H15&lt;=($D$20+$B$20),H15,"Descartado"))))</f>
        <v/>
      </c>
    </row>
    <row r="16" customFormat="false" ht="12.75" hidden="false" customHeight="false" outlineLevel="0" collapsed="false">
      <c r="A16" s="3"/>
      <c r="B16" s="6"/>
      <c r="C16" s="6"/>
      <c r="D16" s="6"/>
      <c r="E16" s="7"/>
      <c r="F16" s="7"/>
      <c r="G16" s="9"/>
      <c r="H16" s="10"/>
      <c r="I16" s="10" t="str">
        <f aca="false">IF(H16="","",(IF($C$20&lt;25%,"N/A",IF(H16&lt;=($D$20+$B$20),H16,"Descartado"))))</f>
        <v/>
      </c>
    </row>
    <row r="17" customFormat="false" ht="12.75" hidden="false" customHeight="false" outlineLevel="0" collapsed="false">
      <c r="A17" s="3"/>
      <c r="B17" s="6"/>
      <c r="C17" s="6"/>
      <c r="D17" s="6"/>
      <c r="E17" s="7"/>
      <c r="F17" s="7"/>
      <c r="G17" s="9"/>
      <c r="H17" s="10"/>
      <c r="I17" s="10" t="str">
        <f aca="false">IF(H17="","",(IF($C$20&lt;25%,"N/A",IF(H17&lt;=($D$20+$B$20),H17,"Descartado"))))</f>
        <v/>
      </c>
    </row>
    <row r="18" customFormat="false" ht="12.75" hidden="false" customHeight="false" outlineLevel="0" collapsed="false">
      <c r="A18" s="11"/>
      <c r="B18" s="12"/>
      <c r="C18" s="12"/>
      <c r="D18" s="12"/>
      <c r="E18" s="13"/>
      <c r="F18" s="13"/>
      <c r="G18" s="14"/>
      <c r="H18" s="15"/>
      <c r="I18" s="15"/>
    </row>
    <row r="19" customFormat="false" ht="38.25" hidden="false" customHeight="false" outlineLevel="0" collapsed="false">
      <c r="A19" s="16"/>
      <c r="B19" s="4" t="s">
        <v>15</v>
      </c>
      <c r="C19" s="4" t="s">
        <v>16</v>
      </c>
      <c r="D19" s="17" t="s">
        <v>17</v>
      </c>
      <c r="E19" s="18" t="s">
        <v>18</v>
      </c>
      <c r="F19" s="17" t="s">
        <v>19</v>
      </c>
      <c r="G19" s="19"/>
      <c r="H19" s="20"/>
      <c r="I19" s="20"/>
    </row>
    <row r="20" customFormat="false" ht="12.75" hidden="false" customHeight="false" outlineLevel="0" collapsed="false">
      <c r="A20" s="21"/>
      <c r="B20" s="22" t="n">
        <f aca="false">IF(H23&lt;2,"N/A",(STDEV(H3:H17)))</f>
        <v>1.50280848192088</v>
      </c>
      <c r="C20" s="23" t="n">
        <f aca="false">IF(H23&lt;2,"N/A",(B20/D20))</f>
        <v>0.193494654324576</v>
      </c>
      <c r="D20" s="24" t="n">
        <f aca="false">AVERAGE(H3:H17)</f>
        <v>7.76666666666667</v>
      </c>
      <c r="E20" s="25" t="str">
        <f aca="false">IF(H23&lt;2,"N/A",(IF(C20&lt;=25%,"N/A",AVERAGE(I3:I17))))</f>
        <v>N/A</v>
      </c>
      <c r="F20" s="24" t="n">
        <f aca="false">MEDIAN(H3:H17)</f>
        <v>7.29</v>
      </c>
      <c r="G20" s="26"/>
      <c r="H20" s="27"/>
      <c r="I20" s="27"/>
    </row>
    <row r="21" customFormat="false" ht="12.75" hidden="false" customHeight="false" outlineLevel="0" collapsed="false">
      <c r="A21" s="28"/>
      <c r="B21" s="29"/>
      <c r="C21" s="29"/>
      <c r="D21" s="29"/>
      <c r="E21" s="29"/>
      <c r="F21" s="29"/>
      <c r="G21" s="30"/>
      <c r="H21" s="30"/>
      <c r="I21" s="30"/>
    </row>
    <row r="22" customFormat="false" ht="12.75" hidden="false" customHeight="false" outlineLevel="0" collapsed="false">
      <c r="B22" s="31" t="s">
        <v>20</v>
      </c>
      <c r="C22" s="31"/>
      <c r="D22" s="32" t="n">
        <f aca="false">IF(C20&lt;=25%,D20,MIN(E20:F20))</f>
        <v>7.76666666666667</v>
      </c>
      <c r="E22" s="32"/>
    </row>
    <row r="23" customFormat="false" ht="12.75" hidden="false" customHeight="false" outlineLevel="0" collapsed="false">
      <c r="B23" s="31" t="s">
        <v>21</v>
      </c>
      <c r="C23" s="31"/>
      <c r="D23" s="32" t="n">
        <f aca="false">ROUND(D22,2)*F3</f>
        <v>1554</v>
      </c>
      <c r="E23" s="32"/>
      <c r="G23" s="33" t="s">
        <v>22</v>
      </c>
      <c r="H23" s="34" t="n">
        <f aca="false">COUNT(H3:H17)</f>
        <v>3</v>
      </c>
    </row>
    <row r="24" customFormat="false" ht="12.75" hidden="false" customHeight="false" outlineLevel="0" collapsed="false">
      <c r="B24" s="35"/>
      <c r="C24" s="35"/>
      <c r="D24" s="27"/>
      <c r="E24" s="27"/>
    </row>
    <row r="26" customFormat="false" ht="12.75" hidden="false" customHeight="false" outlineLevel="0" collapsed="false">
      <c r="A26" s="36" t="s">
        <v>23</v>
      </c>
      <c r="B26" s="36"/>
      <c r="C26" s="36"/>
      <c r="D26" s="36"/>
      <c r="E26" s="36"/>
      <c r="F26" s="36"/>
      <c r="G26" s="36"/>
      <c r="H26" s="36"/>
      <c r="I26" s="36"/>
    </row>
    <row r="27" customFormat="false" ht="12.75" hidden="false" customHeight="false" outlineLevel="0" collapsed="false">
      <c r="A27" s="37" t="s">
        <v>24</v>
      </c>
      <c r="B27" s="37"/>
      <c r="C27" s="37"/>
      <c r="D27" s="37"/>
      <c r="E27" s="37"/>
      <c r="F27" s="37"/>
      <c r="G27" s="37"/>
      <c r="H27" s="37"/>
      <c r="I27" s="37"/>
    </row>
    <row r="28" customFormat="false" ht="12.75" hidden="false" customHeight="false" outlineLevel="0" collapsed="false">
      <c r="A28" s="37" t="s">
        <v>25</v>
      </c>
      <c r="B28" s="37"/>
      <c r="C28" s="37"/>
      <c r="D28" s="37"/>
      <c r="E28" s="37"/>
      <c r="F28" s="37"/>
      <c r="G28" s="37"/>
      <c r="H28" s="37"/>
      <c r="I28" s="37"/>
    </row>
    <row r="29" customFormat="false" ht="25.5" hidden="false" customHeight="true" outlineLevel="0" collapsed="false">
      <c r="A29" s="38" t="s">
        <v>26</v>
      </c>
      <c r="B29" s="38"/>
      <c r="C29" s="38"/>
      <c r="D29" s="38"/>
      <c r="E29" s="38"/>
      <c r="F29" s="38"/>
      <c r="G29" s="38"/>
      <c r="H29" s="38"/>
      <c r="I29" s="38"/>
    </row>
    <row r="30" customFormat="false" ht="12.75" hidden="false" customHeight="false" outlineLevel="0" collapsed="false">
      <c r="A30" s="37" t="s">
        <v>27</v>
      </c>
      <c r="B30" s="37"/>
      <c r="C30" s="37"/>
      <c r="D30" s="37"/>
      <c r="E30" s="37"/>
      <c r="F30" s="37"/>
      <c r="G30" s="37"/>
      <c r="H30" s="37"/>
      <c r="I30" s="37"/>
    </row>
    <row r="31" customFormat="false" ht="12.75" hidden="false" customHeight="false" outlineLevel="0" collapsed="false">
      <c r="A31" s="37" t="s">
        <v>28</v>
      </c>
      <c r="B31" s="37"/>
      <c r="C31" s="37"/>
      <c r="D31" s="37"/>
      <c r="E31" s="37"/>
      <c r="F31" s="37"/>
      <c r="G31" s="37"/>
      <c r="H31" s="37"/>
      <c r="I31" s="37"/>
    </row>
    <row r="32" customFormat="false" ht="25.5" hidden="false" customHeight="true" outlineLevel="0" collapsed="false">
      <c r="A32" s="39" t="s">
        <v>29</v>
      </c>
      <c r="B32" s="39"/>
      <c r="C32" s="39"/>
      <c r="D32" s="39"/>
      <c r="E32" s="39"/>
      <c r="F32" s="39"/>
      <c r="G32" s="39"/>
      <c r="H32" s="39"/>
      <c r="I32" s="39"/>
    </row>
  </sheetData>
  <mergeCells count="17"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/>
  <dcterms:modified xsi:type="dcterms:W3CDTF">2020-05-21T16:44:16Z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