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44.xml" ContentType="application/vnd.openxmlformats-officedocument.spreadsheetml.worksheet+xml"/>
  <Override PartName="/xl/worksheets/sheet1.xml" ContentType="application/vnd.openxmlformats-officedocument.spreadsheetml.worksheet+xml"/>
  <Override PartName="/xl/worksheets/sheet62.xml" ContentType="application/vnd.openxmlformats-officedocument.spreadsheetml.worksheet+xml"/>
  <Override PartName="/xl/worksheets/sheet9.xml" ContentType="application/vnd.openxmlformats-officedocument.spreadsheetml.worksheet+xml"/>
  <Override PartName="/xl/worksheets/sheet45.xml" ContentType="application/vnd.openxmlformats-officedocument.spreadsheetml.worksheet+xml"/>
  <Override PartName="/xl/worksheets/sheet2.xml" ContentType="application/vnd.openxmlformats-officedocument.spreadsheetml.worksheet+xml"/>
  <Override PartName="/xl/worksheets/sheet46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47.xml" ContentType="application/vnd.openxmlformats-officedocument.spreadsheetml.worksheet+xml"/>
  <Override PartName="/xl/worksheets/sheet5.xml" ContentType="application/vnd.openxmlformats-officedocument.spreadsheetml.worksheet+xml"/>
  <Override PartName="/xl/worksheets/sheet48.xml" ContentType="application/vnd.openxmlformats-officedocument.spreadsheetml.worksheet+xml"/>
  <Override PartName="/xl/worksheets/sheet6.xml" ContentType="application/vnd.openxmlformats-officedocument.spreadsheetml.worksheet+xml"/>
  <Override PartName="/xl/worksheets/sheet49.xml" ContentType="application/vnd.openxmlformats-officedocument.spreadsheetml.worksheet+xml"/>
  <Override PartName="/xl/worksheets/sheet7.xml" ContentType="application/vnd.openxmlformats-officedocument.spreadsheetml.worksheet+xml"/>
  <Override PartName="/xl/worksheets/sheet60.xml" ContentType="application/vnd.openxmlformats-officedocument.spreadsheetml.worksheet+xml"/>
  <Override PartName="/xl/worksheets/sheet8.xml" ContentType="application/vnd.openxmlformats-officedocument.spreadsheetml.worksheet+xml"/>
  <Override PartName="/xl/worksheets/sheet6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2"/>
  </bookViews>
  <sheets>
    <sheet name="Item1" sheetId="1" state="visible" r:id="rId2"/>
    <sheet name="Item2" sheetId="2" state="visible" r:id="rId3"/>
    <sheet name="Item3" sheetId="3" state="visible" r:id="rId4"/>
    <sheet name="Item4" sheetId="4" state="visible" r:id="rId5"/>
    <sheet name="Item5" sheetId="5" state="visible" r:id="rId6"/>
    <sheet name="Item6" sheetId="6" state="visible" r:id="rId7"/>
    <sheet name="Item7" sheetId="7" state="visible" r:id="rId8"/>
    <sheet name="Item8" sheetId="8" state="visible" r:id="rId9"/>
    <sheet name="Item9" sheetId="9" state="visible" r:id="rId10"/>
    <sheet name="Item10" sheetId="10" state="visible" r:id="rId11"/>
    <sheet name="Item11" sheetId="11" state="visible" r:id="rId12"/>
    <sheet name="Item12" sheetId="12" state="visible" r:id="rId13"/>
    <sheet name="Item13" sheetId="13" state="visible" r:id="rId14"/>
    <sheet name="Item14" sheetId="14" state="visible" r:id="rId15"/>
    <sheet name="Item15" sheetId="15" state="visible" r:id="rId16"/>
    <sheet name="Item16" sheetId="16" state="visible" r:id="rId17"/>
    <sheet name="Item17" sheetId="17" state="visible" r:id="rId18"/>
    <sheet name="Item18" sheetId="18" state="visible" r:id="rId19"/>
    <sheet name="Item19" sheetId="19" state="visible" r:id="rId20"/>
    <sheet name="Item20" sheetId="20" state="visible" r:id="rId21"/>
    <sheet name="Item21" sheetId="21" state="visible" r:id="rId22"/>
    <sheet name="Item22" sheetId="22" state="visible" r:id="rId23"/>
    <sheet name="Item23" sheetId="23" state="visible" r:id="rId24"/>
    <sheet name="Item24" sheetId="24" state="visible" r:id="rId25"/>
    <sheet name="Item25" sheetId="25" state="visible" r:id="rId26"/>
    <sheet name="Item26" sheetId="26" state="visible" r:id="rId27"/>
    <sheet name="Item27" sheetId="27" state="visible" r:id="rId28"/>
    <sheet name="Item28" sheetId="28" state="visible" r:id="rId29"/>
    <sheet name="Item29" sheetId="29" state="visible" r:id="rId30"/>
    <sheet name="Item30" sheetId="30" state="visible" r:id="rId31"/>
    <sheet name="Item31" sheetId="31" state="visible" r:id="rId32"/>
    <sheet name="Item32" sheetId="32" state="visible" r:id="rId33"/>
    <sheet name="Item33" sheetId="33" state="visible" r:id="rId34"/>
    <sheet name="Item34" sheetId="34" state="visible" r:id="rId35"/>
    <sheet name="Item35" sheetId="35" state="visible" r:id="rId36"/>
    <sheet name="Item36" sheetId="36" state="visible" r:id="rId37"/>
    <sheet name="Item37" sheetId="37" state="visible" r:id="rId38"/>
    <sheet name="Item38" sheetId="38" state="visible" r:id="rId39"/>
    <sheet name="Item39" sheetId="39" state="visible" r:id="rId40"/>
    <sheet name="Item40" sheetId="40" state="visible" r:id="rId41"/>
    <sheet name="Item41" sheetId="41" state="visible" r:id="rId42"/>
    <sheet name="Item42" sheetId="42" state="visible" r:id="rId43"/>
    <sheet name="Item43" sheetId="43" state="visible" r:id="rId44"/>
    <sheet name="Item44" sheetId="44" state="visible" r:id="rId45"/>
    <sheet name="Item45" sheetId="45" state="visible" r:id="rId46"/>
    <sheet name="Item46" sheetId="46" state="visible" r:id="rId47"/>
    <sheet name="Item47" sheetId="47" state="visible" r:id="rId48"/>
    <sheet name="Item48" sheetId="48" state="visible" r:id="rId49"/>
    <sheet name="Item49" sheetId="49" state="visible" r:id="rId50"/>
    <sheet name="Item50" sheetId="50" state="visible" r:id="rId51"/>
    <sheet name="Item51" sheetId="51" state="visible" r:id="rId52"/>
    <sheet name="Item52" sheetId="52" state="visible" r:id="rId53"/>
    <sheet name="Item53" sheetId="53" state="visible" r:id="rId54"/>
    <sheet name="Item54" sheetId="54" state="visible" r:id="rId55"/>
    <sheet name="Item55" sheetId="55" state="visible" r:id="rId56"/>
    <sheet name="Item56" sheetId="56" state="visible" r:id="rId57"/>
    <sheet name="Item57" sheetId="57" state="visible" r:id="rId58"/>
    <sheet name="Item58" sheetId="58" state="visible" r:id="rId59"/>
    <sheet name="Item59" sheetId="59" state="visible" r:id="rId60"/>
    <sheet name="Item60" sheetId="60" state="visible" r:id="rId61"/>
    <sheet name="Item61" sheetId="61" state="visible" r:id="rId62"/>
    <sheet name="Item62" sheetId="62" state="visible" r:id="rId63"/>
    <sheet name="Item63" sheetId="63" state="visible" r:id="rId64"/>
    <sheet name="Item64" sheetId="64" state="visible" r:id="rId65"/>
    <sheet name="Item65" sheetId="65" state="visible" r:id="rId66"/>
    <sheet name="Item66" sheetId="66" state="visible" r:id="rId67"/>
    <sheet name="Item67" sheetId="67" state="visible" r:id="rId68"/>
    <sheet name="Item68" sheetId="68" state="visible" r:id="rId69"/>
    <sheet name="Item69" sheetId="69" state="visible" r:id="rId70"/>
    <sheet name="Item70" sheetId="70" state="visible" r:id="rId71"/>
    <sheet name="Item71" sheetId="71" state="visible" r:id="rId72"/>
    <sheet name="Item72" sheetId="72" state="visible" r:id="rId73"/>
    <sheet name="Item73" sheetId="73" state="visible" r:id="rId74"/>
    <sheet name="Item74" sheetId="74" state="visible" r:id="rId75"/>
    <sheet name="Item75" sheetId="75" state="visible" r:id="rId76"/>
    <sheet name="Item76" sheetId="76" state="visible" r:id="rId77"/>
    <sheet name="Item77" sheetId="77" state="visible" r:id="rId78"/>
    <sheet name="Item78" sheetId="78" state="visible" r:id="rId79"/>
    <sheet name="Item79" sheetId="79" state="visible" r:id="rId80"/>
    <sheet name="Item80" sheetId="80" state="visible" r:id="rId81"/>
    <sheet name="Item81" sheetId="81" state="visible" r:id="rId82"/>
    <sheet name="Item82" sheetId="82" state="visible" r:id="rId83"/>
    <sheet name="TOTAL" sheetId="83" state="visible" r:id="rId84"/>
    <sheet name="menores" sheetId="84" state="visible" r:id="rId85"/>
  </sheets>
  <definedNames>
    <definedName function="false" hidden="false" localSheetId="83" name="_xlnm.Print_Area" vbProcedure="false">menores!$A$1:$F$167</definedName>
    <definedName function="false" hidden="false" localSheetId="82" name="_xlnm.Print_Area" vbProcedure="false">TOTAL!$A$1:$F$85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<sst xmlns="http://schemas.openxmlformats.org/spreadsheetml/2006/main" count="2765" uniqueCount="413">
  <si>
    <t xml:space="preserve">ESTIMATIVA DO ITEM</t>
  </si>
  <si>
    <t xml:space="preserve">ITEM 1</t>
  </si>
  <si>
    <t xml:space="preserve">MATERIAL OU SERVIÇO</t>
  </si>
  <si>
    <t xml:space="preserve">UNIDADE</t>
  </si>
  <si>
    <t xml:space="preserve">QUANT.</t>
  </si>
  <si>
    <t xml:space="preserve">PREÇO ESTIMADO</t>
  </si>
  <si>
    <t xml:space="preserve">MENOR PREÇO</t>
  </si>
  <si>
    <t xml:space="preserve">FONTE DE PESQUISA</t>
  </si>
  <si>
    <t xml:space="preserve">PREÇOS</t>
  </si>
  <si>
    <t xml:space="preserve">DESCARTE</t>
  </si>
  <si>
    <t xml:space="preserve">Adaptador Multiplicador De Linha Telefone RJ11 com 3 saídas</t>
  </si>
  <si>
    <t xml:space="preserve">unidade</t>
  </si>
  <si>
    <t xml:space="preserve">Lojas Tamoyo.com</t>
  </si>
  <si>
    <t xml:space="preserve">RadFran.com</t>
  </si>
  <si>
    <t xml:space="preserve">Icase solution.com</t>
  </si>
  <si>
    <t xml:space="preserve">Megaporte</t>
  </si>
  <si>
    <t xml:space="preserve">CNPJ 19.351.920/0001-82 (PE n. 48/2017)</t>
  </si>
  <si>
    <t xml:space="preserve">DESVIO PADRÃO</t>
  </si>
  <si>
    <t xml:space="preserve">QUANTIDADE DE PREÇOS COLETADOS</t>
  </si>
  <si>
    <t xml:space="preserve">COEF.</t>
  </si>
  <si>
    <t xml:space="preserve">MÉDIA</t>
  </si>
  <si>
    <t xml:space="preserve">MÉDIA APÓS DESCARTE</t>
  </si>
  <si>
    <t xml:space="preserve">MEDIANA</t>
  </si>
  <si>
    <t xml:space="preserve">MENOR PREÇO UNITÁRIO COLETADO PARA O ITEM</t>
  </si>
  <si>
    <t xml:space="preserve">VALOR UNITÁRIO ESTIMADO</t>
  </si>
  <si>
    <t xml:space="preserve">VALOR TOTAL</t>
  </si>
  <si>
    <t xml:space="preserve">DESVIO: desvio padrão dos preços pesquisados, calculados por meio da função DESVPAD do editor de planilhas.</t>
  </si>
  <si>
    <t xml:space="preserve">COEF.: relação entre o DESVIO e a MÉDIA, expresso em valor percentual.</t>
  </si>
  <si>
    <t xml:space="preserve">MÉDIA: média aritmética dos preços pesquisados.</t>
  </si>
  <si>
    <t xml:space="preserve">DESCARTE: coluna que exibe os preços considerados, quando COEF. é maior que 25%. São descartados os preços fora do intervalo entre o menor preço e a soma [MÉDIA + DESVIO].</t>
  </si>
  <si>
    <t xml:space="preserve">MÉDIA APÓS DESCARTE: média aritmética dos preços dentro do intervalo acima descrito.</t>
  </si>
  <si>
    <t xml:space="preserve">MEDIANA: valor estatístico que separa a metade maior da metade menor da amostra, calculado pela função MED do editor de planilhas.</t>
  </si>
  <si>
    <t xml:space="preserve">VALOR UNITÁRIO: quando COEF. for menor ou igual a 25%, o valor unitário estimado será a MÉDIA dos preços pesquisados; quando COEF. for maior que 25%, o valor unitário será o menor valor dentre a MÉDIA APÓS DESCARTE e a MEDIANA.</t>
  </si>
  <si>
    <t xml:space="preserve">ITEM 2</t>
  </si>
  <si>
    <t xml:space="preserve">Adaptador Multiplicador De Linha Telefone RJ11 com 5 saídas</t>
  </si>
  <si>
    <t xml:space="preserve">Macro virtual.com</t>
  </si>
  <si>
    <t xml:space="preserve">Eletroinfo cia.com</t>
  </si>
  <si>
    <t xml:space="preserve">Plenitude Cabos</t>
  </si>
  <si>
    <t xml:space="preserve">ITEM 3</t>
  </si>
  <si>
    <t xml:space="preserve">Cabo de rede UTP - Categoria 6
Especificações técnicas:
·  Cabo de 4 pares trançados compostos por condutores sólidos de cobre, 23AWG, isolados em polietileno de alta densidade;
·  Capa externa em PVC não propagante a chama;
·  Cor azul;
·  Acondicionado em caixa de papelão tipo fastbox (305 metros), com nome do fabricante e sistema de rastreamento que permita identificar a data de fabricação dos cabos;
·  O cabo deve ser fabricado com material LSZH (Low Smoke, Zero Halogen);
·  Marcação sequencial métrica decrescente;
</t>
  </si>
  <si>
    <t xml:space="preserve">caixa</t>
  </si>
  <si>
    <t xml:space="preserve">Lokarista</t>
  </si>
  <si>
    <t xml:space="preserve">Net Computadores</t>
  </si>
  <si>
    <t xml:space="preserve">Amazon</t>
  </si>
  <si>
    <t xml:space="preserve">TelCabos</t>
  </si>
  <si>
    <t xml:space="preserve">ITEM 4</t>
  </si>
  <si>
    <t xml:space="preserve"> Cabo em cobre, tipo PP, 3 x 2,50 mm² (três vias com bitola de 2,50
mm²). Cabo do tipo flexível e capa de PVC. Rolo com 100m</t>
  </si>
  <si>
    <t xml:space="preserve">rl</t>
  </si>
  <si>
    <t xml:space="preserve">Olist.com</t>
  </si>
  <si>
    <t xml:space="preserve">CNPJ 22.356.205/0001-47 (PE n. 48/2017)</t>
  </si>
  <si>
    <t xml:space="preserve">CNPJ 24.616.322/0001-28(PE n. 48/2017)</t>
  </si>
  <si>
    <t xml:space="preserve">CNPJ 27.411.182/0001-40(PE n. 48/2017)</t>
  </si>
  <si>
    <t xml:space="preserve">CNPJ 07.512.253/0001-93(PE n. 48/2017)</t>
  </si>
  <si>
    <t xml:space="preserve">ITEM 5</t>
  </si>
  <si>
    <t xml:space="preserve">Cabo em cobre, tipo PP, 3 x 4,00 mm² (três vias com bitola de 4,00
mm²). Cabo do tipo flexível e capa de PVC. Rolo com 100m</t>
  </si>
  <si>
    <t xml:space="preserve">CNPJ 22.356.205/0001-47(PE n. 48/2017)</t>
  </si>
  <si>
    <t xml:space="preserve">ITEM 6</t>
  </si>
  <si>
    <t xml:space="preserve">Cabo em cobre, tipo PP, 3 x 6,00 mm² (três vias com bitola de 6,00
mm²). Cabo do tipo flexível e capa de PVC. Rolo com 100m</t>
  </si>
  <si>
    <t xml:space="preserve">CNPJ 11.420.095/0001-19(PE n. 48/2017)</t>
  </si>
  <si>
    <t xml:space="preserve">CNPJ 26.032.320/0001-17(PE n. 48/2017)</t>
  </si>
  <si>
    <t xml:space="preserve">ITEM 7</t>
  </si>
  <si>
    <t xml:space="preserve"> Cabo em cobre, tipo PP, 4 x 2,50 mm² (quatro vias com bitola de
2,50 mm²). Cabo do tipo flexível e capa de PVC. Rolo com 100m</t>
  </si>
  <si>
    <t xml:space="preserve">CNPJ 03.586.956/0001-05(PE n. 48/2017)</t>
  </si>
  <si>
    <t xml:space="preserve">ITEM 8</t>
  </si>
  <si>
    <t xml:space="preserve">Cabo em cobre, tipo PP, 4 x 4,00 mm² (quatro vias com bitola de
4,00 mm²). Cabo do tipo flexível e capa de PVC. Rolo com 100m</t>
  </si>
  <si>
    <t xml:space="preserve">CNPJ 24.616.322/0001-28 (PE n. 48/2017)</t>
  </si>
  <si>
    <t xml:space="preserve">ITEM 9</t>
  </si>
  <si>
    <t xml:space="preserve"> Cabo em cobre, tipo PP, 4 x 6,00 mm² (quatro vias com bitola de
6,00 mm²). Cabo do tipo flexível e capa de PVC. Rolo com 100m</t>
  </si>
  <si>
    <t xml:space="preserve">Carrefour.com</t>
  </si>
  <si>
    <t xml:space="preserve">Big Tools</t>
  </si>
  <si>
    <t xml:space="preserve">CNPJ 24.101.048/0001-54(PE n. 48/2017)</t>
  </si>
  <si>
    <t xml:space="preserve">ITEM 10</t>
  </si>
  <si>
    <t xml:space="preserve"> Cabo flexível em cobre com bitola de 2,50 mm², classe de
isolamento 0,75kV isolamento em PVC, fornecido em embalagens
fechadas lacradas pelo fabricante, na cor amarela. Rolo com 100m</t>
  </si>
  <si>
    <t xml:space="preserve">Casa e Garagem</t>
  </si>
  <si>
    <t xml:space="preserve">CNPJ 16.866.828/0001-67(PE n. 48/2017)</t>
  </si>
  <si>
    <t xml:space="preserve">ITEM 11</t>
  </si>
  <si>
    <t xml:space="preserve">Cabo flexível em cobre com bitola de 2,50 mm², classe de
isolamento 0,75kV, isolamento em PVC, fornecido em embalagens
fechadas lacradas pelo fabricante, na cor azul. Rolo com 100m</t>
  </si>
  <si>
    <t xml:space="preserve">CEC.com</t>
  </si>
  <si>
    <t xml:space="preserve">Madeira Madeira</t>
  </si>
  <si>
    <t xml:space="preserve">Telha Norte</t>
  </si>
  <si>
    <t xml:space="preserve">CNPJ 20.007.422/0001-04(PE n. 48/2017)</t>
  </si>
  <si>
    <t xml:space="preserve">CNPJ 12.981.327/0001-70(PE n. 48/2017)</t>
  </si>
  <si>
    <t xml:space="preserve">ITEM 12</t>
  </si>
  <si>
    <t xml:space="preserve">Cabo flexível em cobre com bitola de 2,50 mm², classe de
isolamento 0,75kV, isolamento em PVC, fornecido em embalagens
fechadas lacradas pelo fabricante, na cor branca. Rolo com 100m</t>
  </si>
  <si>
    <t xml:space="preserve">Marson Lar e Construção</t>
  </si>
  <si>
    <t xml:space="preserve">CNPJ 22.356.205/0001-47(PE n. 48/2018)</t>
  </si>
  <si>
    <t xml:space="preserve">CNPJ 16.866.828/0001-67(PE n. 48/2018)</t>
  </si>
  <si>
    <t xml:space="preserve">CNPJ 07.512.253/0001-93(PE n. 48/2018)</t>
  </si>
  <si>
    <t xml:space="preserve">ITEM 13</t>
  </si>
  <si>
    <t xml:space="preserve"> Cabo flexível em cobre com bitola de 2,50 mm², classe de
isolamento 0,75kV, isolamento em PVC, fornecido em embalagens
fechadas lacradas pelo fabricante, na cor preta. Rolo com 100m</t>
  </si>
  <si>
    <t xml:space="preserve">Teha Norte</t>
  </si>
  <si>
    <t xml:space="preserve">CNPJ 24.616.322/0001-28(PE n. 48/2018)</t>
  </si>
  <si>
    <t xml:space="preserve">ITEM 14</t>
  </si>
  <si>
    <t xml:space="preserve">Cabo flexível em cobre com bitola de 2,50 mm², classe de
isolamento 0,75kV isolamento em PVC, fornecido em embalagens
fechadas lacradas pelo fabricante, na cor verde. Rolo com 100m</t>
  </si>
  <si>
    <t xml:space="preserve">CNPJ 28.347.594/0001-20(PE n. 48/2017)</t>
  </si>
  <si>
    <t xml:space="preserve">ITEM 15</t>
  </si>
  <si>
    <t xml:space="preserve">Cabo flexível em cobre com bitola de 2,50 mm², classe de
isolamento 0,75kV, isolamento em PVC, fornecido em embalagens
fechadas lacradas pelo fabricante, na cor vermelha. Rolo com 100m</t>
  </si>
  <si>
    <t xml:space="preserve">CNPJ 10.752.963/0001-03(PE n. 48/2017)</t>
  </si>
  <si>
    <t xml:space="preserve">Cabo flexível em cobre com bitola de 4,00 mm², classe de
isolamento 0,75kV, isolamento em PVC, fornecido em embalagens
fechadas lacradas pelo fabricante, na cor azul. Rolo com 100m</t>
  </si>
  <si>
    <t xml:space="preserve">Loja do Pedreiro</t>
  </si>
  <si>
    <t xml:space="preserve">Ballaroti</t>
  </si>
  <si>
    <t xml:space="preserve">Torres Cabral</t>
  </si>
  <si>
    <t xml:space="preserve">ITEM 17</t>
  </si>
  <si>
    <t xml:space="preserve">Cabo flexível em cobre com bitola de 4,00 mm², classe de
isolamento 0,75kV, isolamento em PVC, fornecido em embalagens
fechadas lacradas pelo fabricante, na cor preta. Rolo com 100m</t>
  </si>
  <si>
    <t xml:space="preserve">CeC</t>
  </si>
  <si>
    <t xml:space="preserve">Terra Norte</t>
  </si>
  <si>
    <t xml:space="preserve">CNPJ 410.752.93/0001-03(PE n. 48/2017)</t>
  </si>
  <si>
    <t xml:space="preserve">ITEM 18</t>
  </si>
  <si>
    <t xml:space="preserve">Cabo flexível em cobre com bitola de 4,00 mm², classe de
isolamento 0,75kV isolamento em PVC, fornecido em embalagens
fechadas lacradas pelo fabricante, na cor verde. Rolo com 100m</t>
  </si>
  <si>
    <t xml:space="preserve">Marconi</t>
  </si>
  <si>
    <t xml:space="preserve">ITEM 19</t>
  </si>
  <si>
    <t xml:space="preserve">Cabo flexível em cobre com bitola de 4,00 mm², classe de
isolamento 0,75kV isolamento em PVC, fornecido em embalagens
fechadas lacradas pelo fabricante, na cor vermelha. Rolo com 100m</t>
  </si>
  <si>
    <t xml:space="preserve">ITEM 20</t>
  </si>
  <si>
    <t xml:space="preserve">Cabo flexível em cobre com bitola de 4,00 mm², classe de
isolamento 0,75kV, isolamento em PVC, fornecido em embalagens
fechadas lacradas pelo fabricante, na cor branca. Rolo com 100m</t>
  </si>
  <si>
    <t xml:space="preserve">Marson</t>
  </si>
  <si>
    <t xml:space="preserve">Atacadista online</t>
  </si>
  <si>
    <t xml:space="preserve">ITEM 21</t>
  </si>
  <si>
    <t xml:space="preserve">Cabo flexível em cobre com bitola de 6,00 mm², classe de
isolamento 0,75kV isolamento em PVC, fornecido em embalagens
fechadas lacradas pelo fabricante, na cor verde. Rolo com 100m</t>
  </si>
  <si>
    <t xml:space="preserve">As compras.com</t>
  </si>
  <si>
    <t xml:space="preserve">Olist</t>
  </si>
  <si>
    <t xml:space="preserve">ITEM 22</t>
  </si>
  <si>
    <t xml:space="preserve">Cabo flexível em cobre com bitola de 6,00 mm², classe de
isolamento 0,75kV isolamento em PVC, fornecido em embalagens
fechadas lacradas pelo fabricante, na cor vermelha. Rolo com 100m</t>
  </si>
  <si>
    <t xml:space="preserve">Casas Bahia</t>
  </si>
  <si>
    <t xml:space="preserve">ITEM 23</t>
  </si>
  <si>
    <t xml:space="preserve">Cabo flexível em cobre com bitola de 6,00 mm², classe de
isolamento 0,75kV, isolamento em PVC, fornecido em embalagens
fechadas lacradas pelo fabricante, na cor azul. Rolo com 100m</t>
  </si>
  <si>
    <t xml:space="preserve">Balaroti</t>
  </si>
  <si>
    <t xml:space="preserve">Taqi</t>
  </si>
  <si>
    <t xml:space="preserve">ITEM 24</t>
  </si>
  <si>
    <t xml:space="preserve">Cabo flexível em cobre com bitola de 6,00 mm², classe de
isolamento 0,75kV, isolamento em PVC, fornecido em embalagens
fechadas lacradas pelo fabricante, na cor preta. Rolo com 100m</t>
  </si>
  <si>
    <t xml:space="preserve">Eletro Rastro.com</t>
  </si>
  <si>
    <t xml:space="preserve">Marchio</t>
  </si>
  <si>
    <t xml:space="preserve">Balatori</t>
  </si>
  <si>
    <t xml:space="preserve">ITEM 25</t>
  </si>
  <si>
    <t xml:space="preserve">Cabo flexível em cobre com bitola de 6,00 mm², classe de
isolamento 0,75kV, isolamento em PVC, fornecido em embalagens
fechadas lacradas pelo fabricante, na cor branca. Rolo com 100m</t>
  </si>
  <si>
    <t xml:space="preserve">Leroy Merlin.com</t>
  </si>
  <si>
    <t xml:space="preserve">ITEM 26</t>
  </si>
  <si>
    <t xml:space="preserve"> Caixa de tomada de piso em latão, redonda (circular – tanto a
moldura como o receptáculo da tomada), diâmetro 2” – completa,
inclusive tomada (2P+T padrão novo, corrente nominal 10 A e
tensão nominal 127/220V)</t>
  </si>
  <si>
    <t xml:space="preserve">CNPJ 26.201.702/0001-27(PE n. 48/2017)</t>
  </si>
  <si>
    <t xml:space="preserve">CNPJ 22.356.205/001-47(PE n. 48/2017)</t>
  </si>
  <si>
    <t xml:space="preserve">ITEM 27</t>
  </si>
  <si>
    <t xml:space="preserve">Caixa de tomada de piso em latão, redonda (circular – tanto a
moldura como o receptáculo da tomada), diâmetro 2” – completa,
inclusive tomada (RJ45)</t>
  </si>
  <si>
    <t xml:space="preserve">ITEM 28</t>
  </si>
  <si>
    <t xml:space="preserve">Conector Fêmea RJ-45 CAT 6
Especificações técnicas:
Conector fêmea Categoria 6 para cabo UTP sólido ou flexível;
Tipo de conector RJ-45;
Fabricado em termoplástico não propagante a chama UL 94V-0;
Diâmetro do Condutor: 26 a 22 AWG;
Cor: transparente;
Normas:
ANSI/TIA-568-2-D;
ISO/IEC DIS 11801;
NBR 14565
Garantia do Fabricante:
12 meses.
Referências:
Furukawa Conector Fêmea RJ-45 GigaLan CAT6;
Panduit plug RJ-45 CAT 6
</t>
  </si>
  <si>
    <t xml:space="preserve">Atera</t>
  </si>
  <si>
    <t xml:space="preserve">Loja Elétrica </t>
  </si>
  <si>
    <t xml:space="preserve">Elétrica Santana</t>
  </si>
  <si>
    <t xml:space="preserve">Telcabos</t>
  </si>
  <si>
    <t xml:space="preserve">ITEM 29</t>
  </si>
  <si>
    <t xml:space="preserve">Conector Macho RJ-45 CAT 6
Especificações técnicas:
Conector fêmea Categoria 6 para cabo UTP sólido ou flexível;
Tipo de conector RJ-45;
Fabricado em termoplástico não propagante a chama UL 94V-0;
Diâmetro do Condutor: 26 a 22 AWG;
Cor: transparente;
Normas:
ANSI/TIA-568-2-D;
ISO/IEC DIS 11801;
NBR 14565
Garantia do Fabricante:
12 meses.
Referências:
Furukawa Conector Fêmea RJ-45 GigaLan CAT6;
Panduit plug RJ-45 CAT 6
</t>
  </si>
  <si>
    <t xml:space="preserve">Carrefour</t>
  </si>
  <si>
    <t xml:space="preserve">PCI</t>
  </si>
  <si>
    <t xml:space="preserve">Redcabos</t>
  </si>
  <si>
    <t xml:space="preserve">ITEM 30</t>
  </si>
  <si>
    <t xml:space="preserve">Filtro de linha com plug 2P+T e 5 tomadas 2P+T</t>
  </si>
  <si>
    <t xml:space="preserve">Coruja Mix</t>
  </si>
  <si>
    <t xml:space="preserve">Piu Shop</t>
  </si>
  <si>
    <t xml:space="preserve">Salla</t>
  </si>
  <si>
    <t xml:space="preserve">ITEM 31</t>
  </si>
  <si>
    <t xml:space="preserve">Lâmpada LED Tubular Tipo T8, 60 cm, base G13, 127/220V, fluxo
luminoso mínimo de 850lm, potência máxima de 10W, luz branca
(temperatura de cor 6000-6500K), vida útil estimada igual ou maior
que 25.000 horas, compatível com a certificação do Inmetro.
Marca: Osram, Phillips ou similar</t>
  </si>
  <si>
    <t xml:space="preserve">Americanas</t>
  </si>
  <si>
    <t xml:space="preserve">Ferrera Costa</t>
  </si>
  <si>
    <t xml:space="preserve">Magazine Luiza</t>
  </si>
  <si>
    <t xml:space="preserve">Leroy Merlin</t>
  </si>
  <si>
    <t xml:space="preserve">ITEM 32</t>
  </si>
  <si>
    <t xml:space="preserve">Luminária de Emergência LED com fluxo luminoso mínimo de
2.100lm, potência máxima de 28W, Grau de Proteção Mínimo IP20,
autonomia mínima de 2 horas, vida útil estimada igual ou maior que
200 ciclos.</t>
  </si>
  <si>
    <t xml:space="preserve">Uperseg</t>
  </si>
  <si>
    <t xml:space="preserve">So Eletro</t>
  </si>
  <si>
    <t xml:space="preserve">MadeiraMadeira</t>
  </si>
  <si>
    <t xml:space="preserve">Eletrorastro</t>
  </si>
  <si>
    <t xml:space="preserve">ITEM 33</t>
  </si>
  <si>
    <t xml:space="preserve">Luminária/Painel LED de embutir, Quadrado (22cm x 22cm),
127/220V, fluxo luminoso mínimo de 1.100lm, potência máxima de
18W, luz branca (temperatura de cor 6000-6500K), vida útil
estimada igual ou maior que 25.000 horas</t>
  </si>
  <si>
    <t xml:space="preserve">Starlumen</t>
  </si>
  <si>
    <t xml:space="preserve">RCA Lâmpadas</t>
  </si>
  <si>
    <t xml:space="preserve">Luminárias on line</t>
  </si>
  <si>
    <t xml:space="preserve">ITEM 34</t>
  </si>
  <si>
    <t xml:space="preserve">Espelho de tomada de piso em latão escovado com molas e eixos
em aço inox 4x4" (espessura 2mm, comprimento 110mm e largura
110mm) com 2 tomadas 2P+T,10V com parafusos (referencia olivo, vacofer, marcai ou similar)</t>
  </si>
  <si>
    <t xml:space="preserve">CNPJ 16.597.435/0001-03(PE n. 48/2017)</t>
  </si>
  <si>
    <t xml:space="preserve">ITEM 35</t>
  </si>
  <si>
    <t xml:space="preserve">Espelho de tomada de piso em latão escovado com molas e eixos
em aço inox 4x4" (espessura 2mm, comprimento 110mm e largura
110mm) com 3 saídas para rj45, com parafusos (referencia olivo,
vacofer, marcai ou similar)</t>
  </si>
  <si>
    <t xml:space="preserve">ITEM 36</t>
  </si>
  <si>
    <t xml:space="preserve">Patch Panel Categoria 6
Especificações técnicas:
O produto deve atender os requisitos estabelecidos nas normas para Categoria 6/ Classe E;
24 posições RJ-45;
Corpo fabricado em termoplástico de alto impacto não propagante a chama (UL 94 V-0);
Painel frontal em plástico com porta etiquetas para identificação;
Possibilidade de crimpagem T568A ou T568B;
Deve possuir uma guia traseira feita em termoplástico para organizar os cabos;
Instalação em rack 19";
·  Normas:
·  EIA/TIA-569;
·  ISO/IEC 11801;
·  NBR 14565;
·  ANSI/TIA-606.
Garantia do Fabricante:
 12 meses.
Modelo de referência
  Furukawa Patch Panel Gigalan CAT6 24P
</t>
  </si>
  <si>
    <t xml:space="preserve">Dados da Rede</t>
  </si>
  <si>
    <t xml:space="preserve">Dream Shop</t>
  </si>
  <si>
    <t xml:space="preserve">ITEM 37</t>
  </si>
  <si>
    <t xml:space="preserve">Espelho redondo diâmetro 40cm com moldura em alumínio, para
banheiro</t>
  </si>
  <si>
    <t xml:space="preserve">Elo7.com</t>
  </si>
  <si>
    <t xml:space="preserve">Casa Mimosa</t>
  </si>
  <si>
    <t xml:space="preserve">Shop Fácil</t>
  </si>
  <si>
    <t xml:space="preserve">ITEM 38</t>
  </si>
  <si>
    <t xml:space="preserve">Fechadura livre ocupado para porta de sanitário</t>
  </si>
  <si>
    <t xml:space="preserve">Mark Ferragens</t>
  </si>
  <si>
    <t xml:space="preserve">Drive Store</t>
  </si>
  <si>
    <t xml:space="preserve">Hunion</t>
  </si>
  <si>
    <t xml:space="preserve">Guimepa</t>
  </si>
  <si>
    <t xml:space="preserve">A meca loja</t>
  </si>
  <si>
    <t xml:space="preserve">ITEM 39</t>
  </si>
  <si>
    <t xml:space="preserve">Fechadura tipo fenda lingueta reta 35 mm, acabamento preto</t>
  </si>
  <si>
    <t xml:space="preserve">CNPJ 22.818.385/0001-31(PE n. 44/2017)</t>
  </si>
  <si>
    <t xml:space="preserve">CNPJ 20.007.422/0001-04(PE n. 44/2017)</t>
  </si>
  <si>
    <t xml:space="preserve">CNPJ 12.981.327/0001-70(PE n. 44/2017)</t>
  </si>
  <si>
    <t xml:space="preserve">ITEM 40</t>
  </si>
  <si>
    <t xml:space="preserve">Fechamento de ondas de telha com 1 metro (m), em polietileno
expandido, adesivado na base, para telha ondulada em alumínio liso.
altura da telha = 17,00mm, raio da ondulação = 20,00mm,
comprimento da telha = 1345mm (comprimento útil da telha =
1216mm – recobrimento duplo). peça com 1216mm.</t>
  </si>
  <si>
    <t xml:space="preserve">CONSTRUFERREIRA</t>
  </si>
  <si>
    <t xml:space="preserve">UNESPUMA</t>
  </si>
  <si>
    <t xml:space="preserve">PROESPUMA</t>
  </si>
  <si>
    <t xml:space="preserve">ITEM 41</t>
  </si>
  <si>
    <t xml:space="preserve">Fita sinalização, material plástico, comprimento 200m, largura 7,
cor preta e amarela, aplicação demarcação e isolamento</t>
  </si>
  <si>
    <t xml:space="preserve">Prot Cap</t>
  </si>
  <si>
    <t xml:space="preserve">Big Toos Equipamentos</t>
  </si>
  <si>
    <t xml:space="preserve">Atacadista Online</t>
  </si>
  <si>
    <t xml:space="preserve">BHEPI.com</t>
  </si>
  <si>
    <t xml:space="preserve">CNPJ 26.469.541/0001-57(PE n. 44/2017)</t>
  </si>
  <si>
    <t xml:space="preserve">CNPJ 18.641.075/0001-17(PE n. 44/2017)</t>
  </si>
  <si>
    <t xml:space="preserve">CNPJ 24.935.938/0001-61(PE n. 44/2017)</t>
  </si>
  <si>
    <t xml:space="preserve">CNPJ 15.139.086/0001-05(PE n. 44/2017)</t>
  </si>
  <si>
    <t xml:space="preserve">ITEM 42</t>
  </si>
  <si>
    <t xml:space="preserve">Gesso acartonado – placa de 120 cm x 180 cm – espessura de
12,5mm</t>
  </si>
  <si>
    <t xml:space="preserve">Arte Sana</t>
  </si>
  <si>
    <t xml:space="preserve">Inovalar</t>
  </si>
  <si>
    <t xml:space="preserve">ITEM 43</t>
  </si>
  <si>
    <t xml:space="preserve">Gesso em pó em embalagem de 1Kg.Obs.: É obrigação da
Contratada, entregar materiais com intervalo de tempo decorrido
entre a data de entrega e a data final de validade, equivalente a no
mínimo 75% do total do prazo de validade</t>
  </si>
  <si>
    <t xml:space="preserve">Kg</t>
  </si>
  <si>
    <t xml:space="preserve">Debaita</t>
  </si>
  <si>
    <t xml:space="preserve">Shoptime</t>
  </si>
  <si>
    <t xml:space="preserve">AS Tintas</t>
  </si>
  <si>
    <t xml:space="preserve">Breithaupt.com</t>
  </si>
  <si>
    <t xml:space="preserve">ITEM 44</t>
  </si>
  <si>
    <t xml:space="preserve">Gonzo em aço carbono polido 5/8”</t>
  </si>
  <si>
    <t xml:space="preserve">Cofermeta</t>
  </si>
  <si>
    <t xml:space="preserve">CNPJ 22.818.385/0001-31 (PE n.44/2017)</t>
  </si>
  <si>
    <t xml:space="preserve">ITEM 45</t>
  </si>
  <si>
    <t xml:space="preserve">Grampo tipo C sargento, nº 4</t>
  </si>
  <si>
    <t xml:space="preserve">Ferramentas Gerais</t>
  </si>
  <si>
    <t xml:space="preserve">Loja do Mecânico</t>
  </si>
  <si>
    <t xml:space="preserve">De Meo</t>
  </si>
  <si>
    <t xml:space="preserve">Grupo Oplin</t>
  </si>
  <si>
    <t xml:space="preserve">ITEM 46</t>
  </si>
  <si>
    <t xml:space="preserve">Kit de reparo para válvula de descarga acoplada com acionamento
lateral. referência do caixa de descarga acoplada existente: marca
celite, modelo 299050498 (a peça deverá ser totalmente compatível
com o equipamento de referência)</t>
  </si>
  <si>
    <t xml:space="preserve">CNPJ 22.065.938/0001-22(PE n. 44/2017)</t>
  </si>
  <si>
    <t xml:space="preserve">ITEM 47</t>
  </si>
  <si>
    <t xml:space="preserve">Kit universal para caixa acoplada com acionamento superior</t>
  </si>
  <si>
    <t xml:space="preserve">Padovani.com</t>
  </si>
  <si>
    <t xml:space="preserve">Casa das Torneiras</t>
  </si>
  <si>
    <t xml:space="preserve">Copafer</t>
  </si>
  <si>
    <t xml:space="preserve">CNPJ 20.784.313/0001-95(PE n. 44/2017)</t>
  </si>
  <si>
    <t xml:space="preserve">CNPJ 09.071.136/0001-67(PE n. 44/2017)</t>
  </si>
  <si>
    <t xml:space="preserve">ITEM 48</t>
  </si>
  <si>
    <t xml:space="preserve"> Pino em aço carbono, ¾”, para dobradiça tipo gonzo</t>
  </si>
  <si>
    <t xml:space="preserve">Pires Martins, com</t>
  </si>
  <si>
    <t xml:space="preserve">AmegaLoja.com</t>
  </si>
  <si>
    <t xml:space="preserve">Lizot Ferragens ( Americanas.com)</t>
  </si>
  <si>
    <t xml:space="preserve">ITEM 49</t>
  </si>
  <si>
    <t xml:space="preserve">Refil (elemento filtrante) para filtro 3m aqualar ap200, de torneira</t>
  </si>
  <si>
    <t xml:space="preserve">CNPJ 05.255.236/0001-92(PE n. 44/2017)</t>
  </si>
  <si>
    <t xml:space="preserve">CNPJ 07.545.560/0001-70(PE n. 44/2017)</t>
  </si>
  <si>
    <t xml:space="preserve">CNPJ 25.008.579/0001-60(PE n. 44/2017)</t>
  </si>
  <si>
    <t xml:space="preserve">CNPJ 03.217.016/0001-49(PE n. 44/2017)</t>
  </si>
  <si>
    <t xml:space="preserve">ITEM 50</t>
  </si>
  <si>
    <t xml:space="preserve">Resina de laminação para fibra de vidro em poliéster com
respectivo catalizador Obs.: É obrigação da Contratada, entregar
materiais com intervalo de tempo decorrido entre a data de entrega e
a data final de validade, equivalente a no mínimo 75% do total do
prazo de validade</t>
  </si>
  <si>
    <t xml:space="preserve">Advanced Vacumm</t>
  </si>
  <si>
    <t xml:space="preserve">ITEM 51</t>
  </si>
  <si>
    <t xml:space="preserve"> Sifão rígido com copo para lavatório, em metal cromado e saída 40”</t>
  </si>
  <si>
    <t xml:space="preserve">ITEM 52</t>
  </si>
  <si>
    <t xml:space="preserve">Torneira de mesa para lavatório com fechamento automático linha
Decamatic da Deca ref. 1173.C ou equivalente técnico</t>
  </si>
  <si>
    <t xml:space="preserve">Lojas Guapore</t>
  </si>
  <si>
    <t xml:space="preserve">Walmart</t>
  </si>
  <si>
    <t xml:space="preserve">Lojaobrafacil.com</t>
  </si>
  <si>
    <t xml:space="preserve">ITEM 53</t>
  </si>
  <si>
    <t xml:space="preserve">Torneira de mesa para lavatório com fechamento automático linha
Decamatic da Deca ref. 1172.C.LNK ou equivalente técnico</t>
  </si>
  <si>
    <t xml:space="preserve">Bhanshop</t>
  </si>
  <si>
    <t xml:space="preserve">Loja Brafacil</t>
  </si>
  <si>
    <t xml:space="preserve">Padovani</t>
  </si>
  <si>
    <t xml:space="preserve">ITEM 54</t>
  </si>
  <si>
    <t xml:space="preserve"> Bacia para caixa acoplada, acionamento Duo, linha Vogue Plus da
Deca ref.P.505.17 + CD 01F.17 ou equivalente técnico</t>
  </si>
  <si>
    <t xml:space="preserve">Lojas Guaporé</t>
  </si>
  <si>
    <t xml:space="preserve">Casa e Construção</t>
  </si>
  <si>
    <t xml:space="preserve">Lojão Brafacil</t>
  </si>
  <si>
    <t xml:space="preserve">ITEM 55</t>
  </si>
  <si>
    <t xml:space="preserve"> Bacia para caixa acoplada com saída horizontal, com acionamento
Duo, linha Nuova da Deca ref.P.130.17 + CD 11F.17 ou equivalente
técnico</t>
  </si>
  <si>
    <t xml:space="preserve">ITEM 56</t>
  </si>
  <si>
    <t xml:space="preserve">Bacia para caixa acoplada, acionamento Duo, linha Izy da Deca ref.
P.111.17 + CD 00F.17 ou equivalente técnico</t>
  </si>
  <si>
    <t xml:space="preserve">Extra</t>
  </si>
  <si>
    <t xml:space="preserve">Plastolândia</t>
  </si>
  <si>
    <t xml:space="preserve">ITEM 57</t>
  </si>
  <si>
    <t xml:space="preserve">Válvula de escoamento universal para lavatório (cuba), em aço
inox, 7/8”, sem ladrão</t>
  </si>
  <si>
    <t xml:space="preserve">C&amp;C</t>
  </si>
  <si>
    <t xml:space="preserve">Loja Obra Fácil</t>
  </si>
  <si>
    <t xml:space="preserve">ITEM 58</t>
  </si>
  <si>
    <t xml:space="preserve">Arruela de pressão, em aço inox, diâmetro nominal de ½”</t>
  </si>
  <si>
    <t xml:space="preserve">LUCTEC</t>
  </si>
  <si>
    <t xml:space="preserve">A MEGALOJA</t>
  </si>
  <si>
    <t xml:space="preserve">ROYAL MÁQUINAS</t>
  </si>
  <si>
    <t xml:space="preserve">ITEM 59</t>
  </si>
  <si>
    <t xml:space="preserve">Base de fixação do motor da torre de resfriamento do sistema
central de ar condicionado. Modelo de referência da torre 40/3 –
SGC. Ordem de Fabricação E/30.276; Vazão: 59,0 M³/h; Pressão:
4,0 Mca.
Fabricante: Alpina</t>
  </si>
  <si>
    <t xml:space="preserve">Alpina Equipamentos</t>
  </si>
  <si>
    <t xml:space="preserve">ITEM 60</t>
  </si>
  <si>
    <t xml:space="preserve"> Calha de poliestireno expandido bipartida diâmetro de 5”, espessura
de 2½”</t>
  </si>
  <si>
    <t xml:space="preserve">m</t>
  </si>
  <si>
    <t xml:space="preserve">POLY CALHA</t>
  </si>
  <si>
    <t xml:space="preserve">ITEM 61</t>
  </si>
  <si>
    <t xml:space="preserve">Chapa de alumínio corrugado, espessura de 0,15mm, corrugação
4,8mm</t>
  </si>
  <si>
    <t xml:space="preserve">m2</t>
  </si>
  <si>
    <t xml:space="preserve">TERRAC FORROS </t>
  </si>
  <si>
    <t xml:space="preserve">ITEM 62</t>
  </si>
  <si>
    <t xml:space="preserve">Chave de fluxo para tubulação de água fria - modelo: AT 2011 –
marca ITALIAR ou similar</t>
  </si>
  <si>
    <t xml:space="preserve">WERME</t>
  </si>
  <si>
    <t xml:space="preserve">COMPRA COMPRAS</t>
  </si>
  <si>
    <t xml:space="preserve">FRIO SHOPING</t>
  </si>
  <si>
    <t xml:space="preserve">ITEM 63</t>
  </si>
  <si>
    <t xml:space="preserve">Chave de fluxo para tubulação de água fria (Ø8’), tipo Palheta, 1”</t>
  </si>
  <si>
    <t xml:space="preserve">ITEM 64</t>
  </si>
  <si>
    <t xml:space="preserve">Cilindros de gás Freon R-134 A com 13,62 Kg</t>
  </si>
  <si>
    <t xml:space="preserve">ELETROFRIGOR </t>
  </si>
  <si>
    <t xml:space="preserve">SGA REFRIGERAÇÃO</t>
  </si>
  <si>
    <t xml:space="preserve">TEC PLACE</t>
  </si>
  <si>
    <t xml:space="preserve">ITEM 65</t>
  </si>
  <si>
    <t xml:space="preserve">Cilindros de gás Freon R-22 com 13,62 Kg</t>
  </si>
  <si>
    <t xml:space="preserve">ELETROFRIGOR</t>
  </si>
  <si>
    <t xml:space="preserve">CIBREL AR CONDICIONADO </t>
  </si>
  <si>
    <t xml:space="preserve">REFRIGERAÇÃO CATA VENTO</t>
  </si>
  <si>
    <t xml:space="preserve">EMBRAR</t>
  </si>
  <si>
    <t xml:space="preserve">ITEM 66</t>
  </si>
  <si>
    <t xml:space="preserve">Fita de aço inox de ½”x 0,5mm</t>
  </si>
  <si>
    <t xml:space="preserve">Piertelecom</t>
  </si>
  <si>
    <t xml:space="preserve">Ocean Mix</t>
  </si>
  <si>
    <t xml:space="preserve">Rei da Rede</t>
  </si>
  <si>
    <t xml:space="preserve">ITEM 67</t>
  </si>
  <si>
    <t xml:space="preserve">Fita adesiva aluminizada para isolamento térmico, rolo 50mm x
10m</t>
  </si>
  <si>
    <t xml:space="preserve">Loja do mecânico </t>
  </si>
  <si>
    <t xml:space="preserve">Valmaster Casa e Repoaro</t>
  </si>
  <si>
    <t xml:space="preserve">Dutra Máquinas</t>
  </si>
  <si>
    <t xml:space="preserve">ITEM 68</t>
  </si>
  <si>
    <t xml:space="preserve">Fita adesiva Silver Tape (preta) 48mm x 50m</t>
  </si>
  <si>
    <t xml:space="preserve">RS som e luz.com </t>
  </si>
  <si>
    <t xml:space="preserve">Telha Norte </t>
  </si>
  <si>
    <t xml:space="preserve">Elastobor </t>
  </si>
  <si>
    <t xml:space="preserve">ITEM 69</t>
  </si>
  <si>
    <t xml:space="preserve">Fita adesiva tipo “silver tape”, Cinza, rolo no mínimo com
45mmX50m, marca 3M ou similar técnico. Obs: para ser usada em
áreas externas</t>
  </si>
  <si>
    <t xml:space="preserve">Ultra Máquinas</t>
  </si>
  <si>
    <t xml:space="preserve">ITEM 70</t>
  </si>
  <si>
    <t xml:space="preserve"> Gás refrigerante R410 A, garrafa com 11,350 kg</t>
  </si>
  <si>
    <t xml:space="preserve">ARTECH CLIMATIZAÇÃO </t>
  </si>
  <si>
    <t xml:space="preserve">MULTIPLA TÉCNICA</t>
  </si>
  <si>
    <t xml:space="preserve">GRUPO RODRIGUEZ</t>
  </si>
  <si>
    <t xml:space="preserve">ITEM 71</t>
  </si>
  <si>
    <t xml:space="preserve">Porca, em aço inox, diâmetro de ½”, para parafuso sextavado acima</t>
  </si>
  <si>
    <t xml:space="preserve">Wurth.com</t>
  </si>
  <si>
    <t xml:space="preserve">Tamoyo</t>
  </si>
  <si>
    <t xml:space="preserve">Lutec</t>
  </si>
  <si>
    <t xml:space="preserve">ITEM 72</t>
  </si>
  <si>
    <t xml:space="preserve">Cabo de rede UTP - Categoria 5e
Especificações técnicas:
• Cabo de 4 pares trançados compostos por condutores sólidos de cobre, 24AWG, isolados em polietileno de alta densidade;
• Capa externa em PVC não propagante a chama;
• Marcação sequencial métrica decrescente;
• O cabo deve ser fabricado com material LSZH (Low Smoke, Zero Halogen);
• Acondicionado em caixa de papelão tipo fastbox (305 metros), com nome do fabricante e sistema de rastreabilidade que permita identificar a data de fabricação dos cabos;
• Cor azul;
Normas:
• ANSI/TIA/EIA - 568;
• ISO/IEC  11801
•  UL 444;
•  NBR 14703 e 14705
Garantia do Fabricante:
• 12 meses.
Modelo de referência para cotação:
• Furukawa Cabo Eletrônico Multilan CAT 5e;
</t>
  </si>
  <si>
    <t xml:space="preserve">cx</t>
  </si>
  <si>
    <t xml:space="preserve">CFTV Clube</t>
  </si>
  <si>
    <t xml:space="preserve">Byte</t>
  </si>
  <si>
    <t xml:space="preserve">ITEM 73</t>
  </si>
  <si>
    <t xml:space="preserve">Conector Fêmea RJ-45 CAT 5e
Especificações técnicas:
• Conector fêmea Categoria 5e para cabo UTP sólido ou flexível;
• Tipo de conector RJ-45;
• Fabricado em termoplástico não propagante a chama UL 94V-0;
• Diâmetro do Condutor: 26 a 22 AWG;
• Cor: transparente;
Normas:
• EIA/TIA-568;
• ISO/IEC DIS 11801;
• NBR 14565;
Garantia do Fabricante:
• 12 meses.
Modelo de referência para cotação:
• Furukawa plug RJ-45 GigaLan CAT5e;
   Panduit plug RJ-45 CAT 5e
</t>
  </si>
  <si>
    <t xml:space="preserve">Dimensional</t>
  </si>
  <si>
    <t xml:space="preserve">Ofinica dos Bits</t>
  </si>
  <si>
    <t xml:space="preserve">Recabos</t>
  </si>
  <si>
    <t xml:space="preserve">ITEM 74</t>
  </si>
  <si>
    <t xml:space="preserve">Conector Macho RJ-45 CAT 5e
Especificações técnicas:
• Conector macho Categoria 5e para cabo UTP sólido ou flexível;
• Tipo de conector RJ-45;
• Fabricado em termoplástico não propagante a chama UL 94V-0;
• Diâmetro do Condutor: 26 a 22 AWG;
• Cor: transparente;
Normas:
• EIA/TIA-568;
• ISO/IEC DIS 11801;
• NBR 14565;
Garantia do Fabricante:
• 12 meses.
Modelo de referência 
• Furukawa plug RJ-45 GigaLan CAT5e;
Panduit plug RJ-45 CAT 5e;
</t>
  </si>
  <si>
    <t xml:space="preserve">Central Cabos</t>
  </si>
  <si>
    <t xml:space="preserve">Dreamshop</t>
  </si>
  <si>
    <t xml:space="preserve">Unicaserv</t>
  </si>
  <si>
    <t xml:space="preserve">ITEM 75</t>
  </si>
  <si>
    <t xml:space="preserve">Patch Panel Categoria 5e
Especificações técnicas:
• O produto deve atender os requisitos estabelecidos nas normas para Categoria 5e/ Classe D;
• 24 posições RJ-45;
• Corpo fabricado em termoplástico de alto impacto não propagante a chama (UL 94 V-0);
• Painel frontal em plástico com porta etiquetas para identificação;
• Possibilidade de crimpagem T568A ou T568B;
• Deve possuir uma guia traseira feita em termoplástico para organizar os cabos;
• Instalação em rack 19";
Normas:
• ANSI/TIA-568-C
• ISO/IEC DIS 11801;
• NBR 14565;
• ANSI/TIA-606.
Garantia do Fabricante:
• 12 meses.
Modelo de referência:
• Furukawa Patch Panel MultiLan CAT5E 24P;
</t>
  </si>
  <si>
    <t xml:space="preserve">Solução Cabps</t>
  </si>
  <si>
    <t xml:space="preserve">ITEM 76</t>
  </si>
  <si>
    <t xml:space="preserve">Dispensador para Sabão Líquido DECA DECAMATIC 2015. C,
acabamento cromado ou equivalente técnico</t>
  </si>
  <si>
    <t xml:space="preserve">COPAFER</t>
  </si>
  <si>
    <t xml:space="preserve">ABC DA CONSTRUÇÃO</t>
  </si>
  <si>
    <t xml:space="preserve">LOJAS GUAPORÉ</t>
  </si>
  <si>
    <t xml:space="preserve">ITEM 77</t>
  </si>
  <si>
    <t xml:space="preserve">Cabide acabamento TARGA 2060.C40.CR Deca ou equivalente
Técnico</t>
  </si>
  <si>
    <t xml:space="preserve">SARTORI MATERIAIS</t>
  </si>
  <si>
    <t xml:space="preserve">PONTO DO ENCANADOR</t>
  </si>
  <si>
    <t xml:space="preserve">GURU DA CASA</t>
  </si>
  <si>
    <t xml:space="preserve">ITEM 78</t>
  </si>
  <si>
    <t xml:space="preserve">Dispenser para papel higiênico interfolhado do tipo Cai-Cai em
plástico ABS na cor Branca Ref NOBRE CITY 32776 ou
equivalente Técnico</t>
  </si>
  <si>
    <t xml:space="preserve">SUPRIFLEX</t>
  </si>
  <si>
    <t xml:space="preserve">CIRÚRGICA ESTILO</t>
  </si>
  <si>
    <t xml:space="preserve">PAPE LEX</t>
  </si>
  <si>
    <t xml:space="preserve">ITEM 79</t>
  </si>
  <si>
    <t xml:space="preserve">Ducha Higiênica com registro e derivação técnica DECA linha
TARGA 1984.40.ACT.AR acabamento cromado ou equivalente
técnico</t>
  </si>
  <si>
    <t xml:space="preserve">CEC</t>
  </si>
  <si>
    <t xml:space="preserve">COMERCIAL ANZAI</t>
  </si>
  <si>
    <t xml:space="preserve">ITEM 80</t>
  </si>
  <si>
    <t xml:space="preserve"> Dispenser para sabonete líquido sistema spray com refil em plástico
ABS cor Branca Ref: NOBRE CITY 32319 ou equivalente técnico</t>
  </si>
  <si>
    <t xml:space="preserve">PAPELEX</t>
  </si>
  <si>
    <t xml:space="preserve">LOJAS VETTORE</t>
  </si>
  <si>
    <t xml:space="preserve">ONIXLIMP</t>
  </si>
  <si>
    <t xml:space="preserve">ITEM 81</t>
  </si>
  <si>
    <t xml:space="preserve">Dobradiça Extraforte 80 com anéis – 4 x 3 - Latão</t>
  </si>
  <si>
    <t xml:space="preserve">MADEIRA MADEIRA</t>
  </si>
  <si>
    <t xml:space="preserve">GS NOVA</t>
  </si>
  <si>
    <t xml:space="preserve">MAX FERRAMENTAS</t>
  </si>
  <si>
    <t xml:space="preserve">FERRAGENS FLORESTA</t>
  </si>
  <si>
    <t xml:space="preserve">IP FERRAGENS</t>
  </si>
  <si>
    <t xml:space="preserve">ITEM 82</t>
  </si>
  <si>
    <t xml:space="preserve">Torneira Bebedouro de Garrafão, corpo em PVC, diâmetro 1,2 pol</t>
  </si>
  <si>
    <t xml:space="preserve">AR BRASIL</t>
  </si>
  <si>
    <t xml:space="preserve">OLIST</t>
  </si>
  <si>
    <t xml:space="preserve">RESULTADO DA ESTIMATIVA</t>
  </si>
  <si>
    <t xml:space="preserve">Item</t>
  </si>
  <si>
    <t xml:space="preserve">Descrição</t>
  </si>
  <si>
    <t xml:space="preserve">Unidade de Fornecimento</t>
  </si>
  <si>
    <t xml:space="preserve">Quantidade</t>
  </si>
  <si>
    <t xml:space="preserve">Valor Unitário</t>
  </si>
  <si>
    <t xml:space="preserve">Valor Total</t>
  </si>
  <si>
    <t xml:space="preserve">VALOR TOTAL ESTIMADO</t>
  </si>
  <si>
    <t xml:space="preserve">MENORES PREÇOS OFERTADOS</t>
  </si>
  <si>
    <t xml:space="preserve">Fornec.</t>
  </si>
  <si>
    <t xml:space="preserve">VALOR TOTAL - MENORES PREÇOS OFERTADOS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</si>
</sst>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[$R$-416]\ #,##0.00;[RED]\-[$R$-416]\ #,##0.00"/>
    <numFmt numFmtId="166" formatCode="General"/>
    <numFmt numFmtId="167" formatCode="0.00%"/>
    <numFmt numFmtId="168" formatCode="0.00"/>
    <numFmt numFmtId="169" formatCode="_-* #,##0.00_-;\-* #,##0.00_-;_-* \-??_-;_-@_-"/>
    <numFmt numFmtId="170" formatCode="_-&quot;R$ &quot;* #,##0.00_-;&quot;-R$ &quot;* #,##0.00_-;_-&quot;R$ &quot;* \-??_-;_-@_-"/>
  </numFmts>
  <fonts count="22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 val="single"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 val="true"/>
      <sz val="12"/>
      <name val="Calibri"/>
      <family val="2"/>
      <charset val="1"/>
    </font>
    <font>
      <b val="tru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b val="true"/>
      <sz val="9"/>
      <name val="Calibri"/>
      <family val="2"/>
      <charset val="1"/>
    </font>
    <font>
      <sz val="9"/>
      <name val="Calibri"/>
      <family val="2"/>
      <charset val="1"/>
    </font>
    <font>
      <sz val="10"/>
      <name val="Arial"/>
      <family val="0"/>
      <charset val="1"/>
    </font>
    <font>
      <b val="true"/>
      <sz val="13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 style="hair"/>
      <bottom style="hair"/>
      <diagonal/>
    </border>
    <border diagonalUp="false" diagonalDown="false">
      <left style="hair"/>
      <right style="hair"/>
      <top style="hair"/>
      <bottom/>
      <diagonal/>
    </border>
  </borders>
  <cellStyleXfs count="39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70" fontId="2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7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8" borderId="0" applyFont="true" applyBorder="false" applyAlignment="true" applyProtection="false">
      <alignment horizontal="general" vertical="bottom" textRotation="0" wrapText="false" indent="0" shrinkToFit="false"/>
    </xf>
    <xf numFmtId="164" fontId="10" fillId="8" borderId="1" applyFont="true" applyBorder="tru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5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center" vertical="bottom" textRotation="9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6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4" fillId="9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5" fillId="1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1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1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16" fillId="0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6" fillId="0" borderId="2" xfId="0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5" fontId="17" fillId="10" borderId="2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18" fillId="0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17" fillId="0" borderId="2" xfId="0" applyFont="true" applyBorder="true" applyAlignment="true" applyProtection="true">
      <alignment horizontal="center" vertical="bottom" textRotation="0" wrapText="false" indent="0" shrinkToFit="true"/>
      <protection locked="false" hidden="false"/>
    </xf>
    <xf numFmtId="165" fontId="17" fillId="10" borderId="2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4" fontId="15" fillId="0" borderId="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6" fillId="0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6" fillId="0" borderId="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6" fillId="0" borderId="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6" fillId="0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8" fillId="0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17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7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1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6" fontId="13" fillId="1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3" fillId="1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6" fillId="10" borderId="4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5" fontId="16" fillId="10" borderId="2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5" fontId="15" fillId="1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3" fillId="10" borderId="2" xfId="0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4" fontId="15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5" fontId="13" fillId="0" borderId="4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5" fontId="13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13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5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16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5" fontId="17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6" fillId="10" borderId="2" xfId="0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5" fontId="17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3" fillId="10" borderId="6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1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9" fillId="0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8" fontId="15" fillId="0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5" fillId="0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9" fontId="13" fillId="0" borderId="0" xfId="1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4" fillId="9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5" fillId="10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1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13" fillId="10" borderId="2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13" fillId="10" borderId="2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3" fillId="1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4" fillId="9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5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9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3" fillId="10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4" fillId="9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25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1" xfId="20"/>
    <cellStyle name="Accent 2 1" xfId="21"/>
    <cellStyle name="Accent 3 1" xfId="22"/>
    <cellStyle name="Accent 4" xfId="23"/>
    <cellStyle name="Bad 1" xfId="24"/>
    <cellStyle name="Error 1" xfId="25"/>
    <cellStyle name="Footnote 1" xfId="26"/>
    <cellStyle name="Good 1" xfId="27"/>
    <cellStyle name="Heading 1 1" xfId="28"/>
    <cellStyle name="Heading 2 1" xfId="29"/>
    <cellStyle name="Heading 3" xfId="30"/>
    <cellStyle name="Neutral 1" xfId="31"/>
    <cellStyle name="Note 1" xfId="32"/>
    <cellStyle name="Resultado" xfId="33"/>
    <cellStyle name="Resultado2" xfId="34"/>
    <cellStyle name="Status 1" xfId="35"/>
    <cellStyle name="Text 1" xfId="36"/>
    <cellStyle name="Título1" xfId="37"/>
    <cellStyle name="Warning 1" xfId="38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worksheet" Target="worksheets/sheet22.xml"/><Relationship Id="rId24" Type="http://schemas.openxmlformats.org/officeDocument/2006/relationships/worksheet" Target="worksheets/sheet23.xml"/><Relationship Id="rId25" Type="http://schemas.openxmlformats.org/officeDocument/2006/relationships/worksheet" Target="worksheets/sheet24.xml"/><Relationship Id="rId26" Type="http://schemas.openxmlformats.org/officeDocument/2006/relationships/worksheet" Target="worksheets/sheet25.xml"/><Relationship Id="rId27" Type="http://schemas.openxmlformats.org/officeDocument/2006/relationships/worksheet" Target="worksheets/sheet26.xml"/><Relationship Id="rId28" Type="http://schemas.openxmlformats.org/officeDocument/2006/relationships/worksheet" Target="worksheets/sheet27.xml"/><Relationship Id="rId29" Type="http://schemas.openxmlformats.org/officeDocument/2006/relationships/worksheet" Target="worksheets/sheet28.xml"/><Relationship Id="rId30" Type="http://schemas.openxmlformats.org/officeDocument/2006/relationships/worksheet" Target="worksheets/sheet29.xml"/><Relationship Id="rId31" Type="http://schemas.openxmlformats.org/officeDocument/2006/relationships/worksheet" Target="worksheets/sheet30.xml"/><Relationship Id="rId32" Type="http://schemas.openxmlformats.org/officeDocument/2006/relationships/worksheet" Target="worksheets/sheet31.xml"/><Relationship Id="rId33" Type="http://schemas.openxmlformats.org/officeDocument/2006/relationships/worksheet" Target="worksheets/sheet32.xml"/><Relationship Id="rId34" Type="http://schemas.openxmlformats.org/officeDocument/2006/relationships/worksheet" Target="worksheets/sheet33.xml"/><Relationship Id="rId35" Type="http://schemas.openxmlformats.org/officeDocument/2006/relationships/worksheet" Target="worksheets/sheet34.xml"/><Relationship Id="rId36" Type="http://schemas.openxmlformats.org/officeDocument/2006/relationships/worksheet" Target="worksheets/sheet35.xml"/><Relationship Id="rId37" Type="http://schemas.openxmlformats.org/officeDocument/2006/relationships/worksheet" Target="worksheets/sheet36.xml"/><Relationship Id="rId38" Type="http://schemas.openxmlformats.org/officeDocument/2006/relationships/worksheet" Target="worksheets/sheet37.xml"/><Relationship Id="rId39" Type="http://schemas.openxmlformats.org/officeDocument/2006/relationships/worksheet" Target="worksheets/sheet38.xml"/><Relationship Id="rId40" Type="http://schemas.openxmlformats.org/officeDocument/2006/relationships/worksheet" Target="worksheets/sheet39.xml"/><Relationship Id="rId41" Type="http://schemas.openxmlformats.org/officeDocument/2006/relationships/worksheet" Target="worksheets/sheet40.xml"/><Relationship Id="rId42" Type="http://schemas.openxmlformats.org/officeDocument/2006/relationships/worksheet" Target="worksheets/sheet41.xml"/><Relationship Id="rId43" Type="http://schemas.openxmlformats.org/officeDocument/2006/relationships/worksheet" Target="worksheets/sheet42.xml"/><Relationship Id="rId44" Type="http://schemas.openxmlformats.org/officeDocument/2006/relationships/worksheet" Target="worksheets/sheet43.xml"/><Relationship Id="rId45" Type="http://schemas.openxmlformats.org/officeDocument/2006/relationships/worksheet" Target="worksheets/sheet44.xml"/><Relationship Id="rId46" Type="http://schemas.openxmlformats.org/officeDocument/2006/relationships/worksheet" Target="worksheets/sheet45.xml"/><Relationship Id="rId47" Type="http://schemas.openxmlformats.org/officeDocument/2006/relationships/worksheet" Target="worksheets/sheet46.xml"/><Relationship Id="rId48" Type="http://schemas.openxmlformats.org/officeDocument/2006/relationships/worksheet" Target="worksheets/sheet47.xml"/><Relationship Id="rId49" Type="http://schemas.openxmlformats.org/officeDocument/2006/relationships/worksheet" Target="worksheets/sheet48.xml"/><Relationship Id="rId50" Type="http://schemas.openxmlformats.org/officeDocument/2006/relationships/worksheet" Target="worksheets/sheet49.xml"/><Relationship Id="rId51" Type="http://schemas.openxmlformats.org/officeDocument/2006/relationships/worksheet" Target="worksheets/sheet50.xml"/><Relationship Id="rId52" Type="http://schemas.openxmlformats.org/officeDocument/2006/relationships/worksheet" Target="worksheets/sheet51.xml"/><Relationship Id="rId53" Type="http://schemas.openxmlformats.org/officeDocument/2006/relationships/worksheet" Target="worksheets/sheet52.xml"/><Relationship Id="rId54" Type="http://schemas.openxmlformats.org/officeDocument/2006/relationships/worksheet" Target="worksheets/sheet53.xml"/><Relationship Id="rId55" Type="http://schemas.openxmlformats.org/officeDocument/2006/relationships/worksheet" Target="worksheets/sheet54.xml"/><Relationship Id="rId56" Type="http://schemas.openxmlformats.org/officeDocument/2006/relationships/worksheet" Target="worksheets/sheet55.xml"/><Relationship Id="rId57" Type="http://schemas.openxmlformats.org/officeDocument/2006/relationships/worksheet" Target="worksheets/sheet56.xml"/><Relationship Id="rId58" Type="http://schemas.openxmlformats.org/officeDocument/2006/relationships/worksheet" Target="worksheets/sheet57.xml"/><Relationship Id="rId59" Type="http://schemas.openxmlformats.org/officeDocument/2006/relationships/worksheet" Target="worksheets/sheet58.xml"/><Relationship Id="rId60" Type="http://schemas.openxmlformats.org/officeDocument/2006/relationships/worksheet" Target="worksheets/sheet59.xml"/><Relationship Id="rId61" Type="http://schemas.openxmlformats.org/officeDocument/2006/relationships/worksheet" Target="worksheets/sheet60.xml"/><Relationship Id="rId62" Type="http://schemas.openxmlformats.org/officeDocument/2006/relationships/worksheet" Target="worksheets/sheet61.xml"/><Relationship Id="rId63" Type="http://schemas.openxmlformats.org/officeDocument/2006/relationships/worksheet" Target="worksheets/sheet62.xml"/><Relationship Id="rId64" Type="http://schemas.openxmlformats.org/officeDocument/2006/relationships/worksheet" Target="worksheets/sheet63.xml"/><Relationship Id="rId65" Type="http://schemas.openxmlformats.org/officeDocument/2006/relationships/worksheet" Target="worksheets/sheet64.xml"/><Relationship Id="rId66" Type="http://schemas.openxmlformats.org/officeDocument/2006/relationships/worksheet" Target="worksheets/sheet65.xml"/><Relationship Id="rId67" Type="http://schemas.openxmlformats.org/officeDocument/2006/relationships/worksheet" Target="worksheets/sheet66.xml"/><Relationship Id="rId68" Type="http://schemas.openxmlformats.org/officeDocument/2006/relationships/worksheet" Target="worksheets/sheet67.xml"/><Relationship Id="rId69" Type="http://schemas.openxmlformats.org/officeDocument/2006/relationships/worksheet" Target="worksheets/sheet68.xml"/><Relationship Id="rId70" Type="http://schemas.openxmlformats.org/officeDocument/2006/relationships/worksheet" Target="worksheets/sheet69.xml"/><Relationship Id="rId71" Type="http://schemas.openxmlformats.org/officeDocument/2006/relationships/worksheet" Target="worksheets/sheet70.xml"/><Relationship Id="rId72" Type="http://schemas.openxmlformats.org/officeDocument/2006/relationships/worksheet" Target="worksheets/sheet71.xml"/><Relationship Id="rId73" Type="http://schemas.openxmlformats.org/officeDocument/2006/relationships/worksheet" Target="worksheets/sheet72.xml"/><Relationship Id="rId74" Type="http://schemas.openxmlformats.org/officeDocument/2006/relationships/worksheet" Target="worksheets/sheet73.xml"/><Relationship Id="rId75" Type="http://schemas.openxmlformats.org/officeDocument/2006/relationships/worksheet" Target="worksheets/sheet74.xml"/><Relationship Id="rId76" Type="http://schemas.openxmlformats.org/officeDocument/2006/relationships/worksheet" Target="worksheets/sheet75.xml"/><Relationship Id="rId77" Type="http://schemas.openxmlformats.org/officeDocument/2006/relationships/worksheet" Target="worksheets/sheet76.xml"/><Relationship Id="rId78" Type="http://schemas.openxmlformats.org/officeDocument/2006/relationships/worksheet" Target="worksheets/sheet77.xml"/><Relationship Id="rId79" Type="http://schemas.openxmlformats.org/officeDocument/2006/relationships/worksheet" Target="worksheets/sheet78.xml"/><Relationship Id="rId80" Type="http://schemas.openxmlformats.org/officeDocument/2006/relationships/worksheet" Target="worksheets/sheet79.xml"/><Relationship Id="rId81" Type="http://schemas.openxmlformats.org/officeDocument/2006/relationships/worksheet" Target="worksheets/sheet80.xml"/><Relationship Id="rId82" Type="http://schemas.openxmlformats.org/officeDocument/2006/relationships/worksheet" Target="worksheets/sheet81.xml"/><Relationship Id="rId83" Type="http://schemas.openxmlformats.org/officeDocument/2006/relationships/worksheet" Target="worksheets/sheet82.xml"/><Relationship Id="rId84" Type="http://schemas.openxmlformats.org/officeDocument/2006/relationships/worksheet" Target="worksheets/sheet83.xml"/><Relationship Id="rId85" Type="http://schemas.openxmlformats.org/officeDocument/2006/relationships/worksheet" Target="worksheets/sheet84.xml"/><Relationship Id="rId8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3" activeCellId="0" sqref="H3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10</v>
      </c>
      <c r="C3" s="9" t="s">
        <v>11</v>
      </c>
      <c r="D3" s="10" t="n">
        <v>50</v>
      </c>
      <c r="E3" s="11" t="n">
        <f aca="false">IF(C20&lt;=25%,D20,MIN(E20:F20))</f>
        <v>3.81</v>
      </c>
      <c r="F3" s="11" t="n">
        <f aca="false">MIN(H3:H17)</f>
        <v>2.7709559</v>
      </c>
      <c r="G3" s="12" t="s">
        <v>12</v>
      </c>
      <c r="H3" s="13" t="n">
        <f aca="false">4.551*1.0259</f>
        <v>4.6688709</v>
      </c>
      <c r="I3" s="14" t="n">
        <f aca="false">IF(H3="","",(IF($C$20&lt;25%,"N/A",IF(H3&lt;=($D$20+$A$20),H3,"Descartado"))))</f>
        <v>4.6688709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f aca="false">6.069*1.0259</f>
        <v>6.2261871</v>
      </c>
      <c r="I4" s="14" t="str">
        <f aca="false">IF(H4="","",(IF($C$20&lt;25%,"N/A",IF(H4&lt;=($D$20+$A$20),H4,"Descartado"))))</f>
        <v>Descartado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f aca="false">3.914*1.0259</f>
        <v>4.0153726</v>
      </c>
      <c r="I5" s="14" t="n">
        <f aca="false">IF(H5="","",(IF($C$20&lt;25%,"N/A",IF(H5&lt;=($D$20+$A$20),H5,"Descartado"))))</f>
        <v>4.0153726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f aca="false">2.701*1.0259</f>
        <v>2.7709559</v>
      </c>
      <c r="I6" s="14" t="n">
        <f aca="false">IF(H6="","",(IF($C$20&lt;25%,"N/A",IF(H6&lt;=($D$20+$A$20),H6,"Descartado"))))</f>
        <v>2.7709559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f aca="false">3.7*1.0259</f>
        <v>3.79583</v>
      </c>
      <c r="I7" s="14" t="n">
        <f aca="false">IF(H7="","",(IF($C$20&lt;25%,"N/A",IF(H7&lt;=($D$20+$A$20),H7,"Descartado"))))</f>
        <v>3.79583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1.2766493912753</v>
      </c>
      <c r="B20" s="25" t="n">
        <f aca="false">COUNT(H3:H17)</f>
        <v>5</v>
      </c>
      <c r="C20" s="26" t="n">
        <f aca="false">IF(B20&lt;2,"N/A",(A20/D20))</f>
        <v>0.296895207273326</v>
      </c>
      <c r="D20" s="27" t="n">
        <f aca="false">ROUND(AVERAGE(H3:H17),2)</f>
        <v>4.3</v>
      </c>
      <c r="E20" s="28" t="n">
        <f aca="false">IFERROR(ROUND(IF(B20&lt;2,"N/A",(IF(C20&lt;=25%,"N/A",AVERAGE(I3:I17)))),2),"N/A")</f>
        <v>3.81</v>
      </c>
      <c r="F20" s="28" t="n">
        <f aca="false">ROUND(MEDIAN(H3:H17),2)</f>
        <v>4.02</v>
      </c>
      <c r="G20" s="29" t="str">
        <f aca="false">INDEX(G3:G17,MATCH(H20,H3:H17,0))</f>
        <v>Megaporte</v>
      </c>
      <c r="H20" s="30" t="n">
        <f aca="false">MIN(H3:H17)</f>
        <v>2.7709559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3.81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190.5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3" activeCellId="0" sqref="H3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71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72</v>
      </c>
      <c r="C3" s="9" t="s">
        <v>47</v>
      </c>
      <c r="D3" s="10" t="n">
        <v>20</v>
      </c>
      <c r="E3" s="11" t="n">
        <f aca="false">IF(C20&lt;=25%,D20,MIN(E20:F20))</f>
        <v>74.03</v>
      </c>
      <c r="F3" s="11" t="n">
        <f aca="false">MIN(H3:H17)</f>
        <v>70.4988221</v>
      </c>
      <c r="G3" s="12" t="s">
        <v>73</v>
      </c>
      <c r="H3" s="13" t="n">
        <f aca="false">131.386*1.0259</f>
        <v>134.7888974</v>
      </c>
      <c r="I3" s="14" t="str">
        <f aca="false">IF(H3="","",(IF($C$20&lt;25%,"N/A",IF(H3&lt;=($D$20+$A$20),H3,"Descartado"))))</f>
        <v>Descartado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55</v>
      </c>
      <c r="H4" s="13" t="n">
        <f aca="false">68.719*1.0259</f>
        <v>70.4988221</v>
      </c>
      <c r="I4" s="14" t="n">
        <f aca="false">IF(H4="","",(IF($C$20&lt;25%,"N/A",IF(H4&lt;=($D$20+$A$20),H4,"Descartado"))))</f>
        <v>70.4988221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74</v>
      </c>
      <c r="H5" s="13" t="n">
        <f aca="false">71.88*1.0259</f>
        <v>73.741692</v>
      </c>
      <c r="I5" s="14" t="n">
        <f aca="false">IF(H5="","",(IF($C$20&lt;25%,"N/A",IF(H5&lt;=($D$20+$A$20),H5,"Descartado"))))</f>
        <v>73.741692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50</v>
      </c>
      <c r="H6" s="13" t="n">
        <f aca="false">72.937*1.0259</f>
        <v>74.8260683</v>
      </c>
      <c r="I6" s="14" t="n">
        <f aca="false">IF(H6="","",(IF($C$20&lt;25%,"N/A",IF(H6&lt;=($D$20+$A$20),H6,"Descartado"))))</f>
        <v>74.8260683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50</v>
      </c>
      <c r="H7" s="13" t="n">
        <f aca="false">73.476*1.0259</f>
        <v>75.3790284</v>
      </c>
      <c r="I7" s="14" t="n">
        <f aca="false">IF(H7="","",(IF($C$20&lt;25%,"N/A",IF(H7&lt;=($D$20+$A$20),H7,"Descartado"))))</f>
        <v>75.3790284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52</v>
      </c>
      <c r="H8" s="13" t="n">
        <f aca="false">73.772*1.0259</f>
        <v>75.6826948</v>
      </c>
      <c r="I8" s="14" t="n">
        <f aca="false">IF(H8="","",(IF($C$20&lt;25%,"N/A",IF(H8&lt;=($D$20+$A$20),H8,"Descartado"))))</f>
        <v>75.6826948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24.8778870346675</v>
      </c>
      <c r="B20" s="25" t="n">
        <f aca="false">COUNT(H3:H17)</f>
        <v>6</v>
      </c>
      <c r="C20" s="26" t="n">
        <f aca="false">IF(B20&lt;2,"N/A",(A20/D20))</f>
        <v>0.295637397916429</v>
      </c>
      <c r="D20" s="27" t="n">
        <f aca="false">ROUND(AVERAGE(H3:H17),2)</f>
        <v>84.15</v>
      </c>
      <c r="E20" s="28" t="n">
        <f aca="false">IFERROR(ROUND(IF(B20&lt;2,"N/A",(IF(C20&lt;=25%,"N/A",AVERAGE(I3:I17)))),2),"N/A")</f>
        <v>74.03</v>
      </c>
      <c r="F20" s="28" t="n">
        <f aca="false">ROUND(MEDIAN(H3:H17),2)</f>
        <v>75.1</v>
      </c>
      <c r="G20" s="29" t="str">
        <f aca="false">INDEX(G3:G17,MATCH(H20,H3:H17,0))</f>
        <v>CNPJ 22.356.205/0001-47(PE n. 48/2017)</v>
      </c>
      <c r="H20" s="30" t="n">
        <f aca="false">MIN(H3:H17)</f>
        <v>70.4988221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74.03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1480.6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3" activeCellId="0" sqref="H3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75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76</v>
      </c>
      <c r="C3" s="9" t="s">
        <v>47</v>
      </c>
      <c r="D3" s="10" t="n">
        <v>20</v>
      </c>
      <c r="E3" s="11" t="n">
        <f aca="false">IF(C20&lt;=25%,D20,MIN(E20:F20))</f>
        <v>87.54</v>
      </c>
      <c r="F3" s="11" t="n">
        <f aca="false">MIN(H3:H17)</f>
        <v>80.0858576</v>
      </c>
      <c r="G3" s="12" t="s">
        <v>77</v>
      </c>
      <c r="H3" s="13" t="n">
        <f aca="false">91.019*1.0259</f>
        <v>93.3763921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78</v>
      </c>
      <c r="H4" s="13" t="n">
        <f aca="false">95.985*1.0259</f>
        <v>98.4710115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79</v>
      </c>
      <c r="H5" s="13" t="n">
        <f aca="false">95.985*1.0259</f>
        <v>98.4710115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74</v>
      </c>
      <c r="H6" s="13" t="n">
        <f aca="false">78.064*1.0259</f>
        <v>80.0858576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50</v>
      </c>
      <c r="H7" s="13" t="n">
        <f aca="false">78.075*1.0259</f>
        <v>80.0971425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80</v>
      </c>
      <c r="H8" s="13" t="n">
        <f aca="false">78.868*1.0259</f>
        <v>80.9106812</v>
      </c>
      <c r="I8" s="14" t="str">
        <f aca="false">IF(H8="","",(IF($C$20&lt;25%,"N/A",IF(H8&lt;=($D$20+$A$20),H8,"Descartado"))))</f>
        <v>N/A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81</v>
      </c>
      <c r="H9" s="13" t="n">
        <f aca="false">79.291*1.0259</f>
        <v>81.3446369</v>
      </c>
      <c r="I9" s="14" t="str">
        <f aca="false">IF(H9="","",(IF($C$20&lt;25%,"N/A",IF(H9&lt;=($D$20+$A$20),H9,"Descartado"))))</f>
        <v>N/A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8.8159720452396</v>
      </c>
      <c r="B20" s="25" t="n">
        <f aca="false">COUNT(H3:H17)</f>
        <v>7</v>
      </c>
      <c r="C20" s="26" t="n">
        <f aca="false">IF(B20&lt;2,"N/A",(A20/D20))</f>
        <v>0.10070792832122</v>
      </c>
      <c r="D20" s="27" t="n">
        <f aca="false">ROUND(AVERAGE(H3:H17),2)</f>
        <v>87.54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81.34</v>
      </c>
      <c r="G20" s="29" t="str">
        <f aca="false">INDEX(G3:G17,MATCH(H20,H3:H17,0))</f>
        <v>CNPJ 16.866.828/0001-67(PE n. 48/2017)</v>
      </c>
      <c r="H20" s="30" t="n">
        <f aca="false">MIN(H3:H17)</f>
        <v>80.0858576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87.54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1750.8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10" activeCellId="0" sqref="H10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82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83</v>
      </c>
      <c r="C3" s="9" t="s">
        <v>47</v>
      </c>
      <c r="D3" s="10" t="n">
        <v>20</v>
      </c>
      <c r="E3" s="11" t="n">
        <f aca="false">IF(C20&lt;=25%,D20,MIN(E20:F20))</f>
        <v>82.23</v>
      </c>
      <c r="F3" s="11" t="n">
        <f aca="false">MIN(H3:H17)</f>
        <v>65.0533449</v>
      </c>
      <c r="G3" s="12" t="s">
        <v>84</v>
      </c>
      <c r="H3" s="13" t="n">
        <f aca="false">97.857*1.0259</f>
        <v>100.3914963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77</v>
      </c>
      <c r="H4" s="13" t="n">
        <f aca="false">91.019*1.0259</f>
        <v>93.3763921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79</v>
      </c>
      <c r="H5" s="13" t="n">
        <f aca="false">95.985*1.0259</f>
        <v>98.4710115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85</v>
      </c>
      <c r="H6" s="13" t="n">
        <f aca="false">63.411*1.0259</f>
        <v>65.0533449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86</v>
      </c>
      <c r="H7" s="13" t="n">
        <f aca="false">63.422*1.0259</f>
        <v>65.0646298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87</v>
      </c>
      <c r="H8" s="13" t="n">
        <f aca="false">69.247*1.0259</f>
        <v>71.0404973</v>
      </c>
      <c r="I8" s="14" t="str">
        <f aca="false">IF(H8="","",(IF($C$20&lt;25%,"N/A",IF(H8&lt;=($D$20+$A$20),H8,"Descartado"))))</f>
        <v>N/A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16.9277570525369</v>
      </c>
      <c r="B20" s="25" t="n">
        <f aca="false">COUNT(H3:H17)</f>
        <v>6</v>
      </c>
      <c r="C20" s="26" t="n">
        <f aca="false">IF(B20&lt;2,"N/A",(A20/D20))</f>
        <v>0.205858653198794</v>
      </c>
      <c r="D20" s="27" t="n">
        <f aca="false">ROUND(AVERAGE(H3:H17),2)</f>
        <v>82.23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82.21</v>
      </c>
      <c r="G20" s="29" t="str">
        <f aca="false">INDEX(G3:G17,MATCH(H20,H3:H17,0))</f>
        <v>CNPJ 22.356.205/0001-47(PE n. 48/2018)</v>
      </c>
      <c r="H20" s="30" t="n">
        <f aca="false">MIN(H3:H17)</f>
        <v>65.0533449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82.23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1644.6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H7" activeCellId="0" sqref="H7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88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89</v>
      </c>
      <c r="C3" s="9" t="s">
        <v>47</v>
      </c>
      <c r="D3" s="10" t="n">
        <v>20</v>
      </c>
      <c r="E3" s="11" t="n">
        <f aca="false">IF(C20&lt;=25%,D20,MIN(E20:F20))</f>
        <v>84.63</v>
      </c>
      <c r="F3" s="11" t="n">
        <f aca="false">MIN(H3:H17)</f>
        <v>79.938128</v>
      </c>
      <c r="G3" s="12" t="s">
        <v>90</v>
      </c>
      <c r="H3" s="13" t="n">
        <f aca="false">95.98*1.0259</f>
        <v>98.465882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86</v>
      </c>
      <c r="H4" s="13" t="n">
        <f aca="false">77.92*1.0259</f>
        <v>79.938128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87</v>
      </c>
      <c r="H5" s="13" t="n">
        <f aca="false">78.01*1.0259</f>
        <v>80.030459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91</v>
      </c>
      <c r="H6" s="13" t="n">
        <f aca="false">78.08*1.0259</f>
        <v>80.102272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9.22137592353952</v>
      </c>
      <c r="B20" s="25" t="n">
        <f aca="false">COUNT(H3:H17)</f>
        <v>4</v>
      </c>
      <c r="C20" s="26" t="n">
        <f aca="false">IF(B20&lt;2,"N/A",(A20/D20))</f>
        <v>0.108961076728578</v>
      </c>
      <c r="D20" s="27" t="n">
        <f aca="false">ROUND(AVERAGE(H3:H17),2)</f>
        <v>84.63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80.07</v>
      </c>
      <c r="G20" s="29" t="str">
        <f aca="false">INDEX(G3:G17,MATCH(H20,H3:H17,0))</f>
        <v>CNPJ 16.866.828/0001-67(PE n. 48/2018)</v>
      </c>
      <c r="H20" s="30" t="n">
        <f aca="false">MIN(H3:H17)</f>
        <v>79.938128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84.63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1692.6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10" activeCellId="0" sqref="H10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92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93</v>
      </c>
      <c r="C3" s="9" t="s">
        <v>47</v>
      </c>
      <c r="D3" s="10" t="n">
        <v>20</v>
      </c>
      <c r="E3" s="11" t="n">
        <f aca="false">IF(C20&lt;=25%,D20,MIN(E20:F20))</f>
        <v>85.39</v>
      </c>
      <c r="F3" s="11" t="n">
        <f aca="false">MIN(H3:H17)</f>
        <v>79.7821912</v>
      </c>
      <c r="G3" s="12" t="s">
        <v>77</v>
      </c>
      <c r="H3" s="13" t="n">
        <f aca="false">91.019*1.0259</f>
        <v>93.3763921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79</v>
      </c>
      <c r="H4" s="13" t="n">
        <f aca="false">95.985*1.0259</f>
        <v>98.4710115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50</v>
      </c>
      <c r="H5" s="13" t="n">
        <f aca="false">77.768*1.0259</f>
        <v>79.7821912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74</v>
      </c>
      <c r="H6" s="13" t="n">
        <f aca="false">78.234*1.0259</f>
        <v>80.2602606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80</v>
      </c>
      <c r="H7" s="13" t="n">
        <f aca="false">79.28*1.0259</f>
        <v>81.333352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94</v>
      </c>
      <c r="H8" s="13" t="n">
        <f aca="false">80.031*1.0259</f>
        <v>82.1038029</v>
      </c>
      <c r="I8" s="14" t="str">
        <f aca="false">IF(H8="","",(IF($C$20&lt;25%,"N/A",IF(H8&lt;=($D$20+$A$20),H8,"Descartado"))))</f>
        <v>N/A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81</v>
      </c>
      <c r="H9" s="13" t="n">
        <f aca="false">80.348*1.0259</f>
        <v>82.4290132</v>
      </c>
      <c r="I9" s="14" t="str">
        <f aca="false">IF(H9="","",(IF($C$20&lt;25%,"N/A",IF(H9&lt;=($D$20+$A$20),H9,"Descartado"))))</f>
        <v>N/A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7.40135006769027</v>
      </c>
      <c r="B20" s="25" t="n">
        <f aca="false">COUNT(H3:H17)</f>
        <v>7</v>
      </c>
      <c r="C20" s="26" t="n">
        <f aca="false">IF(B20&lt;2,"N/A",(A20/D20))</f>
        <v>0.0866770121523629</v>
      </c>
      <c r="D20" s="27" t="n">
        <f aca="false">ROUND(AVERAGE(H3:H17),2)</f>
        <v>85.39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82.1</v>
      </c>
      <c r="G20" s="29" t="str">
        <f aca="false">INDEX(G3:G17,MATCH(H20,H3:H17,0))</f>
        <v>CNPJ 24.616.322/0001-28(PE n. 48/2017)</v>
      </c>
      <c r="H20" s="30" t="n">
        <f aca="false">MIN(H3:H17)</f>
        <v>79.7821912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85.39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1707.8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10" activeCellId="0" sqref="H10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95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96</v>
      </c>
      <c r="C3" s="9" t="s">
        <v>47</v>
      </c>
      <c r="D3" s="10" t="n">
        <v>20</v>
      </c>
      <c r="E3" s="11" t="n">
        <f aca="false">IF(C20&lt;=25%,D20,MIN(E20:F20))</f>
        <v>86.57</v>
      </c>
      <c r="F3" s="11" t="n">
        <f aca="false">MIN(H3:H17)</f>
        <v>80.2602606</v>
      </c>
      <c r="G3" s="12" t="s">
        <v>77</v>
      </c>
      <c r="H3" s="13" t="n">
        <f aca="false">91.019*1.0259</f>
        <v>93.3763921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79</v>
      </c>
      <c r="H4" s="13" t="n">
        <f aca="false">95.985*1.0259</f>
        <v>98.4710115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74</v>
      </c>
      <c r="H5" s="13" t="n">
        <f aca="false">78.234*1.0259</f>
        <v>80.2602606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80</v>
      </c>
      <c r="H6" s="13" t="n">
        <f aca="false">78.974*1.0259</f>
        <v>81.0194266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81</v>
      </c>
      <c r="H7" s="13" t="n">
        <f aca="false">80.348*1.0259</f>
        <v>82.4290132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97</v>
      </c>
      <c r="H8" s="13" t="n">
        <f aca="false">81.553*1.0259</f>
        <v>83.6652227</v>
      </c>
      <c r="I8" s="14" t="str">
        <f aca="false">IF(H8="","",(IF($C$20&lt;25%,"N/A",IF(H8&lt;=($D$20+$A$20),H8,"Descartado"))))</f>
        <v>N/A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94</v>
      </c>
      <c r="H9" s="13" t="n">
        <f aca="false">84.577*1.0259</f>
        <v>86.7675443</v>
      </c>
      <c r="I9" s="14" t="str">
        <f aca="false">IF(H9="","",(IF($C$20&lt;25%,"N/A",IF(H9&lt;=($D$20+$A$20),H9,"Descartado"))))</f>
        <v>N/A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6.88243235728371</v>
      </c>
      <c r="B20" s="25" t="n">
        <f aca="false">COUNT(H3:H17)</f>
        <v>7</v>
      </c>
      <c r="C20" s="26" t="n">
        <f aca="false">IF(B20&lt;2,"N/A",(A20/D20))</f>
        <v>0.0795013556345583</v>
      </c>
      <c r="D20" s="27" t="n">
        <f aca="false">ROUND(AVERAGE(H3:H17),2)</f>
        <v>86.57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83.67</v>
      </c>
      <c r="G20" s="29" t="str">
        <f aca="false">INDEX(G3:G17,MATCH(H20,H3:H17,0))</f>
        <v>CNPJ 16.866.828/0001-67(PE n. 48/2017)</v>
      </c>
      <c r="H20" s="30" t="n">
        <f aca="false">MIN(H3:H17)</f>
        <v>80.2602606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86.57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1731.4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9" activeCellId="0" sqref="H9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95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98</v>
      </c>
      <c r="C3" s="9" t="s">
        <v>47</v>
      </c>
      <c r="D3" s="10" t="n">
        <v>20</v>
      </c>
      <c r="E3" s="11" t="n">
        <f aca="false">IF(C20&lt;=25%,D20,MIN(E20:F20))</f>
        <v>130.04</v>
      </c>
      <c r="F3" s="11" t="n">
        <f aca="false">MIN(H3:H17)</f>
        <v>108.458148</v>
      </c>
      <c r="G3" s="12" t="s">
        <v>99</v>
      </c>
      <c r="H3" s="13" t="n">
        <f aca="false">274.7*1.0259</f>
        <v>281.81473</v>
      </c>
      <c r="I3" s="14" t="str">
        <f aca="false">IF(H3="","",(IF($C$20&lt;25%,"N/A",IF(H3&lt;=($D$20+$A$20),H3,"Descartado"))))</f>
        <v>Descartado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100</v>
      </c>
      <c r="H4" s="13" t="n">
        <f aca="false">191.16*1.0259</f>
        <v>196.111044</v>
      </c>
      <c r="I4" s="14" t="n">
        <f aca="false">IF(H4="","",(IF($C$20&lt;25%,"N/A",IF(H4&lt;=($D$20+$A$20),H4,"Descartado"))))</f>
        <v>196.111044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101</v>
      </c>
      <c r="H5" s="13" t="n">
        <f aca="false">209.37*1.0259</f>
        <v>214.792683</v>
      </c>
      <c r="I5" s="14" t="n">
        <f aca="false">IF(H5="","",(IF($C$20&lt;25%,"N/A",IF(H5&lt;=($D$20+$A$20),H5,"Descartado"))))</f>
        <v>214.792683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55</v>
      </c>
      <c r="H6" s="13" t="n">
        <f aca="false">105.72*1.0259</f>
        <v>108.458148</v>
      </c>
      <c r="I6" s="14" t="n">
        <f aca="false">IF(H6="","",(IF($C$20&lt;25%,"N/A",IF(H6&lt;=($D$20+$A$20),H6,"Descartado"))))</f>
        <v>108.458148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74</v>
      </c>
      <c r="H7" s="13" t="n">
        <f aca="false">114.18*1.0259</f>
        <v>117.137262</v>
      </c>
      <c r="I7" s="14" t="n">
        <f aca="false">IF(H7="","",(IF($C$20&lt;25%,"N/A",IF(H7&lt;=($D$20+$A$20),H7,"Descartado"))))</f>
        <v>117.137262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50</v>
      </c>
      <c r="H8" s="13" t="n">
        <f aca="false">121.54*1.0259</f>
        <v>124.687886</v>
      </c>
      <c r="I8" s="14" t="n">
        <f aca="false">IF(H8="","",(IF($C$20&lt;25%,"N/A",IF(H8&lt;=($D$20+$A$20),H8,"Descartado"))))</f>
        <v>124.687886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52</v>
      </c>
      <c r="H9" s="13" t="n">
        <f aca="false">126.76*1.0259</f>
        <v>130.043084</v>
      </c>
      <c r="I9" s="14" t="n">
        <f aca="false">IF(H9="","",(IF($C$20&lt;25%,"N/A",IF(H9&lt;=($D$20+$A$20),H9,"Descartado"))))</f>
        <v>130.043084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65.0400493544077</v>
      </c>
      <c r="B20" s="25" t="n">
        <f aca="false">COUNT(H3:H17)</f>
        <v>7</v>
      </c>
      <c r="C20" s="26" t="n">
        <f aca="false">IF(B20&lt;2,"N/A",(A20/D20))</f>
        <v>0.388113434505357</v>
      </c>
      <c r="D20" s="27" t="n">
        <f aca="false">ROUND(AVERAGE(H3:H17),2)</f>
        <v>167.58</v>
      </c>
      <c r="E20" s="28" t="n">
        <f aca="false">IFERROR(ROUND(IF(B20&lt;2,"N/A",(IF(C20&lt;=25%,"N/A",AVERAGE(I3:I17)))),2),"N/A")</f>
        <v>148.54</v>
      </c>
      <c r="F20" s="28" t="n">
        <f aca="false">ROUND(MEDIAN(H3:H17),2)</f>
        <v>130.04</v>
      </c>
      <c r="G20" s="29" t="str">
        <f aca="false">INDEX(G3:G17,MATCH(H20,H3:H17,0))</f>
        <v>CNPJ 22.356.205/0001-47(PE n. 48/2017)</v>
      </c>
      <c r="H20" s="30" t="n">
        <f aca="false">MIN(H3:H17)</f>
        <v>108.458148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130.04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2600.8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14" activeCellId="0" sqref="H14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102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103</v>
      </c>
      <c r="C3" s="9" t="s">
        <v>47</v>
      </c>
      <c r="D3" s="10" t="n">
        <v>20</v>
      </c>
      <c r="E3" s="11" t="n">
        <f aca="false">IF(C20&lt;=25%,D20,MIN(E20:F20))</f>
        <v>147.49</v>
      </c>
      <c r="F3" s="11" t="n">
        <f aca="false">MIN(H3:H17)</f>
        <v>128.524752</v>
      </c>
      <c r="G3" s="12" t="s">
        <v>104</v>
      </c>
      <c r="H3" s="13" t="n">
        <f aca="false">181.54*1.0259</f>
        <v>186.241886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100</v>
      </c>
      <c r="H4" s="13" t="n">
        <f aca="false">175.5*1.0259</f>
        <v>180.04545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105</v>
      </c>
      <c r="H5" s="13" t="n">
        <f aca="false">181.96*1.0259</f>
        <v>186.672764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74</v>
      </c>
      <c r="H6" s="13" t="n">
        <f aca="false">125.28*1.0259</f>
        <v>128.524752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50</v>
      </c>
      <c r="H7" s="13" t="n">
        <f aca="false">125.34*1.0259</f>
        <v>128.586306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106</v>
      </c>
      <c r="H8" s="13" t="n">
        <f aca="false">126.87*1.0259</f>
        <v>130.155933</v>
      </c>
      <c r="I8" s="14" t="str">
        <f aca="false">IF(H8="","",(IF($C$20&lt;25%,"N/A",IF(H8&lt;=($D$20+$A$20),H8,"Descartado"))))</f>
        <v>N/A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80</v>
      </c>
      <c r="H9" s="13" t="n">
        <f aca="false">126.87*1.0259</f>
        <v>130.155933</v>
      </c>
      <c r="I9" s="14" t="str">
        <f aca="false">IF(H9="","",(IF($C$20&lt;25%,"N/A",IF(H9&lt;=($D$20+$A$20),H9,"Descartado"))))</f>
        <v>N/A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94</v>
      </c>
      <c r="H10" s="13" t="n">
        <f aca="false">126.87*1.0259</f>
        <v>130.155933</v>
      </c>
      <c r="I10" s="14" t="str">
        <f aca="false">IF(H10="","",(IF($C$20&lt;25%,"N/A",IF(H10&lt;=($D$20+$A$20),H10,"Descartado"))))</f>
        <v>N/A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52</v>
      </c>
      <c r="H11" s="13" t="n">
        <f aca="false">133.2*1.0259</f>
        <v>136.64988</v>
      </c>
      <c r="I11" s="14" t="str">
        <f aca="false">IF(H11="","",(IF($C$20&lt;25%,"N/A",IF(H11&lt;=($D$20+$A$20),H11,"Descartado"))))</f>
        <v>N/A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 t="s">
        <v>81</v>
      </c>
      <c r="H12" s="13" t="n">
        <f aca="false">133.21*1.0259</f>
        <v>136.660139</v>
      </c>
      <c r="I12" s="14" t="str">
        <f aca="false">IF(H12="","",(IF($C$20&lt;25%,"N/A",IF(H12&lt;=($D$20+$A$20),H12,"Descartado"))))</f>
        <v>N/A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 t="s">
        <v>51</v>
      </c>
      <c r="H13" s="13" t="n">
        <f aca="false">144.84*1.0259</f>
        <v>148.591356</v>
      </c>
      <c r="I13" s="14" t="str">
        <f aca="false">IF(H13="","",(IF($C$20&lt;25%,"N/A",IF(H13&lt;=($D$20+$A$20),H13,"Descartado"))))</f>
        <v>N/A</v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24.3952900134417</v>
      </c>
      <c r="B20" s="25" t="n">
        <f aca="false">COUNT(H3:H17)</f>
        <v>11</v>
      </c>
      <c r="C20" s="26" t="n">
        <f aca="false">IF(B20&lt;2,"N/A",(A20/D20))</f>
        <v>0.165403010464721</v>
      </c>
      <c r="D20" s="27" t="n">
        <f aca="false">ROUND(AVERAGE(H3:H17),2)</f>
        <v>147.49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136.65</v>
      </c>
      <c r="G20" s="29" t="str">
        <f aca="false">INDEX(G3:G17,MATCH(H20,H3:H17,0))</f>
        <v>CNPJ 16.866.828/0001-67(PE n. 48/2017)</v>
      </c>
      <c r="H20" s="30" t="n">
        <f aca="false">MIN(H3:H17)</f>
        <v>128.524752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147.49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2949.8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8" activeCellId="0" sqref="H8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107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108</v>
      </c>
      <c r="C3" s="9" t="s">
        <v>47</v>
      </c>
      <c r="D3" s="10" t="n">
        <v>20</v>
      </c>
      <c r="E3" s="11" t="n">
        <f aca="false">IF(C20&lt;=25%,D20,MIN(E20:F20))</f>
        <v>133.41</v>
      </c>
      <c r="F3" s="11" t="n">
        <f aca="false">MIN(H3:H17)</f>
        <v>129.283918</v>
      </c>
      <c r="G3" s="12" t="s">
        <v>99</v>
      </c>
      <c r="H3" s="13" t="n">
        <f aca="false">274.7*1.0259</f>
        <v>281.81473</v>
      </c>
      <c r="I3" s="14" t="str">
        <f aca="false">IF(H3="","",(IF($C$20&lt;25%,"N/A",IF(H3&lt;=($D$20+$A$20),H3,"Descartado"))))</f>
        <v>Descartado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109</v>
      </c>
      <c r="H4" s="13" t="n">
        <f aca="false">193.19*1.0259</f>
        <v>198.193621</v>
      </c>
      <c r="I4" s="14" t="n">
        <f aca="false">IF(H4="","",(IF($C$20&lt;25%,"N/A",IF(H4&lt;=($D$20+$A$20),H4,"Descartado"))))</f>
        <v>198.193621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101</v>
      </c>
      <c r="H5" s="13" t="n">
        <f aca="false">184.24*1.0259</f>
        <v>189.011816</v>
      </c>
      <c r="I5" s="14" t="n">
        <f aca="false">IF(H5="","",(IF($C$20&lt;25%,"N/A",IF(H5&lt;=($D$20+$A$20),H5,"Descartado"))))</f>
        <v>189.011816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74</v>
      </c>
      <c r="H6" s="13" t="n">
        <f aca="false">126.02*1.0259</f>
        <v>129.283918</v>
      </c>
      <c r="I6" s="14" t="n">
        <f aca="false">IF(H6="","",(IF($C$20&lt;25%,"N/A",IF(H6&lt;=($D$20+$A$20),H6,"Descartado"))))</f>
        <v>129.283918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80</v>
      </c>
      <c r="H7" s="13" t="n">
        <f aca="false">126.12*1.0259</f>
        <v>129.386508</v>
      </c>
      <c r="I7" s="14" t="n">
        <f aca="false">IF(H7="","",(IF($C$20&lt;25%,"N/A",IF(H7&lt;=($D$20+$A$20),H7,"Descartado"))))</f>
        <v>129.386508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50</v>
      </c>
      <c r="H8" s="13" t="n">
        <f aca="false">126.4*1.0259</f>
        <v>129.67376</v>
      </c>
      <c r="I8" s="14" t="n">
        <f aca="false">IF(H8="","",(IF($C$20&lt;25%,"N/A",IF(H8&lt;=($D$20+$A$20),H8,"Descartado"))))</f>
        <v>129.67376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94</v>
      </c>
      <c r="H9" s="13" t="n">
        <f aca="false">126.87*1.0259</f>
        <v>130.155933</v>
      </c>
      <c r="I9" s="14" t="n">
        <f aca="false">IF(H9="","",(IF($C$20&lt;25%,"N/A",IF(H9&lt;=($D$20+$A$20),H9,"Descartado"))))</f>
        <v>130.155933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97</v>
      </c>
      <c r="H10" s="13" t="n">
        <f aca="false">126.87*1.0259</f>
        <v>130.155933</v>
      </c>
      <c r="I10" s="14" t="n">
        <f aca="false">IF(H10="","",(IF($C$20&lt;25%,"N/A",IF(H10&lt;=($D$20+$A$20),H10,"Descartado"))))</f>
        <v>130.155933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51</v>
      </c>
      <c r="H11" s="13" t="n">
        <f aca="false">144.84*1.0259</f>
        <v>148.591356</v>
      </c>
      <c r="I11" s="14" t="n">
        <f aca="false">IF(H11="","",(IF($C$20&lt;25%,"N/A",IF(H11&lt;=($D$20+$A$20),H11,"Descartado"))))</f>
        <v>148.591356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 t="s">
        <v>81</v>
      </c>
      <c r="H12" s="13" t="n">
        <f aca="false">133.21*1.0259</f>
        <v>136.660139</v>
      </c>
      <c r="I12" s="14" t="n">
        <f aca="false">IF(H12="","",(IF($C$20&lt;25%,"N/A",IF(H12&lt;=($D$20+$A$20),H12,"Descartado"))))</f>
        <v>136.660139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49.8831933451397</v>
      </c>
      <c r="B20" s="25" t="n">
        <f aca="false">COUNT(H3:H17)</f>
        <v>10</v>
      </c>
      <c r="C20" s="26" t="n">
        <f aca="false">IF(B20&lt;2,"N/A",(A20/D20))</f>
        <v>0.31120589771751</v>
      </c>
      <c r="D20" s="27" t="n">
        <f aca="false">ROUND(AVERAGE(H3:H17),2)</f>
        <v>160.29</v>
      </c>
      <c r="E20" s="28" t="n">
        <f aca="false">IFERROR(ROUND(IF(B20&lt;2,"N/A",(IF(C20&lt;=25%,"N/A",AVERAGE(I3:I17)))),2),"N/A")</f>
        <v>146.79</v>
      </c>
      <c r="F20" s="28" t="n">
        <f aca="false">ROUND(MEDIAN(H3:H17),2)</f>
        <v>133.41</v>
      </c>
      <c r="G20" s="29" t="str">
        <f aca="false">INDEX(G3:G17,MATCH(H20,H3:H17,0))</f>
        <v>CNPJ 16.866.828/0001-67(PE n. 48/2017)</v>
      </c>
      <c r="H20" s="30" t="n">
        <f aca="false">MIN(H3:H17)</f>
        <v>129.283918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133.41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2668.2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12" activeCellId="0" sqref="H12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110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111</v>
      </c>
      <c r="C3" s="9" t="s">
        <v>47</v>
      </c>
      <c r="D3" s="10" t="n">
        <v>20</v>
      </c>
      <c r="E3" s="11" t="n">
        <f aca="false">IF(C20&lt;=25%,D20,MIN(E20:F20))</f>
        <v>151.06</v>
      </c>
      <c r="F3" s="11" t="n">
        <f aca="false">MIN(H3:H17)</f>
        <v>128.85304</v>
      </c>
      <c r="G3" s="12" t="s">
        <v>104</v>
      </c>
      <c r="H3" s="13" t="n">
        <f aca="false">181.54*1.0259</f>
        <v>186.241886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100</v>
      </c>
      <c r="H4" s="13" t="n">
        <f aca="false">189.85*1.0259</f>
        <v>194.767115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79</v>
      </c>
      <c r="H5" s="13" t="n">
        <f aca="false">181.96*1.0259</f>
        <v>186.672764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74</v>
      </c>
      <c r="H6" s="13" t="n">
        <f aca="false">125.6*1.0259</f>
        <v>128.85304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80</v>
      </c>
      <c r="H7" s="13" t="n">
        <f aca="false">126.6*1.0259</f>
        <v>129.87894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97</v>
      </c>
      <c r="H8" s="13" t="n">
        <f aca="false">126.87*1.0259</f>
        <v>130.155933</v>
      </c>
      <c r="I8" s="14" t="str">
        <f aca="false">IF(H8="","",(IF($C$20&lt;25%,"N/A",IF(H8&lt;=($D$20+$A$20),H8,"Descartado"))))</f>
        <v>N/A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50</v>
      </c>
      <c r="H9" s="13" t="n">
        <f aca="false">129.57*1.0259</f>
        <v>132.925863</v>
      </c>
      <c r="I9" s="14" t="str">
        <f aca="false">IF(H9="","",(IF($C$20&lt;25%,"N/A",IF(H9&lt;=($D$20+$A$20),H9,"Descartado"))))</f>
        <v>N/A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94</v>
      </c>
      <c r="H10" s="13" t="n">
        <f aca="false">130.02*1.0259</f>
        <v>133.387518</v>
      </c>
      <c r="I10" s="14" t="str">
        <f aca="false">IF(H10="","",(IF($C$20&lt;25%,"N/A",IF(H10&lt;=($D$20+$A$20),H10,"Descartado"))))</f>
        <v>N/A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81</v>
      </c>
      <c r="H11" s="13" t="n">
        <f aca="false">133.21*1.0259</f>
        <v>136.660139</v>
      </c>
      <c r="I11" s="14" t="str">
        <f aca="false">IF(H11="","",(IF($C$20&lt;25%,"N/A",IF(H11&lt;=($D$20+$A$20),H11,"Descartado"))))</f>
        <v>N/A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28.8175985654245</v>
      </c>
      <c r="B20" s="25" t="n">
        <f aca="false">COUNT(H3:H17)</f>
        <v>9</v>
      </c>
      <c r="C20" s="26" t="n">
        <f aca="false">IF(B20&lt;2,"N/A",(A20/D20))</f>
        <v>0.190769221272504</v>
      </c>
      <c r="D20" s="27" t="n">
        <f aca="false">ROUND(AVERAGE(H3:H17),2)</f>
        <v>151.06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133.39</v>
      </c>
      <c r="G20" s="29" t="str">
        <f aca="false">INDEX(G3:G17,MATCH(H20,H3:H17,0))</f>
        <v>CNPJ 16.866.828/0001-67(PE n. 48/2017)</v>
      </c>
      <c r="H20" s="30" t="n">
        <f aca="false">MIN(H3:H17)</f>
        <v>128.85304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151.06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3021.2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3" activeCellId="0" sqref="H3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34</v>
      </c>
      <c r="C3" s="9" t="s">
        <v>11</v>
      </c>
      <c r="D3" s="10" t="n">
        <v>50</v>
      </c>
      <c r="E3" s="11" t="n">
        <f aca="false">IF(C20&lt;=25%,D20,MIN(E20:F20))</f>
        <v>8.85</v>
      </c>
      <c r="F3" s="11" t="n">
        <f aca="false">MIN(H3:H17)</f>
        <v>6.391357</v>
      </c>
      <c r="G3" s="12" t="s">
        <v>35</v>
      </c>
      <c r="H3" s="13" t="n">
        <f aca="false">6.23*1.0259</f>
        <v>6.391357</v>
      </c>
      <c r="I3" s="14" t="n">
        <f aca="false">IF(H3="","",(IF($C$20&lt;25%,"N/A",IF(H3&lt;=($D$20+$A$20),H3,"Descartado"))))</f>
        <v>6.391357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36</v>
      </c>
      <c r="H4" s="13" t="n">
        <f aca="false">12.643*1.0259</f>
        <v>12.9704537</v>
      </c>
      <c r="I4" s="14" t="str">
        <f aca="false">IF(H4="","",(IF($C$20&lt;25%,"N/A",IF(H4&lt;=($D$20+$A$20),H4,"Descartado"))))</f>
        <v>Descartado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37</v>
      </c>
      <c r="H5" s="13" t="n">
        <f aca="false">9.103*1.0259</f>
        <v>9.3387677</v>
      </c>
      <c r="I5" s="14" t="n">
        <f aca="false">IF(H5="","",(IF($C$20&lt;25%,"N/A",IF(H5&lt;=($D$20+$A$20),H5,"Descartado"))))</f>
        <v>9.3387677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f aca="false">10.551*1.0259</f>
        <v>10.8242709</v>
      </c>
      <c r="I6" s="14" t="n">
        <f aca="false">IF(H6="","",(IF($C$20&lt;25%,"N/A",IF(H6&lt;=($D$20+$A$20),H6,"Descartado"))))</f>
        <v>10.8242709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2.76321721365483</v>
      </c>
      <c r="B20" s="25" t="n">
        <f aca="false">COUNT(H3:H17)</f>
        <v>4</v>
      </c>
      <c r="C20" s="26" t="n">
        <f aca="false">IF(B20&lt;2,"N/A",(A20/D20))</f>
        <v>0.27967785563308</v>
      </c>
      <c r="D20" s="27" t="n">
        <f aca="false">ROUND(AVERAGE(H3:H17),2)</f>
        <v>9.88</v>
      </c>
      <c r="E20" s="28" t="n">
        <f aca="false">IFERROR(ROUND(IF(B20&lt;2,"N/A",(IF(C20&lt;=25%,"N/A",AVERAGE(I3:I17)))),2),"N/A")</f>
        <v>8.85</v>
      </c>
      <c r="F20" s="28" t="n">
        <f aca="false">ROUND(MEDIAN(H3:H17),2)</f>
        <v>10.08</v>
      </c>
      <c r="G20" s="29" t="str">
        <f aca="false">INDEX(G3:G17,MATCH(H20,H3:H17,0))</f>
        <v>Macro virtual.com</v>
      </c>
      <c r="H20" s="30" t="n">
        <f aca="false">MIN(H3:H17)</f>
        <v>6.391357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8.85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442.5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3" activeCellId="0" sqref="H3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112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113</v>
      </c>
      <c r="C3" s="9" t="s">
        <v>47</v>
      </c>
      <c r="D3" s="10" t="n">
        <v>20</v>
      </c>
      <c r="E3" s="11" t="n">
        <f aca="false">IF(C20&lt;=25%,D20,MIN(E20:F20))</f>
        <v>130.15</v>
      </c>
      <c r="F3" s="11" t="n">
        <f aca="false">MIN(H3:H17)</f>
        <v>127.9820509</v>
      </c>
      <c r="G3" s="42" t="s">
        <v>114</v>
      </c>
      <c r="H3" s="43" t="n">
        <f aca="false">193.185*1.0259</f>
        <v>198.1884915</v>
      </c>
      <c r="I3" s="14" t="n">
        <f aca="false">IF(H3="","",(IF($C$20&lt;25%,"N/A",IF(H3&lt;=($D$20+$A$20),H3,"Descartado"))))</f>
        <v>198.1884915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42" t="s">
        <v>115</v>
      </c>
      <c r="H4" s="43" t="n">
        <f aca="false">259.717*1.0259</f>
        <v>266.4436703</v>
      </c>
      <c r="I4" s="14" t="str">
        <f aca="false">IF(H4="","",(IF($C$20&lt;25%,"N/A",IF(H4&lt;=($D$20+$A$20),H4,"Descartado"))))</f>
        <v>Descartado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42" t="s">
        <v>101</v>
      </c>
      <c r="H5" s="43" t="n">
        <f aca="false">184.243*1.0259</f>
        <v>189.0148937</v>
      </c>
      <c r="I5" s="14" t="n">
        <f aca="false">IF(H5="","",(IF($C$20&lt;25%,"N/A",IF(H5&lt;=($D$20+$A$20),H5,"Descartado"))))</f>
        <v>189.0148937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42" t="s">
        <v>74</v>
      </c>
      <c r="H6" s="43" t="n">
        <f aca="false">124.751*1.0259</f>
        <v>127.9820509</v>
      </c>
      <c r="I6" s="14" t="n">
        <f aca="false">IF(H6="","",(IF($C$20&lt;25%,"N/A",IF(H6&lt;=($D$20+$A$20),H6,"Descartado"))))</f>
        <v>127.9820509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42" t="s">
        <v>52</v>
      </c>
      <c r="H7" s="43" t="n">
        <f aca="false">125.258*1.0259</f>
        <v>128.5021822</v>
      </c>
      <c r="I7" s="14" t="n">
        <f aca="false">IF(H7="","",(IF($C$20&lt;25%,"N/A",IF(H7&lt;=($D$20+$A$20),H7,"Descartado"))))</f>
        <v>128.5021822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42" t="s">
        <v>50</v>
      </c>
      <c r="H8" s="43" t="n">
        <f aca="false">125.343*1.0259</f>
        <v>128.5893837</v>
      </c>
      <c r="I8" s="14" t="n">
        <f aca="false">IF(H8="","",(IF($C$20&lt;25%,"N/A",IF(H8&lt;=($D$20+$A$20),H8,"Descartado"))))</f>
        <v>128.5893837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42" t="s">
        <v>97</v>
      </c>
      <c r="H9" s="43" t="n">
        <f aca="false">126.865*1.0259</f>
        <v>130.1508035</v>
      </c>
      <c r="I9" s="14" t="n">
        <f aca="false">IF(H9="","",(IF($C$20&lt;25%,"N/A",IF(H9&lt;=($D$20+$A$20),H9,"Descartado"))))</f>
        <v>130.1508035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53.5165703375992</v>
      </c>
      <c r="B20" s="25" t="n">
        <f aca="false">COUNT(H3:H17)</f>
        <v>7</v>
      </c>
      <c r="C20" s="26" t="n">
        <f aca="false">IF(B20&lt;2,"N/A",(A20/D20))</f>
        <v>0.320496887876388</v>
      </c>
      <c r="D20" s="27" t="n">
        <f aca="false">ROUND(AVERAGE(H3:H17),2)</f>
        <v>166.98</v>
      </c>
      <c r="E20" s="28" t="n">
        <f aca="false">IFERROR(ROUND(IF(B20&lt;2,"N/A",(IF(C20&lt;=25%,"N/A",AVERAGE(I3:I17)))),2),"N/A")</f>
        <v>150.4</v>
      </c>
      <c r="F20" s="28" t="n">
        <f aca="false">ROUND(MEDIAN(H3:H17),2)</f>
        <v>130.15</v>
      </c>
      <c r="G20" s="29" t="str">
        <f aca="false">INDEX(G3:G17,MATCH(H20,H3:H17,0))</f>
        <v>CNPJ 16.866.828/0001-67(PE n. 48/2017)</v>
      </c>
      <c r="H20" s="30" t="n">
        <f aca="false">MIN(H3:H17)</f>
        <v>127.9820509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130.15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2603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8" activeCellId="0" sqref="H8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116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117</v>
      </c>
      <c r="C3" s="9" t="s">
        <v>47</v>
      </c>
      <c r="D3" s="10" t="n">
        <v>10</v>
      </c>
      <c r="E3" s="11" t="n">
        <f aca="false">IF(C20&lt;=25%,D20,MIN(E20:F20))</f>
        <v>189.62</v>
      </c>
      <c r="F3" s="11" t="n">
        <f aca="false">MIN(H3:H17)</f>
        <v>175.71</v>
      </c>
      <c r="G3" s="12" t="s">
        <v>118</v>
      </c>
      <c r="H3" s="44" t="n">
        <v>186.67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119</v>
      </c>
      <c r="H4" s="44" t="n">
        <v>229.21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74</v>
      </c>
      <c r="H5" s="44" t="n">
        <v>175.71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50</v>
      </c>
      <c r="H6" s="44" t="n">
        <v>176.31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55</v>
      </c>
      <c r="H7" s="44" t="n">
        <v>178.96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97</v>
      </c>
      <c r="H8" s="44" t="n">
        <v>190.83</v>
      </c>
      <c r="I8" s="14" t="str">
        <f aca="false">IF(H8="","",(IF($C$20&lt;25%,"N/A",IF(H8&lt;=($D$20+$A$20),H8,"Descartado"))))</f>
        <v>N/A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20.3067198237431</v>
      </c>
      <c r="B20" s="25" t="n">
        <f aca="false">COUNT(H3:H17)</f>
        <v>6</v>
      </c>
      <c r="C20" s="26" t="n">
        <f aca="false">IF(B20&lt;2,"N/A",(A20/D20))</f>
        <v>0.10709165606868</v>
      </c>
      <c r="D20" s="27" t="n">
        <f aca="false">ROUND(AVERAGE(H3:H17),2)</f>
        <v>189.62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182.82</v>
      </c>
      <c r="G20" s="29" t="str">
        <f aca="false">INDEX(G3:G17,MATCH(H20,H3:H17,0))</f>
        <v>CNPJ 16.866.828/0001-67(PE n. 48/2017)</v>
      </c>
      <c r="H20" s="30" t="n">
        <f aca="false">MIN(H3:H17)</f>
        <v>175.71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189.62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1896.2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7" activeCellId="0" sqref="G7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120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121</v>
      </c>
      <c r="C3" s="9" t="s">
        <v>47</v>
      </c>
      <c r="D3" s="10" t="n">
        <v>10</v>
      </c>
      <c r="E3" s="11" t="n">
        <f aca="false">IF(C20&lt;=25%,D20,MIN(E20:F20))</f>
        <v>184.08</v>
      </c>
      <c r="F3" s="11" t="n">
        <f aca="false">MIN(H3:H17)</f>
        <v>161.599768</v>
      </c>
      <c r="G3" s="12" t="s">
        <v>118</v>
      </c>
      <c r="H3" s="43" t="n">
        <f aca="false">181.96*1.0259</f>
        <v>186.672764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122</v>
      </c>
      <c r="H4" s="43" t="n">
        <f aca="false">223.43*1.0259</f>
        <v>229.216837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74</v>
      </c>
      <c r="H5" s="43" t="n">
        <f aca="false">157.52*1.0259</f>
        <v>161.599768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55</v>
      </c>
      <c r="H6" s="43" t="n">
        <f aca="false">158.48*1.0259</f>
        <v>162.584632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50</v>
      </c>
      <c r="H7" s="43" t="n">
        <f aca="false">168.1*1.0259</f>
        <v>172.45379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52</v>
      </c>
      <c r="H8" s="43" t="n">
        <f aca="false">187.13*1.0259</f>
        <v>191.976667</v>
      </c>
      <c r="I8" s="14" t="str">
        <f aca="false">IF(H8="","",(IF($C$20&lt;25%,"N/A",IF(H8&lt;=($D$20+$A$20),H8,"Descartado"))))</f>
        <v>N/A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25.3337488924462</v>
      </c>
      <c r="B20" s="25" t="n">
        <f aca="false">COUNT(H3:H17)</f>
        <v>6</v>
      </c>
      <c r="C20" s="26" t="n">
        <f aca="false">IF(B20&lt;2,"N/A",(A20/D20))</f>
        <v>0.137623581553923</v>
      </c>
      <c r="D20" s="27" t="n">
        <f aca="false">ROUND(AVERAGE(H3:H17),2)</f>
        <v>184.08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179.56</v>
      </c>
      <c r="G20" s="29" t="str">
        <f aca="false">INDEX(G3:G17,MATCH(H20,H3:H17,0))</f>
        <v>CNPJ 16.866.828/0001-67(PE n. 48/2017)</v>
      </c>
      <c r="H20" s="30" t="n">
        <f aca="false">MIN(H3:H17)</f>
        <v>161.599768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184.08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1840.8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5" activeCellId="0" sqref="H5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123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124</v>
      </c>
      <c r="C3" s="9" t="s">
        <v>47</v>
      </c>
      <c r="D3" s="10" t="n">
        <v>10</v>
      </c>
      <c r="E3" s="11" t="n">
        <f aca="false">IF(C20&lt;=25%,D20,MIN(E20:F20))</f>
        <v>200.75</v>
      </c>
      <c r="F3" s="11" t="n">
        <f aca="false">MIN(H3:H17)</f>
        <v>146.41</v>
      </c>
      <c r="G3" s="12" t="s">
        <v>77</v>
      </c>
      <c r="H3" s="12" t="n">
        <v>273.92</v>
      </c>
      <c r="I3" s="14" t="n">
        <f aca="false">IF(H3="","",(IF($C$20&lt;25%,"N/A",IF(H3&lt;=($D$20+$A$20),H3,"Descartado"))))</f>
        <v>273.92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125</v>
      </c>
      <c r="H4" s="12" t="n">
        <v>308.71</v>
      </c>
      <c r="I4" s="14" t="str">
        <f aca="false">IF(H4="","",(IF($C$20&lt;25%,"N/A",IF(H4&lt;=($D$20+$A$20),H4,"Descartado"))))</f>
        <v>Descartado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126</v>
      </c>
      <c r="H5" s="12" t="n">
        <v>304.35</v>
      </c>
      <c r="I5" s="14" t="str">
        <f aca="false">IF(H5="","",(IF($C$20&lt;25%,"N/A",IF(H5&lt;=($D$20+$A$20),H5,"Descartado"))))</f>
        <v>Descartado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101</v>
      </c>
      <c r="H6" s="12" t="n">
        <v>284.89</v>
      </c>
      <c r="I6" s="14" t="n">
        <f aca="false">IF(H6="","",(IF($C$20&lt;25%,"N/A",IF(H6&lt;=($D$20+$A$20),H6,"Descartado"))))</f>
        <v>284.89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74</v>
      </c>
      <c r="H7" s="12" t="n">
        <v>146.41</v>
      </c>
      <c r="I7" s="14" t="n">
        <f aca="false">IF(H7="","",(IF($C$20&lt;25%,"N/A",IF(H7&lt;=($D$20+$A$20),H7,"Descartado"))))</f>
        <v>146.41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55</v>
      </c>
      <c r="H8" s="12" t="n">
        <v>146.42</v>
      </c>
      <c r="I8" s="14" t="n">
        <f aca="false">IF(H8="","",(IF($C$20&lt;25%,"N/A",IF(H8&lt;=($D$20+$A$20),H8,"Descartado"))))</f>
        <v>146.42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50</v>
      </c>
      <c r="H9" s="12" t="n">
        <v>162.58</v>
      </c>
      <c r="I9" s="14" t="n">
        <f aca="false">IF(H9="","",(IF($C$20&lt;25%,"N/A",IF(H9&lt;=($D$20+$A$20),H9,"Descartado"))))</f>
        <v>162.58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97</v>
      </c>
      <c r="H10" s="12" t="n">
        <v>190.29</v>
      </c>
      <c r="I10" s="14" t="n">
        <f aca="false">IF(H10="","",(IF($C$20&lt;25%,"N/A",IF(H10&lt;=($D$20+$A$20),H10,"Descartado"))))</f>
        <v>190.29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72.4050333565087</v>
      </c>
      <c r="B20" s="25" t="n">
        <f aca="false">COUNT(H3:H17)</f>
        <v>8</v>
      </c>
      <c r="C20" s="26" t="n">
        <f aca="false">IF(B20&lt;2,"N/A",(A20/D20))</f>
        <v>0.318684125688859</v>
      </c>
      <c r="D20" s="27" t="n">
        <f aca="false">ROUND(AVERAGE(H3:H17),2)</f>
        <v>227.2</v>
      </c>
      <c r="E20" s="28" t="n">
        <f aca="false">IFERROR(ROUND(IF(B20&lt;2,"N/A",(IF(C20&lt;=25%,"N/A",AVERAGE(I3:I17)))),2),"N/A")</f>
        <v>200.75</v>
      </c>
      <c r="F20" s="28" t="n">
        <f aca="false">ROUND(MEDIAN(H3:H17),2)</f>
        <v>232.11</v>
      </c>
      <c r="G20" s="29" t="str">
        <f aca="false">INDEX(G3:G17,MATCH(H20,H3:H17,0))</f>
        <v>CNPJ 16.866.828/0001-67(PE n. 48/2017)</v>
      </c>
      <c r="H20" s="30" t="n">
        <f aca="false">MIN(H3:H17)</f>
        <v>146.41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200.75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2007.5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10" activeCellId="0" sqref="H10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127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128</v>
      </c>
      <c r="C3" s="9" t="s">
        <v>47</v>
      </c>
      <c r="D3" s="10" t="n">
        <v>10</v>
      </c>
      <c r="E3" s="11" t="n">
        <f aca="false">IF(C20&lt;=25%,D20,MIN(E20:F20))</f>
        <v>194.14</v>
      </c>
      <c r="F3" s="11" t="n">
        <f aca="false">MIN(H3:H17)</f>
        <v>161.6038716</v>
      </c>
      <c r="G3" s="12" t="s">
        <v>129</v>
      </c>
      <c r="H3" s="13" t="n">
        <f aca="false">250.836*1.0259</f>
        <v>257.3326524</v>
      </c>
      <c r="I3" s="14" t="n">
        <f aca="false">IF(H3="","",(IF($C$20&lt;25%,"N/A",IF(H3&lt;=($D$20+$A$20),H3,"Descartado"))))</f>
        <v>257.3326524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130</v>
      </c>
      <c r="H4" s="13" t="n">
        <f aca="false">268.516*1.0259</f>
        <v>275.4705644</v>
      </c>
      <c r="I4" s="14" t="n">
        <f aca="false">IF(H4="","",(IF($C$20&lt;25%,"N/A",IF(H4&lt;=($D$20+$A$20),H4,"Descartado"))))</f>
        <v>275.4705644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131</v>
      </c>
      <c r="H5" s="13" t="n">
        <f aca="false">272.987*1.0259</f>
        <v>280.0573633</v>
      </c>
      <c r="I5" s="14" t="str">
        <f aca="false">IF(H5="","",(IF($C$20&lt;25%,"N/A",IF(H5&lt;=($D$20+$A$20),H5,"Descartado"))))</f>
        <v>Descartado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79</v>
      </c>
      <c r="H6" s="13" t="n">
        <f aca="false">293.216*1.0259</f>
        <v>300.8102944</v>
      </c>
      <c r="I6" s="14" t="str">
        <f aca="false">IF(H6="","",(IF($C$20&lt;25%,"N/A",IF(H6&lt;=($D$20+$A$20),H6,"Descartado"))))</f>
        <v>Descartado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55</v>
      </c>
      <c r="H7" s="13" t="n">
        <f aca="false">157.524*1.0259</f>
        <v>161.6038716</v>
      </c>
      <c r="I7" s="14" t="n">
        <f aca="false">IF(H7="","",(IF($C$20&lt;25%,"N/A",IF(H7&lt;=($D$20+$A$20),H7,"Descartado"))))</f>
        <v>161.6038716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50</v>
      </c>
      <c r="H8" s="13" t="n">
        <f aca="false">158.476*1.0259</f>
        <v>162.5805284</v>
      </c>
      <c r="I8" s="14" t="n">
        <f aca="false">IF(H8="","",(IF($C$20&lt;25%,"N/A",IF(H8&lt;=($D$20+$A$20),H8,"Descartado"))))</f>
        <v>162.5805284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74</v>
      </c>
      <c r="H9" s="13" t="n">
        <f aca="false">168.096*1.0259</f>
        <v>172.4496864</v>
      </c>
      <c r="I9" s="14" t="n">
        <f aca="false">IF(H9="","",(IF($C$20&lt;25%,"N/A",IF(H9&lt;=($D$20+$A$20),H9,"Descartado"))))</f>
        <v>172.4496864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52</v>
      </c>
      <c r="H10" s="13" t="n">
        <f aca="false">187.126*1.0259</f>
        <v>191.9725634</v>
      </c>
      <c r="I10" s="14" t="n">
        <f aca="false">IF(H10="","",(IF($C$20&lt;25%,"N/A",IF(H10&lt;=($D$20+$A$20),H10,"Descartado"))))</f>
        <v>191.9725634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97</v>
      </c>
      <c r="H11" s="13" t="n">
        <f aca="false">189.241*1.0259</f>
        <v>194.1423419</v>
      </c>
      <c r="I11" s="14" t="n">
        <f aca="false">IF(H11="","",(IF($C$20&lt;25%,"N/A",IF(H11&lt;=($D$20+$A$20),H11,"Descartado"))))</f>
        <v>194.1423419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55.9019629208723</v>
      </c>
      <c r="B20" s="25" t="n">
        <f aca="false">COUNT(H3:H17)</f>
        <v>9</v>
      </c>
      <c r="C20" s="26" t="n">
        <f aca="false">IF(B20&lt;2,"N/A",(A20/D20))</f>
        <v>0.252014980258192</v>
      </c>
      <c r="D20" s="27" t="n">
        <f aca="false">ROUND(AVERAGE(H3:H17),2)</f>
        <v>221.82</v>
      </c>
      <c r="E20" s="28" t="n">
        <f aca="false">IFERROR(ROUND(IF(B20&lt;2,"N/A",(IF(C20&lt;=25%,"N/A",AVERAGE(I3:I17)))),2),"N/A")</f>
        <v>202.22</v>
      </c>
      <c r="F20" s="28" t="n">
        <f aca="false">ROUND(MEDIAN(H3:H17),2)</f>
        <v>194.14</v>
      </c>
      <c r="G20" s="29" t="str">
        <f aca="false">INDEX(G3:G17,MATCH(H20,H3:H17,0))</f>
        <v>CNPJ 22.356.205/0001-47(PE n. 48/2017)</v>
      </c>
      <c r="H20" s="30" t="n">
        <f aca="false">MIN(H3:H17)</f>
        <v>161.6038716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194.14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1941.4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7" activeCellId="0" sqref="H7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132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133</v>
      </c>
      <c r="C3" s="9" t="s">
        <v>47</v>
      </c>
      <c r="D3" s="10" t="n">
        <v>10</v>
      </c>
      <c r="E3" s="11" t="n">
        <f aca="false">IF(C20&lt;=25%,D20,MIN(E20:F20))</f>
        <v>214.26</v>
      </c>
      <c r="F3" s="11" t="n">
        <f aca="false">MIN(H3:H17)</f>
        <v>194.1423419</v>
      </c>
      <c r="G3" s="12" t="s">
        <v>134</v>
      </c>
      <c r="H3" s="13" t="n">
        <f aca="false">272.987*1.0259</f>
        <v>280.0573633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97</v>
      </c>
      <c r="H4" s="13" t="n">
        <f aca="false">189.241*1.0259</f>
        <v>194.1423419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74</v>
      </c>
      <c r="H5" s="13" t="n">
        <f aca="false">190.192*1.0259</f>
        <v>195.1179728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80</v>
      </c>
      <c r="H6" s="13" t="n">
        <f aca="false">195.584*1.0259</f>
        <v>200.6496256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50</v>
      </c>
      <c r="H7" s="13" t="n">
        <f aca="false">196.271*1.0259</f>
        <v>201.3544189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36.9195971350231</v>
      </c>
      <c r="B20" s="25" t="n">
        <f aca="false">COUNT(H3:H17)</f>
        <v>5</v>
      </c>
      <c r="C20" s="26" t="n">
        <f aca="false">IF(B20&lt;2,"N/A",(A20/D20))</f>
        <v>0.172312130752465</v>
      </c>
      <c r="D20" s="27" t="n">
        <f aca="false">ROUND(AVERAGE(H3:H17),2)</f>
        <v>214.26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200.65</v>
      </c>
      <c r="G20" s="29" t="str">
        <f aca="false">INDEX(G3:G17,MATCH(H20,H3:H17,0))</f>
        <v>CNPJ 10.752.963/0001-03(PE n. 48/2017)</v>
      </c>
      <c r="H20" s="30" t="n">
        <f aca="false">MIN(H3:H17)</f>
        <v>194.1423419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214.26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2142.6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3" activeCellId="0" sqref="H3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135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136</v>
      </c>
      <c r="C3" s="9" t="s">
        <v>11</v>
      </c>
      <c r="D3" s="10" t="n">
        <v>100</v>
      </c>
      <c r="E3" s="11" t="n">
        <f aca="false">IF(C20&lt;=25%,D20,MIN(E20:F20))</f>
        <v>62.2</v>
      </c>
      <c r="F3" s="11" t="n">
        <f aca="false">MIN(H3:H17)</f>
        <v>62.1469702</v>
      </c>
      <c r="G3" s="12" t="s">
        <v>59</v>
      </c>
      <c r="H3" s="13" t="n">
        <f aca="false">60.578*1.0259</f>
        <v>62.1469702</v>
      </c>
      <c r="I3" s="14" t="n">
        <f aca="false">IF(H3="","",(IF($C$20&lt;25%,"N/A",IF(H3&lt;=($D$20+$A$20),H3,"Descartado"))))</f>
        <v>62.1469702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137</v>
      </c>
      <c r="H4" s="13" t="n">
        <f aca="false">60.673*1.0259</f>
        <v>62.2444307</v>
      </c>
      <c r="I4" s="14" t="n">
        <f aca="false">IF(H4="","",(IF($C$20&lt;25%,"N/A",IF(H4&lt;=($D$20+$A$20),H4,"Descartado"))))</f>
        <v>62.2444307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138</v>
      </c>
      <c r="H5" s="13" t="n">
        <f aca="false">211.442*1.0259</f>
        <v>216.9183478</v>
      </c>
      <c r="I5" s="14" t="str">
        <f aca="false">IF(H5="","",(IF($C$20&lt;25%,"N/A",IF(H5&lt;=($D$20+$A$20),H5,"Descartado"))))</f>
        <v>Descartado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89.3291753887539</v>
      </c>
      <c r="B20" s="25" t="n">
        <f aca="false">COUNT(H3:H17)</f>
        <v>3</v>
      </c>
      <c r="C20" s="26" t="n">
        <f aca="false">IF(B20&lt;2,"N/A",(A20/D20))</f>
        <v>0.785173379526711</v>
      </c>
      <c r="D20" s="27" t="n">
        <f aca="false">ROUND(AVERAGE(H3:H17),2)</f>
        <v>113.77</v>
      </c>
      <c r="E20" s="28" t="n">
        <f aca="false">IFERROR(ROUND(IF(B20&lt;2,"N/A",(IF(C20&lt;=25%,"N/A",AVERAGE(I3:I17)))),2),"N/A")</f>
        <v>62.2</v>
      </c>
      <c r="F20" s="28" t="n">
        <f aca="false">ROUND(MEDIAN(H3:H17),2)</f>
        <v>62.24</v>
      </c>
      <c r="G20" s="29" t="str">
        <f aca="false">INDEX(G3:G17,MATCH(H20,H3:H17,0))</f>
        <v>CNPJ 26.032.320/0001-17(PE n. 48/2017)</v>
      </c>
      <c r="H20" s="30" t="n">
        <f aca="false">MIN(H3:H17)</f>
        <v>62.1469702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62.2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6220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7" activeCellId="0" sqref="H7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139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140</v>
      </c>
      <c r="C3" s="9" t="s">
        <v>11</v>
      </c>
      <c r="D3" s="10" t="n">
        <v>100</v>
      </c>
      <c r="E3" s="11" t="n">
        <f aca="false">IF(C20&lt;=25%,D20,MIN(E20:F20))</f>
        <v>61.95</v>
      </c>
      <c r="F3" s="11" t="n">
        <f aca="false">MIN(H3:H17)</f>
        <v>61.7027555</v>
      </c>
      <c r="G3" s="12" t="s">
        <v>74</v>
      </c>
      <c r="H3" s="43" t="n">
        <f aca="false">60.145*1.0259</f>
        <v>61.7027555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58</v>
      </c>
      <c r="H4" s="43" t="n">
        <f aca="false">60.155*1.0259</f>
        <v>61.7130145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59</v>
      </c>
      <c r="H5" s="43" t="n">
        <f aca="false">60.578*1.0259</f>
        <v>62.1469702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137</v>
      </c>
      <c r="H6" s="43" t="n">
        <f aca="false">60.673*1.0259</f>
        <v>62.2444307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0.28446781383801</v>
      </c>
      <c r="B20" s="25" t="n">
        <f aca="false">COUNT(H3:H17)</f>
        <v>4</v>
      </c>
      <c r="C20" s="26" t="n">
        <f aca="false">IF(B20&lt;2,"N/A",(A20/D20))</f>
        <v>0.00459189368584358</v>
      </c>
      <c r="D20" s="27" t="n">
        <f aca="false">ROUND(AVERAGE(H3:H17),2)</f>
        <v>61.95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61.93</v>
      </c>
      <c r="G20" s="29" t="str">
        <f aca="false">INDEX(G3:G17,MATCH(H20,H3:H17,0))</f>
        <v>CNPJ 16.866.828/0001-67(PE n. 48/2017)</v>
      </c>
      <c r="H20" s="30" t="n">
        <f aca="false">MIN(H3:H17)</f>
        <v>61.7027555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61.95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6195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B1" colorId="64" zoomScale="100" zoomScaleNormal="100" zoomScalePageLayoutView="100" workbookViewId="0">
      <selection pane="topLeft" activeCell="H3" activeCellId="0" sqref="H3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141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142</v>
      </c>
      <c r="C3" s="9" t="s">
        <v>11</v>
      </c>
      <c r="D3" s="10" t="n">
        <v>1000</v>
      </c>
      <c r="E3" s="11" t="n">
        <f aca="false">IF(C20&lt;=25%,D20,MIN(E20:F20))</f>
        <v>32.18</v>
      </c>
      <c r="F3" s="11" t="n">
        <f aca="false">MIN(H3:H17)</f>
        <v>30.9</v>
      </c>
      <c r="G3" s="12" t="s">
        <v>143</v>
      </c>
      <c r="H3" s="13" t="n">
        <v>33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144</v>
      </c>
      <c r="H4" s="13" t="n">
        <v>31.49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145</v>
      </c>
      <c r="H5" s="13" t="n">
        <v>30.9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146</v>
      </c>
      <c r="H6" s="13" t="n">
        <v>33.31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1.16385852519396</v>
      </c>
      <c r="B20" s="25" t="n">
        <f aca="false">COUNT(H3:H17)</f>
        <v>4</v>
      </c>
      <c r="C20" s="26" t="n">
        <f aca="false">IF(B20&lt;2,"N/A",(A20/D20))</f>
        <v>0.0361671387568044</v>
      </c>
      <c r="D20" s="27" t="n">
        <f aca="false">ROUND(AVERAGE(H3:H17),2)</f>
        <v>32.18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32.25</v>
      </c>
      <c r="G20" s="29" t="str">
        <f aca="false">INDEX(G3:G17,MATCH(H20,H3:H17,0))</f>
        <v>Elétrica Santana</v>
      </c>
      <c r="H20" s="30" t="n">
        <f aca="false">MIN(H3:H17)</f>
        <v>30.9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32.18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32180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D1" colorId="64" zoomScale="100" zoomScaleNormal="100" zoomScalePageLayoutView="100" workbookViewId="0">
      <selection pane="topLeft" activeCell="H8" activeCellId="0" sqref="H8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147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148</v>
      </c>
      <c r="C3" s="9" t="s">
        <v>11</v>
      </c>
      <c r="D3" s="10" t="n">
        <v>1000</v>
      </c>
      <c r="E3" s="11" t="n">
        <f aca="false">IF(C20&lt;=25%,D20,MIN(E20:F20))</f>
        <v>8</v>
      </c>
      <c r="F3" s="11" t="n">
        <f aca="false">MIN(H3:H17)</f>
        <v>5.3</v>
      </c>
      <c r="G3" s="12" t="s">
        <v>149</v>
      </c>
      <c r="H3" s="13" t="n">
        <v>8.9</v>
      </c>
      <c r="I3" s="14" t="n">
        <f aca="false">IF(H3="","",(IF($C$20&lt;25%,"N/A",IF(H3&lt;=($D$20+$A$20),H3,"Descartado"))))</f>
        <v>8.9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122</v>
      </c>
      <c r="H4" s="13" t="n">
        <v>8.9</v>
      </c>
      <c r="I4" s="14" t="n">
        <f aca="false">IF(H4="","",(IF($C$20&lt;25%,"N/A",IF(H4&lt;=($D$20+$A$20),H4,"Descartado"))))</f>
        <v>8.9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145</v>
      </c>
      <c r="H5" s="13" t="n">
        <v>8.9</v>
      </c>
      <c r="I5" s="14" t="n">
        <f aca="false">IF(H5="","",(IF($C$20&lt;25%,"N/A",IF(H5&lt;=($D$20+$A$20),H5,"Descartado"))))</f>
        <v>8.9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150</v>
      </c>
      <c r="H6" s="13" t="n">
        <v>5.3</v>
      </c>
      <c r="I6" s="14" t="n">
        <f aca="false">IF(H6="","",(IF($C$20&lt;25%,"N/A",IF(H6&lt;=($D$20+$A$20),H6,"Descartado"))))</f>
        <v>5.3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151</v>
      </c>
      <c r="H7" s="13" t="n">
        <v>13</v>
      </c>
      <c r="I7" s="14" t="str">
        <f aca="false">IF(H7="","",(IF($C$20&lt;25%,"N/A",IF(H7&lt;=($D$20+$A$20),H7,"Descartado"))))</f>
        <v>Descartado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2.7258026340878</v>
      </c>
      <c r="B20" s="25" t="n">
        <f aca="false">COUNT(H3:H17)</f>
        <v>5</v>
      </c>
      <c r="C20" s="26" t="n">
        <f aca="false">IF(B20&lt;2,"N/A",(A20/D20))</f>
        <v>0.302866959343089</v>
      </c>
      <c r="D20" s="27" t="n">
        <f aca="false">ROUND(AVERAGE(H3:H17),2)</f>
        <v>9</v>
      </c>
      <c r="E20" s="28" t="n">
        <f aca="false">IFERROR(ROUND(IF(B20&lt;2,"N/A",(IF(C20&lt;=25%,"N/A",AVERAGE(I3:I17)))),2),"N/A")</f>
        <v>8</v>
      </c>
      <c r="F20" s="28" t="n">
        <f aca="false">ROUND(MEDIAN(H3:H17),2)</f>
        <v>8.9</v>
      </c>
      <c r="G20" s="29" t="str">
        <f aca="false">INDEX(G3:G17,MATCH(H20,H3:H17,0))</f>
        <v>PCI</v>
      </c>
      <c r="H20" s="30" t="n">
        <f aca="false">MIN(H3:H17)</f>
        <v>5.3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8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8000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7" activeCellId="0" sqref="G7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38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39</v>
      </c>
      <c r="C3" s="9" t="s">
        <v>40</v>
      </c>
      <c r="D3" s="10" t="n">
        <v>60</v>
      </c>
      <c r="E3" s="11" t="n">
        <f aca="false">IF(C20&lt;=25%,D20,MIN(E20:F20))</f>
        <v>1314.57</v>
      </c>
      <c r="F3" s="11" t="n">
        <f aca="false">MIN(H3:H17)</f>
        <v>1239</v>
      </c>
      <c r="G3" s="12" t="s">
        <v>41</v>
      </c>
      <c r="H3" s="13" t="n">
        <v>1239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42</v>
      </c>
      <c r="H4" s="13" t="n">
        <v>1262.37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43</v>
      </c>
      <c r="H5" s="13" t="n">
        <v>1281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44</v>
      </c>
      <c r="H6" s="13" t="n">
        <v>1475.89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108.913960078587</v>
      </c>
      <c r="B20" s="25" t="n">
        <f aca="false">COUNT(H3:H17)</f>
        <v>4</v>
      </c>
      <c r="C20" s="26" t="n">
        <f aca="false">IF(B20&lt;2,"N/A",(A20/D20))</f>
        <v>0.0828513963338482</v>
      </c>
      <c r="D20" s="27" t="n">
        <f aca="false">ROUND(AVERAGE(H3:H17),2)</f>
        <v>1314.57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1271.69</v>
      </c>
      <c r="G20" s="29" t="str">
        <f aca="false">INDEX(G3:G17,MATCH(H20,H3:H17,0))</f>
        <v>Lokarista</v>
      </c>
      <c r="H20" s="30" t="n">
        <f aca="false">MIN(H3:H17)</f>
        <v>1239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1314.57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78874.2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0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7" activeCellId="0" sqref="H7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152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153</v>
      </c>
      <c r="C3" s="9" t="s">
        <v>11</v>
      </c>
      <c r="D3" s="10" t="n">
        <v>60</v>
      </c>
      <c r="E3" s="11" t="n">
        <f aca="false">IF(C20&lt;=25%,D20,MIN(E20:F20))</f>
        <v>18.88</v>
      </c>
      <c r="F3" s="11" t="n">
        <f aca="false">MIN(H3:H17)</f>
        <v>15.5536699</v>
      </c>
      <c r="G3" s="12" t="s">
        <v>119</v>
      </c>
      <c r="H3" s="13" t="n">
        <f aca="false">21.139*1.0259</f>
        <v>21.6865001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154</v>
      </c>
      <c r="H4" s="13" t="n">
        <f aca="false">20.128*1.0259</f>
        <v>20.6493152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155</v>
      </c>
      <c r="H5" s="13" t="n">
        <f aca="false">15.161*1.0259</f>
        <v>15.5536699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156</v>
      </c>
      <c r="H6" s="13" t="n">
        <f aca="false">17.194*1.0259</f>
        <v>17.6393246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2.80539046999629</v>
      </c>
      <c r="B20" s="25" t="n">
        <f aca="false">COUNT(H3:H17)</f>
        <v>4</v>
      </c>
      <c r="C20" s="26" t="n">
        <f aca="false">IF(B20&lt;2,"N/A",(A20/D20))</f>
        <v>0.14859059692777</v>
      </c>
      <c r="D20" s="27" t="n">
        <f aca="false">ROUND(AVERAGE(H3:H17),2)</f>
        <v>18.88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19.14</v>
      </c>
      <c r="G20" s="29" t="str">
        <f aca="false">INDEX(G3:G17,MATCH(H20,H3:H17,0))</f>
        <v>Piu Shop</v>
      </c>
      <c r="H20" s="30" t="n">
        <f aca="false">MIN(H3:H17)</f>
        <v>15.5536699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18.88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1132.8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7" activeCellId="0" sqref="G7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157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158</v>
      </c>
      <c r="C3" s="9" t="s">
        <v>11</v>
      </c>
      <c r="D3" s="10" t="n">
        <v>200</v>
      </c>
      <c r="E3" s="11" t="n">
        <f aca="false">IF(C20&lt;=25%,D20,MIN(E20:F20))</f>
        <v>18.62</v>
      </c>
      <c r="F3" s="11" t="n">
        <f aca="false">MIN(H3:H17)</f>
        <v>15.9</v>
      </c>
      <c r="G3" s="12" t="s">
        <v>159</v>
      </c>
      <c r="H3" s="13" t="n">
        <v>16.76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160</v>
      </c>
      <c r="H4" s="13" t="n">
        <v>16.9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161</v>
      </c>
      <c r="H5" s="13" t="n">
        <v>15.9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162</v>
      </c>
      <c r="H6" s="13" t="n">
        <v>24.9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4.21326081161217</v>
      </c>
      <c r="B20" s="25" t="n">
        <f aca="false">COUNT(H3:H17)</f>
        <v>4</v>
      </c>
      <c r="C20" s="26" t="n">
        <f aca="false">IF(B20&lt;2,"N/A",(A20/D20))</f>
        <v>0.226276090849203</v>
      </c>
      <c r="D20" s="27" t="n">
        <f aca="false">ROUND(AVERAGE(H3:H17),2)</f>
        <v>18.62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16.83</v>
      </c>
      <c r="G20" s="29" t="str">
        <f aca="false">INDEX(G3:G17,MATCH(H20,H3:H17,0))</f>
        <v>Magazine Luiza</v>
      </c>
      <c r="H20" s="30" t="n">
        <f aca="false">MIN(H3:H17)</f>
        <v>15.9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18.62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3724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3" activeCellId="0" sqref="B3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163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164</v>
      </c>
      <c r="C3" s="9" t="s">
        <v>11</v>
      </c>
      <c r="D3" s="10" t="n">
        <v>10</v>
      </c>
      <c r="E3" s="11" t="n">
        <f aca="false">IF(C20&lt;=25%,D20,MIN(E20:F20))</f>
        <v>169.39</v>
      </c>
      <c r="F3" s="11" t="n">
        <f aca="false">MIN(H3:H17)</f>
        <v>134</v>
      </c>
      <c r="G3" s="12" t="s">
        <v>165</v>
      </c>
      <c r="H3" s="13" t="n">
        <v>189.91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166</v>
      </c>
      <c r="H4" s="13" t="n">
        <v>148.99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167</v>
      </c>
      <c r="H5" s="13" t="n">
        <v>134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168</v>
      </c>
      <c r="H6" s="13" t="n">
        <v>214.42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122</v>
      </c>
      <c r="H7" s="13" t="n">
        <v>152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177</v>
      </c>
      <c r="I8" s="14" t="str">
        <f aca="false">IF(H8="","",(IF($C$20&lt;25%,"N/A",IF(H8&lt;=($D$20+$A$20),H8,"Descartado"))))</f>
        <v>N/A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29.9255995205889</v>
      </c>
      <c r="B20" s="25" t="n">
        <f aca="false">COUNT(H3:H17)</f>
        <v>6</v>
      </c>
      <c r="C20" s="26" t="n">
        <f aca="false">IF(B20&lt;2,"N/A",(A20/D20))</f>
        <v>0.176666860620987</v>
      </c>
      <c r="D20" s="27" t="n">
        <f aca="false">ROUND(AVERAGE(H3:H17),2)</f>
        <v>169.39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164.5</v>
      </c>
      <c r="G20" s="29" t="str">
        <f aca="false">INDEX(G3:G17,MATCH(H20,H3:H17,0))</f>
        <v>MadeiraMadeira</v>
      </c>
      <c r="H20" s="30" t="n">
        <f aca="false">MIN(H3:H17)</f>
        <v>134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169.39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1693.9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7" activeCellId="0" sqref="G7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169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170</v>
      </c>
      <c r="C3" s="9" t="s">
        <v>11</v>
      </c>
      <c r="D3" s="10" t="n">
        <v>50</v>
      </c>
      <c r="E3" s="11" t="n">
        <f aca="false">IF(C20&lt;=25%,D20,MIN(E20:F20))</f>
        <v>23.97</v>
      </c>
      <c r="F3" s="11" t="n">
        <f aca="false">MIN(H3:H17)</f>
        <v>15</v>
      </c>
      <c r="G3" s="12" t="s">
        <v>171</v>
      </c>
      <c r="H3" s="13" t="n">
        <v>25.11</v>
      </c>
      <c r="I3" s="14" t="n">
        <f aca="false">IF(H3="","",(IF($C$20&lt;25%,"N/A",IF(H3&lt;=($D$20+$A$20),H3,"Descartado"))))</f>
        <v>25.11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172</v>
      </c>
      <c r="H4" s="13" t="n">
        <v>15</v>
      </c>
      <c r="I4" s="14" t="n">
        <f aca="false">IF(H4="","",(IF($C$20&lt;25%,"N/A",IF(H4&lt;=($D$20+$A$20),H4,"Descartado"))))</f>
        <v>15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173</v>
      </c>
      <c r="H5" s="13" t="n">
        <v>30.4</v>
      </c>
      <c r="I5" s="14" t="n">
        <f aca="false">IF(H5="","",(IF($C$20&lt;25%,"N/A",IF(H5&lt;=($D$20+$A$20),H5,"Descartado"))))</f>
        <v>30.4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168</v>
      </c>
      <c r="H6" s="13" t="n">
        <v>25.36</v>
      </c>
      <c r="I6" s="14" t="n">
        <f aca="false">IF(H6="","",(IF($C$20&lt;25%,"N/A",IF(H6&lt;=($D$20+$A$20),H6,"Descartado"))))</f>
        <v>25.36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6.45593977150759</v>
      </c>
      <c r="B20" s="25" t="n">
        <f aca="false">COUNT(H3:H17)</f>
        <v>4</v>
      </c>
      <c r="C20" s="26" t="n">
        <f aca="false">IF(B20&lt;2,"N/A",(A20/D20))</f>
        <v>0.269334158177205</v>
      </c>
      <c r="D20" s="27" t="n">
        <f aca="false">ROUND(AVERAGE(H3:H17),2)</f>
        <v>23.97</v>
      </c>
      <c r="E20" s="28" t="n">
        <f aca="false">IFERROR(ROUND(IF(B20&lt;2,"N/A",(IF(C20&lt;=25%,"N/A",AVERAGE(I3:I17)))),2),"N/A")</f>
        <v>23.97</v>
      </c>
      <c r="F20" s="28" t="n">
        <f aca="false">ROUND(MEDIAN(H3:H17),2)</f>
        <v>25.24</v>
      </c>
      <c r="G20" s="29" t="str">
        <f aca="false">INDEX(G3:G17,MATCH(H20,H3:H17,0))</f>
        <v>RCA Lâmpadas</v>
      </c>
      <c r="H20" s="30" t="n">
        <f aca="false">MIN(H3:H17)</f>
        <v>15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23.97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1198.5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7" activeCellId="0" sqref="H7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174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175</v>
      </c>
      <c r="C3" s="9" t="s">
        <v>11</v>
      </c>
      <c r="D3" s="10" t="n">
        <v>100</v>
      </c>
      <c r="E3" s="11" t="n">
        <f aca="false">IF(C20&lt;=25%,D20,MIN(E20:F20))</f>
        <v>29.54</v>
      </c>
      <c r="F3" s="11" t="n">
        <f aca="false">MIN(H3:H17)</f>
        <v>29.52</v>
      </c>
      <c r="G3" s="12" t="s">
        <v>51</v>
      </c>
      <c r="H3" s="12" t="n">
        <v>29.52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176</v>
      </c>
      <c r="H4" s="12" t="n">
        <v>29.53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59</v>
      </c>
      <c r="H5" s="12" t="n">
        <v>29.55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137</v>
      </c>
      <c r="H6" s="12" t="n">
        <v>29.55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2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0.0150000000000004</v>
      </c>
      <c r="B20" s="25" t="n">
        <f aca="false">COUNT(H3:H17)</f>
        <v>4</v>
      </c>
      <c r="C20" s="26" t="n">
        <f aca="false">IF(B20&lt;2,"N/A",(A20/D20))</f>
        <v>0.000507786052809762</v>
      </c>
      <c r="D20" s="27" t="n">
        <f aca="false">ROUND(AVERAGE(H3:H17),2)</f>
        <v>29.54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29.54</v>
      </c>
      <c r="G20" s="29" t="str">
        <f aca="false">INDEX(G3:G17,MATCH(H20,H3:H17,0))</f>
        <v>CNPJ 27.411.182/0001-40(PE n. 48/2017)</v>
      </c>
      <c r="H20" s="30" t="n">
        <f aca="false">MIN(H3:H17)</f>
        <v>29.52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29.54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2954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7" activeCellId="0" sqref="H7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177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178</v>
      </c>
      <c r="C3" s="9" t="s">
        <v>11</v>
      </c>
      <c r="D3" s="10" t="n">
        <v>100</v>
      </c>
      <c r="E3" s="11" t="n">
        <f aca="false">IF(C20&lt;=25%,D20,MIN(E20:F20))</f>
        <v>25.39</v>
      </c>
      <c r="F3" s="11" t="n">
        <f aca="false">MIN(H3:H17)</f>
        <v>25.38</v>
      </c>
      <c r="G3" s="12" t="s">
        <v>176</v>
      </c>
      <c r="H3" s="12" t="n">
        <v>25.38</v>
      </c>
      <c r="I3" s="14" t="n">
        <f aca="false">IF(H3="","",(IF($C$20&lt;25%,"N/A",IF(H3&lt;=($D$20+$A$20),H3,"Descartado"))))</f>
        <v>25.38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59</v>
      </c>
      <c r="H4" s="12" t="n">
        <v>25.39</v>
      </c>
      <c r="I4" s="14" t="n">
        <f aca="false">IF(H4="","",(IF($C$20&lt;25%,"N/A",IF(H4&lt;=($D$20+$A$20),H4,"Descartado"))))</f>
        <v>25.39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137</v>
      </c>
      <c r="H5" s="12" t="n">
        <v>25.39</v>
      </c>
      <c r="I5" s="14" t="n">
        <f aca="false">IF(H5="","",(IF($C$20&lt;25%,"N/A",IF(H5&lt;=($D$20+$A$20),H5,"Descartado"))))</f>
        <v>25.39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58</v>
      </c>
      <c r="H6" s="12" t="n">
        <v>48.81</v>
      </c>
      <c r="I6" s="14" t="str">
        <f aca="false">IF(H6="","",(IF($C$20&lt;25%,"N/A",IF(H6&lt;=($D$20+$A$20),H6,"Descartado"))))</f>
        <v>Descartado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11.7116676153882</v>
      </c>
      <c r="B20" s="25" t="n">
        <f aca="false">COUNT(H3:H17)</f>
        <v>4</v>
      </c>
      <c r="C20" s="26" t="n">
        <f aca="false">IF(B20&lt;2,"N/A",(A20/D20))</f>
        <v>0.374893329557882</v>
      </c>
      <c r="D20" s="27" t="n">
        <f aca="false">ROUND(AVERAGE(H3:H17),2)</f>
        <v>31.24</v>
      </c>
      <c r="E20" s="28" t="n">
        <f aca="false">IFERROR(ROUND(IF(B20&lt;2,"N/A",(IF(C20&lt;=25%,"N/A",AVERAGE(I3:I17)))),2),"N/A")</f>
        <v>25.39</v>
      </c>
      <c r="F20" s="28" t="n">
        <f aca="false">ROUND(MEDIAN(H3:H17),2)</f>
        <v>25.39</v>
      </c>
      <c r="G20" s="29" t="str">
        <f aca="false">INDEX(G3:G17,MATCH(H20,H3:H17,0))</f>
        <v>CNPJ 16.597.435/0001-03(PE n. 48/2017)</v>
      </c>
      <c r="H20" s="30" t="n">
        <f aca="false">MIN(H3:H17)</f>
        <v>25.38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25.39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2539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11" activeCellId="0" sqref="H11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179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180</v>
      </c>
      <c r="C3" s="9" t="s">
        <v>11</v>
      </c>
      <c r="D3" s="10" t="n">
        <v>15</v>
      </c>
      <c r="E3" s="11" t="n">
        <f aca="false">IF(C20&lt;=25%,D20,MIN(E20:F20))</f>
        <v>844.93</v>
      </c>
      <c r="F3" s="11" t="n">
        <f aca="false">MIN(H3:H17)</f>
        <v>698.86</v>
      </c>
      <c r="G3" s="12" t="s">
        <v>159</v>
      </c>
      <c r="H3" s="13" t="n">
        <v>773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143</v>
      </c>
      <c r="H4" s="13" t="n">
        <v>1099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181</v>
      </c>
      <c r="H5" s="13" t="n">
        <v>915.89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182</v>
      </c>
      <c r="H6" s="13" t="n">
        <v>737.9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42</v>
      </c>
      <c r="H7" s="13" t="n">
        <v>698.86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163.976124176662</v>
      </c>
      <c r="B20" s="25" t="n">
        <f aca="false">COUNT(H3:H17)</f>
        <v>5</v>
      </c>
      <c r="C20" s="26" t="n">
        <f aca="false">IF(B20&lt;2,"N/A",(A20/D20))</f>
        <v>0.194070661683999</v>
      </c>
      <c r="D20" s="27" t="n">
        <f aca="false">ROUND(AVERAGE(H3:H17),2)</f>
        <v>844.93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773</v>
      </c>
      <c r="G20" s="29" t="str">
        <f aca="false">INDEX(G3:G17,MATCH(H20,H3:H17,0))</f>
        <v>Net Computadores</v>
      </c>
      <c r="H20" s="30" t="n">
        <f aca="false">MIN(H3:H17)</f>
        <v>698.86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844.93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12673.95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6" activeCellId="0" sqref="H6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183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184</v>
      </c>
      <c r="C3" s="9" t="s">
        <v>11</v>
      </c>
      <c r="D3" s="10" t="n">
        <v>15</v>
      </c>
      <c r="E3" s="11" t="n">
        <f aca="false">IF(C20&lt;=25%,D20,MIN(E20:F20))</f>
        <v>92.56</v>
      </c>
      <c r="F3" s="11" t="n">
        <f aca="false">MIN(H3:H17)</f>
        <v>86.64</v>
      </c>
      <c r="G3" s="12" t="s">
        <v>185</v>
      </c>
      <c r="H3" s="12" t="n">
        <v>259.31</v>
      </c>
      <c r="I3" s="14" t="str">
        <f aca="false">IF(H3="","",(IF($C$20&lt;25%,"N/A",IF(H3&lt;=($D$20+$A$20),H3,"Descartado"))))</f>
        <v>Descartado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186</v>
      </c>
      <c r="H4" s="12" t="n">
        <v>86.64</v>
      </c>
      <c r="I4" s="14" t="n">
        <f aca="false">IF(H4="","",(IF($C$20&lt;25%,"N/A",IF(H4&lt;=($D$20+$A$20),H4,"Descartado"))))</f>
        <v>86.64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187</v>
      </c>
      <c r="H5" s="12" t="n">
        <v>98.47</v>
      </c>
      <c r="I5" s="14" t="n">
        <f aca="false">IF(H5="","",(IF($C$20&lt;25%,"N/A",IF(H5&lt;=($D$20+$A$20),H5,"Descartado"))))</f>
        <v>98.47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96.4575756485721</v>
      </c>
      <c r="B20" s="25" t="n">
        <f aca="false">COUNT(H3:H17)</f>
        <v>3</v>
      </c>
      <c r="C20" s="26" t="n">
        <f aca="false">IF(B20&lt;2,"N/A",(A20/D20))</f>
        <v>0.651124447472473</v>
      </c>
      <c r="D20" s="27" t="n">
        <f aca="false">ROUND(AVERAGE(H3:H17),2)</f>
        <v>148.14</v>
      </c>
      <c r="E20" s="28" t="n">
        <f aca="false">IFERROR(ROUND(IF(B20&lt;2,"N/A",(IF(C20&lt;=25%,"N/A",AVERAGE(I3:I17)))),2),"N/A")</f>
        <v>92.56</v>
      </c>
      <c r="F20" s="28" t="n">
        <f aca="false">ROUND(MEDIAN(H3:H17),2)</f>
        <v>98.47</v>
      </c>
      <c r="G20" s="29" t="str">
        <f aca="false">INDEX(G3:G17,MATCH(H20,H3:H17,0))</f>
        <v>Casa Mimosa</v>
      </c>
      <c r="H20" s="30" t="n">
        <f aca="false">MIN(H3:H17)</f>
        <v>86.64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92.56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1388.4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8" activeCellId="0" sqref="H8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188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189</v>
      </c>
      <c r="C3" s="9" t="s">
        <v>11</v>
      </c>
      <c r="D3" s="10" t="n">
        <v>10</v>
      </c>
      <c r="E3" s="11" t="n">
        <f aca="false">IF(C20&lt;=25%,D20,MIN(E20:F20))</f>
        <v>29.21</v>
      </c>
      <c r="F3" s="11" t="n">
        <f aca="false">MIN(H3:H17)</f>
        <v>23.86</v>
      </c>
      <c r="G3" s="12" t="s">
        <v>190</v>
      </c>
      <c r="H3" s="12" t="n">
        <v>24.92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191</v>
      </c>
      <c r="H4" s="12" t="n">
        <v>23.86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192</v>
      </c>
      <c r="H5" s="12" t="n">
        <v>32.17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193</v>
      </c>
      <c r="H6" s="12" t="n">
        <v>40.31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194</v>
      </c>
      <c r="H7" s="12" t="n">
        <v>24.79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7.04511532907729</v>
      </c>
      <c r="B20" s="25" t="n">
        <f aca="false">COUNT(H3:H17)</f>
        <v>5</v>
      </c>
      <c r="C20" s="26" t="n">
        <f aca="false">IF(B20&lt;2,"N/A",(A20/D20))</f>
        <v>0.241188474121098</v>
      </c>
      <c r="D20" s="27" t="n">
        <f aca="false">ROUND(AVERAGE(H3:H17),2)</f>
        <v>29.21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24.92</v>
      </c>
      <c r="G20" s="29" t="str">
        <f aca="false">INDEX(G3:G17,MATCH(H20,H3:H17,0))</f>
        <v>Drive Store</v>
      </c>
      <c r="H20" s="30" t="n">
        <f aca="false">MIN(H3:H17)</f>
        <v>23.86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29.21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292.1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6" activeCellId="0" sqref="H6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195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196</v>
      </c>
      <c r="C3" s="9" t="s">
        <v>11</v>
      </c>
      <c r="D3" s="10" t="n">
        <v>100</v>
      </c>
      <c r="E3" s="11" t="n">
        <f aca="false">IF(C20&lt;=25%,D20,MIN(E20:F20))</f>
        <v>48.68</v>
      </c>
      <c r="F3" s="11" t="n">
        <f aca="false">MIN(H3:H17)</f>
        <v>13.55</v>
      </c>
      <c r="G3" s="12" t="s">
        <v>197</v>
      </c>
      <c r="H3" s="12" t="n">
        <v>13.55</v>
      </c>
      <c r="I3" s="14" t="n">
        <f aca="false">IF(H3="","",(IF($C$20&lt;25%,"N/A",IF(H3&lt;=($D$20+$A$20),H3,"Descartado"))))</f>
        <v>13.55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198</v>
      </c>
      <c r="H4" s="12" t="n">
        <v>65.95</v>
      </c>
      <c r="I4" s="14" t="n">
        <f aca="false">IF(H4="","",(IF($C$20&lt;25%,"N/A",IF(H4&lt;=($D$20+$A$20),H4,"Descartado"))))</f>
        <v>65.95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199</v>
      </c>
      <c r="H5" s="12" t="n">
        <v>66.53</v>
      </c>
      <c r="I5" s="14" t="n">
        <f aca="false">IF(H5="","",(IF($C$20&lt;25%,"N/A",IF(H5&lt;=($D$20+$A$20),H5,"Descartado"))))</f>
        <v>66.53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30.4219679398512</v>
      </c>
      <c r="B20" s="25" t="n">
        <f aca="false">COUNT(H3:H17)</f>
        <v>3</v>
      </c>
      <c r="C20" s="26" t="n">
        <f aca="false">IF(B20&lt;2,"N/A",(A20/D20))</f>
        <v>0.624937714458734</v>
      </c>
      <c r="D20" s="27" t="n">
        <f aca="false">ROUND(AVERAGE(H3:H17),2)</f>
        <v>48.68</v>
      </c>
      <c r="E20" s="28" t="n">
        <f aca="false">IFERROR(ROUND(IF(B20&lt;2,"N/A",(IF(C20&lt;=25%,"N/A",AVERAGE(I3:I17)))),2),"N/A")</f>
        <v>48.68</v>
      </c>
      <c r="F20" s="28" t="n">
        <f aca="false">ROUND(MEDIAN(H3:H17),2)</f>
        <v>65.95</v>
      </c>
      <c r="G20" s="29" t="str">
        <f aca="false">INDEX(G3:G17,MATCH(H20,H3:H17,0))</f>
        <v>CNPJ 22.818.385/0001-31(PE n. 44/2017)</v>
      </c>
      <c r="H20" s="30" t="n">
        <f aca="false">MIN(H3:H17)</f>
        <v>13.55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48.68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4868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7" activeCellId="0" sqref="H7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45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46</v>
      </c>
      <c r="C3" s="9" t="s">
        <v>47</v>
      </c>
      <c r="D3" s="10" t="n">
        <v>10</v>
      </c>
      <c r="E3" s="11" t="n">
        <f aca="false">IF(C20&lt;=25%,D20,MIN(E20:F20))</f>
        <v>361.29</v>
      </c>
      <c r="F3" s="11" t="n">
        <f aca="false">MIN(H3:H17)</f>
        <v>286.2240482</v>
      </c>
      <c r="G3" s="12" t="s">
        <v>48</v>
      </c>
      <c r="H3" s="13" t="n">
        <f aca="false">473.353*1.0259</f>
        <v>485.6128427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49</v>
      </c>
      <c r="H4" s="13" t="n">
        <f aca="false">278.998*1.0259</f>
        <v>286.2240482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50</v>
      </c>
      <c r="H5" s="13" t="n">
        <f aca="false">279.104*1.0259</f>
        <v>286.3327936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51</v>
      </c>
      <c r="H6" s="13" t="n">
        <f aca="false">359.441*1.0259</f>
        <v>368.7505219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52</v>
      </c>
      <c r="H7" s="13" t="n">
        <f aca="false">369.96*1.0259</f>
        <v>379.541964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82.3080231131739</v>
      </c>
      <c r="B20" s="25" t="n">
        <f aca="false">COUNT(H3:H17)</f>
        <v>5</v>
      </c>
      <c r="C20" s="26" t="n">
        <f aca="false">IF(B20&lt;2,"N/A",(A20/D20))</f>
        <v>0.227817053096332</v>
      </c>
      <c r="D20" s="27" t="n">
        <f aca="false">ROUND(AVERAGE(H3:H17),2)</f>
        <v>361.29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368.75</v>
      </c>
      <c r="G20" s="29" t="str">
        <f aca="false">INDEX(G3:G17,MATCH(H20,H3:H17,0))</f>
        <v>CNPJ 22.356.205/0001-47 (PE n. 48/2017)</v>
      </c>
      <c r="H20" s="30" t="n">
        <f aca="false">MIN(H3:H17)</f>
        <v>286.2240482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361.29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3612.9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0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3" activeCellId="0" sqref="H3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200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201</v>
      </c>
      <c r="C3" s="9" t="s">
        <v>11</v>
      </c>
      <c r="D3" s="10" t="n">
        <v>200</v>
      </c>
      <c r="E3" s="11" t="n">
        <f aca="false">IF(C20&lt;=25%,D20,MIN(E20:F20))</f>
        <v>4</v>
      </c>
      <c r="F3" s="11" t="n">
        <f aca="false">MIN(H3:H17)</f>
        <v>3.87</v>
      </c>
      <c r="G3" s="12" t="s">
        <v>202</v>
      </c>
      <c r="H3" s="12" t="n">
        <v>4.07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203</v>
      </c>
      <c r="H4" s="12" t="n">
        <v>3.87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204</v>
      </c>
      <c r="H5" s="12" t="n">
        <v>4.07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0.115470053837925</v>
      </c>
      <c r="B20" s="25" t="n">
        <f aca="false">COUNT(H3:H17)</f>
        <v>3</v>
      </c>
      <c r="C20" s="26" t="n">
        <f aca="false">IF(B20&lt;2,"N/A",(A20/D20))</f>
        <v>0.0288675134594813</v>
      </c>
      <c r="D20" s="27" t="n">
        <f aca="false">ROUND(AVERAGE(H3:H17),2)</f>
        <v>4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4.07</v>
      </c>
      <c r="G20" s="29" t="str">
        <f aca="false">INDEX(G3:G17,MATCH(H20,H3:H17,0))</f>
        <v>UNESPUMA</v>
      </c>
      <c r="H20" s="30" t="n">
        <f aca="false">MIN(H3:H17)</f>
        <v>3.87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800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11" activeCellId="0" sqref="H11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205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206</v>
      </c>
      <c r="C3" s="9" t="s">
        <v>11</v>
      </c>
      <c r="D3" s="10" t="n">
        <v>200</v>
      </c>
      <c r="E3" s="11" t="n">
        <f aca="false">IF(C20&lt;=25%,D20,MIN(E20:F20))</f>
        <v>7.97</v>
      </c>
      <c r="F3" s="11" t="n">
        <f aca="false">MIN(H3:H17)</f>
        <v>6.48</v>
      </c>
      <c r="G3" s="12" t="s">
        <v>207</v>
      </c>
      <c r="H3" s="12" t="n">
        <v>7.07</v>
      </c>
      <c r="I3" s="14" t="n">
        <f aca="false">IF(H3="","",(IF($C$20&lt;25%,"N/A",IF(H3&lt;=($D$20+$A$20),H3,"Descartado"))))</f>
        <v>7.07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208</v>
      </c>
      <c r="H4" s="12" t="n">
        <v>15.34</v>
      </c>
      <c r="I4" s="14" t="str">
        <f aca="false">IF(H4="","",(IF($C$20&lt;25%,"N/A",IF(H4&lt;=($D$20+$A$20),H4,"Descartado"))))</f>
        <v>Descartado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209</v>
      </c>
      <c r="H5" s="12" t="n">
        <v>10.65</v>
      </c>
      <c r="I5" s="14" t="n">
        <f aca="false">IF(H5="","",(IF($C$20&lt;25%,"N/A",IF(H5&lt;=($D$20+$A$20),H5,"Descartado"))))</f>
        <v>10.65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210</v>
      </c>
      <c r="H6" s="12" t="n">
        <v>6.88</v>
      </c>
      <c r="I6" s="14" t="n">
        <f aca="false">IF(H6="","",(IF($C$20&lt;25%,"N/A",IF(H6&lt;=($D$20+$A$20),H6,"Descartado"))))</f>
        <v>6.88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211</v>
      </c>
      <c r="H7" s="12" t="n">
        <v>6.48</v>
      </c>
      <c r="I7" s="14" t="n">
        <f aca="false">IF(H7="","",(IF($C$20&lt;25%,"N/A",IF(H7&lt;=($D$20+$A$20),H7,"Descartado"))))</f>
        <v>6.48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212</v>
      </c>
      <c r="H8" s="12" t="n">
        <v>7.19</v>
      </c>
      <c r="I8" s="14" t="n">
        <f aca="false">IF(H8="","",(IF($C$20&lt;25%,"N/A",IF(H8&lt;=($D$20+$A$20),H8,"Descartado"))))</f>
        <v>7.19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213</v>
      </c>
      <c r="H9" s="12" t="n">
        <v>8.74</v>
      </c>
      <c r="I9" s="14" t="n">
        <f aca="false">IF(H9="","",(IF($C$20&lt;25%,"N/A",IF(H9&lt;=($D$20+$A$20),H9,"Descartado"))))</f>
        <v>8.74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214</v>
      </c>
      <c r="H10" s="12" t="n">
        <v>8.85</v>
      </c>
      <c r="I10" s="14" t="n">
        <f aca="false">IF(H10="","",(IF($C$20&lt;25%,"N/A",IF(H10&lt;=($D$20+$A$20),H10,"Descartado"))))</f>
        <v>8.85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2.94652337509818</v>
      </c>
      <c r="B20" s="25" t="n">
        <f aca="false">COUNT(H3:H17)</f>
        <v>8</v>
      </c>
      <c r="C20" s="26" t="n">
        <f aca="false">IF(B20&lt;2,"N/A",(A20/D20))</f>
        <v>0.331070042145863</v>
      </c>
      <c r="D20" s="27" t="n">
        <f aca="false">ROUND(AVERAGE(H3:H17),2)</f>
        <v>8.9</v>
      </c>
      <c r="E20" s="28" t="n">
        <f aca="false">IFERROR(ROUND(IF(B20&lt;2,"N/A",(IF(C20&lt;=25%,"N/A",AVERAGE(I3:I17)))),2),"N/A")</f>
        <v>7.98</v>
      </c>
      <c r="F20" s="28" t="n">
        <f aca="false">ROUND(MEDIAN(H3:H17),2)</f>
        <v>7.97</v>
      </c>
      <c r="G20" s="29" t="str">
        <f aca="false">INDEX(G3:G17,MATCH(H20,H3:H17,0))</f>
        <v>CNPJ 26.469.541/0001-57(PE n. 44/2017)</v>
      </c>
      <c r="H20" s="30" t="n">
        <f aca="false">MIN(H3:H17)</f>
        <v>6.48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7.97</v>
      </c>
    </row>
    <row r="23" customFormat="false" ht="12.75" hidden="false" customHeight="false" outlineLevel="0" collapsed="false">
      <c r="B23" s="31" t="n">
        <f aca="false">14.95/14.66</f>
        <v>1.01978171896317</v>
      </c>
      <c r="C23" s="31"/>
      <c r="D23" s="35"/>
      <c r="E23" s="35"/>
      <c r="F23" s="39"/>
      <c r="G23" s="6" t="s">
        <v>25</v>
      </c>
      <c r="H23" s="30" t="n">
        <f aca="false">ROUND(H22,2)*D3</f>
        <v>1594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8" activeCellId="0" sqref="H8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215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216</v>
      </c>
      <c r="C3" s="9" t="s">
        <v>11</v>
      </c>
      <c r="D3" s="10" t="n">
        <v>100</v>
      </c>
      <c r="E3" s="11" t="n">
        <f aca="false">IF(C20&lt;=25%,D20,MIN(E20:F20))</f>
        <v>26.97</v>
      </c>
      <c r="F3" s="11" t="n">
        <f aca="false">MIN(H3:H17)</f>
        <v>20.29</v>
      </c>
      <c r="G3" s="12" t="s">
        <v>162</v>
      </c>
      <c r="H3" s="12" t="n">
        <v>38.29</v>
      </c>
      <c r="I3" s="14" t="str">
        <f aca="false">IF(H3="","",(IF($C$20&lt;25%,"N/A",IF(H3&lt;=($D$20+$A$20),H3,"Descartado"))))</f>
        <v>Descartado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217</v>
      </c>
      <c r="H4" s="12" t="n">
        <v>25.36</v>
      </c>
      <c r="I4" s="14" t="n">
        <f aca="false">IF(H4="","",(IF($C$20&lt;25%,"N/A",IF(H4&lt;=($D$20+$A$20),H4,"Descartado"))))</f>
        <v>25.36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218</v>
      </c>
      <c r="H5" s="12" t="n">
        <v>37.25</v>
      </c>
      <c r="I5" s="14" t="n">
        <f aca="false">IF(H5="","",(IF($C$20&lt;25%,"N/A",IF(H5&lt;=($D$20+$A$20),H5,"Descartado"))))</f>
        <v>37.25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77</v>
      </c>
      <c r="H6" s="12" t="n">
        <v>26.97</v>
      </c>
      <c r="I6" s="14" t="n">
        <f aca="false">IF(H6="","",(IF($C$20&lt;25%,"N/A",IF(H6&lt;=($D$20+$A$20),H6,"Descartado"))))</f>
        <v>26.97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197</v>
      </c>
      <c r="H7" s="12" t="n">
        <v>20.29</v>
      </c>
      <c r="I7" s="14" t="n">
        <f aca="false">IF(H7="","",(IF($C$20&lt;25%,"N/A",IF(H7&lt;=($D$20+$A$20),H7,"Descartado"))))</f>
        <v>20.29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7.8358802951551</v>
      </c>
      <c r="B20" s="25" t="n">
        <f aca="false">COUNT(H3:H17)</f>
        <v>5</v>
      </c>
      <c r="C20" s="26" t="n">
        <f aca="false">IF(B20&lt;2,"N/A",(A20/D20))</f>
        <v>0.264457654240807</v>
      </c>
      <c r="D20" s="27" t="n">
        <f aca="false">ROUND(AVERAGE(H3:H17),2)</f>
        <v>29.63</v>
      </c>
      <c r="E20" s="28" t="n">
        <f aca="false">IFERROR(ROUND(IF(B20&lt;2,"N/A",(IF(C20&lt;=25%,"N/A",AVERAGE(I3:I17)))),2),"N/A")</f>
        <v>27.47</v>
      </c>
      <c r="F20" s="28" t="n">
        <f aca="false">ROUND(MEDIAN(H3:H17),2)</f>
        <v>26.97</v>
      </c>
      <c r="G20" s="29" t="str">
        <f aca="false">INDEX(G3:G17,MATCH(H20,H3:H17,0))</f>
        <v>CNPJ 22.818.385/0001-31(PE n. 44/2017)</v>
      </c>
      <c r="H20" s="30" t="n">
        <f aca="false">MIN(H3:H17)</f>
        <v>20.29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26.97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2697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8" activeCellId="0" sqref="H8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219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220</v>
      </c>
      <c r="C3" s="9" t="s">
        <v>221</v>
      </c>
      <c r="D3" s="10" t="n">
        <v>50</v>
      </c>
      <c r="E3" s="11" t="n">
        <f aca="false">IF(C20&lt;=25%,D20,MIN(E20:F20))</f>
        <v>3.38</v>
      </c>
      <c r="F3" s="11" t="n">
        <f aca="false">MIN(H3:H17)</f>
        <v>2.99</v>
      </c>
      <c r="G3" s="12" t="s">
        <v>222</v>
      </c>
      <c r="H3" s="12" t="n">
        <v>4.81</v>
      </c>
      <c r="I3" s="14" t="n">
        <f aca="false">IF(H3="","",(IF($C$20&lt;25%,"N/A",IF(H3&lt;=($D$20+$A$20),H3,"Descartado"))))</f>
        <v>4.81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223</v>
      </c>
      <c r="H4" s="12" t="n">
        <v>3.38</v>
      </c>
      <c r="I4" s="14" t="n">
        <f aca="false">IF(H4="","",(IF($C$20&lt;25%,"N/A",IF(H4&lt;=($D$20+$A$20),H4,"Descartado"))))</f>
        <v>3.38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224</v>
      </c>
      <c r="H5" s="12" t="n">
        <v>5.18</v>
      </c>
      <c r="I5" s="14" t="str">
        <f aca="false">IF(H5="","",(IF($C$20&lt;25%,"N/A",IF(H5&lt;=($D$20+$A$20),H5,"Descartado"))))</f>
        <v>Descartado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225</v>
      </c>
      <c r="H6" s="12" t="n">
        <v>2.99</v>
      </c>
      <c r="I6" s="14" t="n">
        <f aca="false">IF(H6="","",(IF($C$20&lt;25%,"N/A",IF(H6&lt;=($D$20+$A$20),H6,"Descartado"))))</f>
        <v>2.99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197</v>
      </c>
      <c r="H7" s="12" t="n">
        <v>3.29</v>
      </c>
      <c r="I7" s="14" t="n">
        <f aca="false">IF(H7="","",(IF($C$20&lt;25%,"N/A",IF(H7&lt;=($D$20+$A$20),H7,"Descartado"))))</f>
        <v>3.29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0.991539207495094</v>
      </c>
      <c r="B20" s="25" t="n">
        <f aca="false">COUNT(H3:H17)</f>
        <v>5</v>
      </c>
      <c r="C20" s="26" t="n">
        <f aca="false">IF(B20&lt;2,"N/A",(A20/D20))</f>
        <v>0.252300052797734</v>
      </c>
      <c r="D20" s="27" t="n">
        <f aca="false">ROUND(AVERAGE(H3:H17),2)</f>
        <v>3.93</v>
      </c>
      <c r="E20" s="28" t="n">
        <f aca="false">IFERROR(ROUND(IF(B20&lt;2,"N/A",(IF(C20&lt;=25%,"N/A",AVERAGE(I3:I17)))),2),"N/A")</f>
        <v>3.62</v>
      </c>
      <c r="F20" s="28" t="n">
        <f aca="false">ROUND(MEDIAN(H3:H17),2)</f>
        <v>3.38</v>
      </c>
      <c r="G20" s="29" t="str">
        <f aca="false">INDEX(G3:G17,MATCH(H20,H3:H17,0))</f>
        <v>Breithaupt.com</v>
      </c>
      <c r="H20" s="30" t="n">
        <f aca="false">MIN(H3:H17)</f>
        <v>2.99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3.38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169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6" activeCellId="0" sqref="H6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226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227</v>
      </c>
      <c r="C3" s="9" t="s">
        <v>11</v>
      </c>
      <c r="D3" s="10" t="n">
        <v>50</v>
      </c>
      <c r="E3" s="11" t="n">
        <f aca="false">IF(C20&lt;=25%,D20,MIN(E20:F20))</f>
        <v>5.53</v>
      </c>
      <c r="F3" s="11" t="n">
        <f aca="false">MIN(H3:H17)</f>
        <v>2.72</v>
      </c>
      <c r="G3" s="12" t="s">
        <v>228</v>
      </c>
      <c r="H3" s="12" t="n">
        <v>7.33</v>
      </c>
      <c r="I3" s="14" t="n">
        <f aca="false">IF(H3="","",(IF($C$20&lt;25%,"N/A",IF(H3&lt;=($D$20+$A$20),H3,"Descartado"))))</f>
        <v>7.33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193</v>
      </c>
      <c r="H4" s="12" t="n">
        <v>6.53</v>
      </c>
      <c r="I4" s="14" t="n">
        <f aca="false">IF(H4="","",(IF($C$20&lt;25%,"N/A",IF(H4&lt;=($D$20+$A$20),H4,"Descartado"))))</f>
        <v>6.53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229</v>
      </c>
      <c r="H5" s="12" t="n">
        <v>2.72</v>
      </c>
      <c r="I5" s="14" t="n">
        <f aca="false">IF(H5="","",(IF($C$20&lt;25%,"N/A",IF(H5&lt;=($D$20+$A$20),H5,"Descartado"))))</f>
        <v>2.72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2.46333784392911</v>
      </c>
      <c r="B20" s="25" t="n">
        <f aca="false">COUNT(H3:H17)</f>
        <v>3</v>
      </c>
      <c r="C20" s="26" t="n">
        <f aca="false">IF(B20&lt;2,"N/A",(A20/D20))</f>
        <v>0.445449881361503</v>
      </c>
      <c r="D20" s="27" t="n">
        <f aca="false">ROUND(AVERAGE(H3:H17),2)</f>
        <v>5.53</v>
      </c>
      <c r="E20" s="28" t="n">
        <f aca="false">IFERROR(ROUND(IF(B20&lt;2,"N/A",(IF(C20&lt;=25%,"N/A",AVERAGE(I3:I17)))),2),"N/A")</f>
        <v>5.53</v>
      </c>
      <c r="F20" s="28" t="n">
        <f aca="false">ROUND(MEDIAN(H3:H17),2)</f>
        <v>6.53</v>
      </c>
      <c r="G20" s="29" t="str">
        <f aca="false">INDEX(G3:G17,MATCH(H20,H3:H17,0))</f>
        <v>CNPJ 22.818.385/0001-31 (PE n.44/2017)</v>
      </c>
      <c r="H20" s="30" t="n">
        <f aca="false">MIN(H3:H17)</f>
        <v>2.72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5.53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276.5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7" activeCellId="0" sqref="H7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230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231</v>
      </c>
      <c r="C3" s="9" t="s">
        <v>11</v>
      </c>
      <c r="D3" s="10" t="n">
        <v>200</v>
      </c>
      <c r="E3" s="11" t="n">
        <f aca="false">IF(C20&lt;=25%,D20,MIN(E20:F20))</f>
        <v>29.24</v>
      </c>
      <c r="F3" s="11" t="n">
        <f aca="false">MIN(H3:H17)</f>
        <v>23.76</v>
      </c>
      <c r="G3" s="12" t="s">
        <v>232</v>
      </c>
      <c r="H3" s="12" t="n">
        <v>34.14</v>
      </c>
      <c r="I3" s="14" t="n">
        <f aca="false">IF(H3="","",(IF($C$20&lt;25%,"N/A",IF(H3&lt;=($D$20+$A$20),H3,"Descartado"))))</f>
        <v>34.14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119</v>
      </c>
      <c r="H4" s="12" t="n">
        <v>23.76</v>
      </c>
      <c r="I4" s="14" t="n">
        <f aca="false">IF(H4="","",(IF($C$20&lt;25%,"N/A",IF(H4&lt;=($D$20+$A$20),H4,"Descartado"))))</f>
        <v>23.76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233</v>
      </c>
      <c r="H5" s="12" t="n">
        <v>34.14</v>
      </c>
      <c r="I5" s="14" t="n">
        <f aca="false">IF(H5="","",(IF($C$20&lt;25%,"N/A",IF(H5&lt;=($D$20+$A$20),H5,"Descartado"))))</f>
        <v>34.14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234</v>
      </c>
      <c r="H6" s="12" t="n">
        <v>24.91</v>
      </c>
      <c r="I6" s="14" t="n">
        <f aca="false">IF(H6="","",(IF($C$20&lt;25%,"N/A",IF(H6&lt;=($D$20+$A$20),H6,"Descartado"))))</f>
        <v>24.91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235</v>
      </c>
      <c r="H7" s="12" t="n">
        <v>53.55</v>
      </c>
      <c r="I7" s="14" t="str">
        <f aca="false">IF(H7="","",(IF($C$20&lt;25%,"N/A",IF(H7&lt;=($D$20+$A$20),H7,"Descartado"))))</f>
        <v>Descartado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11.9339578514422</v>
      </c>
      <c r="B20" s="25" t="n">
        <f aca="false">COUNT(H3:H17)</f>
        <v>5</v>
      </c>
      <c r="C20" s="26" t="n">
        <f aca="false">IF(B20&lt;2,"N/A",(A20/D20))</f>
        <v>0.349969438458717</v>
      </c>
      <c r="D20" s="27" t="n">
        <f aca="false">ROUND(AVERAGE(H3:H17),2)</f>
        <v>34.1</v>
      </c>
      <c r="E20" s="28" t="n">
        <f aca="false">IFERROR(ROUND(IF(B20&lt;2,"N/A",(IF(C20&lt;=25%,"N/A",AVERAGE(I3:I17)))),2),"N/A")</f>
        <v>29.24</v>
      </c>
      <c r="F20" s="28" t="n">
        <f aca="false">ROUND(MEDIAN(H3:H17),2)</f>
        <v>34.14</v>
      </c>
      <c r="G20" s="29" t="str">
        <f aca="false">INDEX(G3:G17,MATCH(H20,H3:H17,0))</f>
        <v>Olist</v>
      </c>
      <c r="H20" s="30" t="n">
        <f aca="false">MIN(H3:H17)</f>
        <v>23.76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29.24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5848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6" activeCellId="0" sqref="H6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236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237</v>
      </c>
      <c r="C3" s="9" t="s">
        <v>11</v>
      </c>
      <c r="D3" s="10" t="n">
        <v>50</v>
      </c>
      <c r="E3" s="11" t="n">
        <f aca="false">IF(C20&lt;=25%,D20,MIN(E20:F20))</f>
        <v>63.24</v>
      </c>
      <c r="F3" s="11" t="n">
        <f aca="false">MIN(H3:H17)</f>
        <v>16.04</v>
      </c>
      <c r="G3" s="12" t="s">
        <v>198</v>
      </c>
      <c r="H3" s="12" t="n">
        <v>76.03</v>
      </c>
      <c r="I3" s="14" t="n">
        <f aca="false">IF(H3="","",(IF($C$20&lt;25%,"N/A",IF(H3&lt;=($D$20+$A$20),H3,"Descartado"))))</f>
        <v>76.03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211</v>
      </c>
      <c r="H4" s="12" t="n">
        <v>16.04</v>
      </c>
      <c r="I4" s="14" t="n">
        <f aca="false">IF(H4="","",(IF($C$20&lt;25%,"N/A",IF(H4&lt;=($D$20+$A$20),H4,"Descartado"))))</f>
        <v>16.04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238</v>
      </c>
      <c r="H5" s="12" t="n">
        <v>97.65</v>
      </c>
      <c r="I5" s="14" t="n">
        <f aca="false">IF(H5="","",(IF($C$20&lt;25%,"N/A",IF(H5&lt;=($D$20+$A$20),H5,"Descartado"))))</f>
        <v>97.65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42.2816283981589</v>
      </c>
      <c r="B20" s="25" t="n">
        <f aca="false">COUNT(H3:H17)</f>
        <v>3</v>
      </c>
      <c r="C20" s="26" t="n">
        <f aca="false">IF(B20&lt;2,"N/A",(A20/D20))</f>
        <v>0.668589949370002</v>
      </c>
      <c r="D20" s="27" t="n">
        <f aca="false">ROUND(AVERAGE(H3:H17),2)</f>
        <v>63.24</v>
      </c>
      <c r="E20" s="28" t="n">
        <f aca="false">IFERROR(ROUND(IF(B20&lt;2,"N/A",(IF(C20&lt;=25%,"N/A",AVERAGE(I3:I17)))),2),"N/A")</f>
        <v>63.24</v>
      </c>
      <c r="F20" s="28" t="n">
        <f aca="false">ROUND(MEDIAN(H3:H17),2)</f>
        <v>76.03</v>
      </c>
      <c r="G20" s="29" t="str">
        <f aca="false">INDEX(G3:G17,MATCH(H20,H3:H17,0))</f>
        <v>CNPJ 26.469.541/0001-57(PE n. 44/2017)</v>
      </c>
      <c r="H20" s="30" t="n">
        <f aca="false">MIN(H3:H17)</f>
        <v>16.04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63.24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3162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5" activeCellId="0" sqref="H5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239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240</v>
      </c>
      <c r="C3" s="9" t="s">
        <v>11</v>
      </c>
      <c r="D3" s="10" t="n">
        <v>50</v>
      </c>
      <c r="E3" s="11" t="n">
        <f aca="false">IF(C20&lt;=25%,D20,MIN(E20:F20))</f>
        <v>100.43</v>
      </c>
      <c r="F3" s="11" t="n">
        <f aca="false">MIN(H3:H17)</f>
        <v>72.61</v>
      </c>
      <c r="G3" s="12" t="s">
        <v>241</v>
      </c>
      <c r="H3" s="12" t="n">
        <v>122.13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242</v>
      </c>
      <c r="H4" s="12" t="n">
        <v>72.61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243</v>
      </c>
      <c r="H5" s="12" t="n">
        <v>105.29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212</v>
      </c>
      <c r="H6" s="12" t="n">
        <v>100.7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244</v>
      </c>
      <c r="H7" s="12" t="n">
        <v>100.75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238</v>
      </c>
      <c r="H8" s="12" t="n">
        <v>100.77</v>
      </c>
      <c r="I8" s="14" t="str">
        <f aca="false">IF(H8="","",(IF($C$20&lt;25%,"N/A",IF(H8&lt;=($D$20+$A$20),H8,"Descartado"))))</f>
        <v>N/A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245</v>
      </c>
      <c r="H9" s="12" t="n">
        <v>100.78</v>
      </c>
      <c r="I9" s="14" t="str">
        <f aca="false">IF(H9="","",(IF($C$20&lt;25%,"N/A",IF(H9&lt;=($D$20+$A$20),H9,"Descartado"))))</f>
        <v>N/A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14.5423252545638</v>
      </c>
      <c r="B20" s="25" t="n">
        <f aca="false">COUNT(H3:H17)</f>
        <v>7</v>
      </c>
      <c r="C20" s="26" t="n">
        <f aca="false">IF(B20&lt;2,"N/A",(A20/D20))</f>
        <v>0.14480060992297</v>
      </c>
      <c r="D20" s="27" t="n">
        <f aca="false">ROUND(AVERAGE(H3:H17),2)</f>
        <v>100.43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100.77</v>
      </c>
      <c r="G20" s="29" t="str">
        <f aca="false">INDEX(G3:G17,MATCH(H20,H3:H17,0))</f>
        <v>Casa das Torneiras</v>
      </c>
      <c r="H20" s="30" t="n">
        <f aca="false">MIN(H3:H17)</f>
        <v>72.61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100.43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5021.5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6" activeCellId="0" sqref="H6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246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247</v>
      </c>
      <c r="C3" s="9" t="s">
        <v>11</v>
      </c>
      <c r="D3" s="10" t="n">
        <v>50</v>
      </c>
      <c r="E3" s="11" t="n">
        <f aca="false">IF(C20&lt;=25%,D20,MIN(E20:F20))</f>
        <v>4.39</v>
      </c>
      <c r="F3" s="11" t="n">
        <f aca="false">MIN(H3:H17)</f>
        <v>4.25</v>
      </c>
      <c r="G3" s="12" t="s">
        <v>248</v>
      </c>
      <c r="H3" s="12" t="n">
        <v>11.94</v>
      </c>
      <c r="I3" s="14" t="str">
        <f aca="false">IF(H3="","",(IF($C$20&lt;25%,"N/A",IF(H3&lt;=($D$20+$A$20),H3,"Descartado"))))</f>
        <v>Descartado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249</v>
      </c>
      <c r="H4" s="12" t="n">
        <v>4.52</v>
      </c>
      <c r="I4" s="14" t="n">
        <f aca="false">IF(H4="","",(IF($C$20&lt;25%,"N/A",IF(H4&lt;=($D$20+$A$20),H4,"Descartado"))))</f>
        <v>4.52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250</v>
      </c>
      <c r="H5" s="12" t="n">
        <v>4.25</v>
      </c>
      <c r="I5" s="14" t="n">
        <f aca="false">IF(H5="","",(IF($C$20&lt;25%,"N/A",IF(H5&lt;=($D$20+$A$20),H5,"Descartado"))))</f>
        <v>4.25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2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4.3639699051819</v>
      </c>
      <c r="B20" s="25" t="n">
        <f aca="false">COUNT(H3:H17)</f>
        <v>3</v>
      </c>
      <c r="C20" s="26" t="n">
        <f aca="false">IF(B20&lt;2,"N/A",(A20/D20))</f>
        <v>0.632459406548101</v>
      </c>
      <c r="D20" s="27" t="n">
        <f aca="false">ROUND(AVERAGE(H3:H17),2)</f>
        <v>6.9</v>
      </c>
      <c r="E20" s="28" t="n">
        <f aca="false">IFERROR(ROUND(IF(B20&lt;2,"N/A",(IF(C20&lt;=25%,"N/A",AVERAGE(I3:I17)))),2),"N/A")</f>
        <v>4.39</v>
      </c>
      <c r="F20" s="28" t="n">
        <f aca="false">ROUND(MEDIAN(H3:H17),2)</f>
        <v>4.52</v>
      </c>
      <c r="G20" s="29" t="str">
        <f aca="false">INDEX(G3:G17,MATCH(H20,H3:H17,0))</f>
        <v>Lizot Ferragens ( Americanas.com)</v>
      </c>
      <c r="H20" s="30" t="n">
        <f aca="false">MIN(H3:H17)</f>
        <v>4.25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4.39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219.5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7" activeCellId="0" sqref="H7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251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252</v>
      </c>
      <c r="C3" s="9" t="s">
        <v>11</v>
      </c>
      <c r="D3" s="10" t="n">
        <v>20</v>
      </c>
      <c r="E3" s="11" t="n">
        <f aca="false">IF(C20&lt;=25%,D20,MIN(E20:F20))</f>
        <v>24.17</v>
      </c>
      <c r="F3" s="11" t="n">
        <f aca="false">MIN(H3:H17)</f>
        <v>22.81</v>
      </c>
      <c r="G3" s="12" t="s">
        <v>253</v>
      </c>
      <c r="H3" s="12" t="n">
        <v>22.81</v>
      </c>
      <c r="I3" s="14" t="n">
        <f aca="false">IF(H3="","",(IF($C$20&lt;25%,"N/A",IF(H3&lt;=($D$20+$A$20),H3,"Descartado"))))</f>
        <v>22.81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254</v>
      </c>
      <c r="H4" s="12" t="n">
        <v>23.89</v>
      </c>
      <c r="I4" s="14" t="n">
        <f aca="false">IF(H4="","",(IF($C$20&lt;25%,"N/A",IF(H4&lt;=($D$20+$A$20),H4,"Descartado"))))</f>
        <v>23.89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255</v>
      </c>
      <c r="H5" s="12" t="n">
        <v>25.81</v>
      </c>
      <c r="I5" s="14" t="n">
        <f aca="false">IF(H5="","",(IF($C$20&lt;25%,"N/A",IF(H5&lt;=($D$20+$A$20),H5,"Descartado"))))</f>
        <v>25.81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256</v>
      </c>
      <c r="H6" s="12" t="n">
        <v>39.93</v>
      </c>
      <c r="I6" s="14" t="str">
        <f aca="false">IF(H6="","",(IF($C$20&lt;25%,"N/A",IF(H6&lt;=($D$20+$A$20),H6,"Descartado"))))</f>
        <v>Descartado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7.97706713021772</v>
      </c>
      <c r="B20" s="25" t="n">
        <f aca="false">COUNT(H3:H17)</f>
        <v>4</v>
      </c>
      <c r="C20" s="26" t="n">
        <f aca="false">IF(B20&lt;2,"N/A",(A20/D20))</f>
        <v>0.283780403067155</v>
      </c>
      <c r="D20" s="27" t="n">
        <f aca="false">ROUND(AVERAGE(H3:H17),2)</f>
        <v>28.11</v>
      </c>
      <c r="E20" s="28" t="n">
        <f aca="false">IFERROR(ROUND(IF(B20&lt;2,"N/A",(IF(C20&lt;=25%,"N/A",AVERAGE(I3:I17)))),2),"N/A")</f>
        <v>24.17</v>
      </c>
      <c r="F20" s="28" t="n">
        <f aca="false">ROUND(MEDIAN(H3:H17),2)</f>
        <v>24.85</v>
      </c>
      <c r="G20" s="29" t="str">
        <f aca="false">INDEX(G3:G17,MATCH(H20,H3:H17,0))</f>
        <v>CNPJ 05.255.236/0001-92(PE n. 44/2017)</v>
      </c>
      <c r="H20" s="30" t="n">
        <f aca="false">MIN(H3:H17)</f>
        <v>22.81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24.17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483.4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8" activeCellId="0" sqref="H8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53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54</v>
      </c>
      <c r="C3" s="9" t="s">
        <v>47</v>
      </c>
      <c r="D3" s="10" t="n">
        <v>10</v>
      </c>
      <c r="E3" s="11" t="n">
        <f aca="false">IF(C20&lt;=25%,D20,MIN(E20:F20))</f>
        <v>545.58</v>
      </c>
      <c r="F3" s="11" t="n">
        <f aca="false">MIN(H3:H17)</f>
        <v>488.0667955</v>
      </c>
      <c r="G3" s="12" t="s">
        <v>48</v>
      </c>
      <c r="H3" s="13" t="n">
        <f aca="false">578.441*1.0259</f>
        <v>593.4226219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55</v>
      </c>
      <c r="H4" s="13" t="n">
        <f aca="false">475.745*1.0259</f>
        <v>488.0667955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50</v>
      </c>
      <c r="H5" s="13" t="n">
        <f aca="false">507.461*1.0259</f>
        <v>520.6042399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52</v>
      </c>
      <c r="H6" s="13" t="n">
        <f aca="false">518.023*1.0259</f>
        <v>531.4397957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51</v>
      </c>
      <c r="H7" s="13" t="n">
        <f aca="false">579.341*1.0259</f>
        <v>594.3459319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46.9002536278394</v>
      </c>
      <c r="B20" s="25" t="n">
        <f aca="false">COUNT(H3:H17)</f>
        <v>5</v>
      </c>
      <c r="C20" s="26" t="n">
        <f aca="false">IF(B20&lt;2,"N/A",(A20/D20))</f>
        <v>0.0859640265915895</v>
      </c>
      <c r="D20" s="27" t="n">
        <f aca="false">ROUND(AVERAGE(H3:H17),2)</f>
        <v>545.58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531.44</v>
      </c>
      <c r="G20" s="29" t="str">
        <f aca="false">INDEX(G3:G17,MATCH(H20,H3:H17,0))</f>
        <v>CNPJ 22.356.205/0001-47(PE n. 48/2017)</v>
      </c>
      <c r="H20" s="30" t="n">
        <f aca="false">MIN(H3:H17)</f>
        <v>488.0667955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545.58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5455.8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0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6" activeCellId="0" sqref="H6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257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258</v>
      </c>
      <c r="C3" s="9" t="s">
        <v>221</v>
      </c>
      <c r="D3" s="10" t="n">
        <v>10</v>
      </c>
      <c r="E3" s="11" t="n">
        <f aca="false">IF(C20&lt;=25%,D20,MIN(E20:F20))</f>
        <v>32.44</v>
      </c>
      <c r="F3" s="11" t="n">
        <f aca="false">MIN(H3:H17)</f>
        <v>27.91</v>
      </c>
      <c r="G3" s="12" t="s">
        <v>119</v>
      </c>
      <c r="H3" s="12" t="n">
        <v>34.14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259</v>
      </c>
      <c r="H4" s="12" t="n">
        <v>27.91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224</v>
      </c>
      <c r="H5" s="12" t="n">
        <v>35.27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3.96357162165641</v>
      </c>
      <c r="B20" s="25" t="n">
        <f aca="false">COUNT(H3:H17)</f>
        <v>3</v>
      </c>
      <c r="C20" s="26" t="n">
        <f aca="false">IF(B20&lt;2,"N/A",(A20/D20))</f>
        <v>0.122181615957349</v>
      </c>
      <c r="D20" s="27" t="n">
        <f aca="false">ROUND(AVERAGE(H3:H17),2)</f>
        <v>32.44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34.14</v>
      </c>
      <c r="G20" s="29" t="str">
        <f aca="false">INDEX(G3:G17,MATCH(H20,H3:H17,0))</f>
        <v>Advanced Vacumm</v>
      </c>
      <c r="H20" s="30" t="n">
        <f aca="false">MIN(H3:H17)</f>
        <v>27.91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32.44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324.4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6" activeCellId="0" sqref="H6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260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261</v>
      </c>
      <c r="C3" s="9" t="s">
        <v>11</v>
      </c>
      <c r="D3" s="10" t="n">
        <v>60</v>
      </c>
      <c r="E3" s="11" t="n">
        <f aca="false">IF(C20&lt;=25%,D20,MIN(E20:F20))</f>
        <v>78.76</v>
      </c>
      <c r="F3" s="11" t="n">
        <f aca="false">MIN(H3:H17)</f>
        <v>74.11</v>
      </c>
      <c r="G3" s="12" t="s">
        <v>212</v>
      </c>
      <c r="H3" s="12" t="n">
        <v>74.11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238</v>
      </c>
      <c r="H4" s="12" t="n">
        <v>77.32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211</v>
      </c>
      <c r="H5" s="12" t="n">
        <v>84.85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5.51290304649011</v>
      </c>
      <c r="B20" s="25" t="n">
        <f aca="false">COUNT(H3:H17)</f>
        <v>3</v>
      </c>
      <c r="C20" s="26" t="n">
        <f aca="false">IF(B20&lt;2,"N/A",(A20/D20))</f>
        <v>0.069996229640555</v>
      </c>
      <c r="D20" s="27" t="n">
        <f aca="false">ROUND(AVERAGE(H3:H17),2)</f>
        <v>78.76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77.32</v>
      </c>
      <c r="G20" s="29" t="str">
        <f aca="false">INDEX(G3:G17,MATCH(H20,H3:H17,0))</f>
        <v>CNPJ 18.641.075/0001-17(PE n. 44/2017)</v>
      </c>
      <c r="H20" s="30" t="n">
        <f aca="false">MIN(H3:H17)</f>
        <v>74.11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78.76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4725.6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7" activeCellId="0" sqref="H7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262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263</v>
      </c>
      <c r="C3" s="9" t="s">
        <v>11</v>
      </c>
      <c r="D3" s="10" t="n">
        <v>40</v>
      </c>
      <c r="E3" s="11" t="n">
        <f aca="false">IF(C20&lt;=25%,D20,MIN(E20:F20))</f>
        <v>302.17</v>
      </c>
      <c r="F3" s="11" t="n">
        <f aca="false">MIN(H3:H17)</f>
        <v>282.24</v>
      </c>
      <c r="G3" s="12" t="s">
        <v>264</v>
      </c>
      <c r="H3" s="12" t="n">
        <v>282.24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265</v>
      </c>
      <c r="H4" s="12" t="n">
        <v>303.47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266</v>
      </c>
      <c r="H5" s="12" t="n">
        <v>303.47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243</v>
      </c>
      <c r="H6" s="12" t="n">
        <v>319.48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15.2776623429983</v>
      </c>
      <c r="B20" s="25" t="n">
        <f aca="false">COUNT(H3:H17)</f>
        <v>4</v>
      </c>
      <c r="C20" s="26" t="n">
        <f aca="false">IF(B20&lt;2,"N/A",(A20/D20))</f>
        <v>0.050559825075283</v>
      </c>
      <c r="D20" s="27" t="n">
        <f aca="false">ROUND(AVERAGE(H3:H17),2)</f>
        <v>302.17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303.47</v>
      </c>
      <c r="G20" s="29" t="str">
        <f aca="false">INDEX(G3:G17,MATCH(H20,H3:H17,0))</f>
        <v>Lojas Guapore</v>
      </c>
      <c r="H20" s="30" t="n">
        <f aca="false">MIN(H3:H17)</f>
        <v>282.24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302.17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12086.8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7" activeCellId="0" sqref="H7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267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268</v>
      </c>
      <c r="C3" s="9" t="s">
        <v>11</v>
      </c>
      <c r="D3" s="10" t="n">
        <v>60</v>
      </c>
      <c r="E3" s="11" t="n">
        <f aca="false">IF(C20&lt;=25%,D20,MIN(E20:F20))</f>
        <v>367.64</v>
      </c>
      <c r="F3" s="11" t="n">
        <f aca="false">MIN(H3:H17)</f>
        <v>136.18</v>
      </c>
      <c r="G3" s="12" t="s">
        <v>264</v>
      </c>
      <c r="H3" s="12" t="n">
        <v>136.18</v>
      </c>
      <c r="I3" s="14" t="n">
        <f aca="false">IF(H3="","",(IF($C$20&lt;25%,"N/A",IF(H3&lt;=($D$20+$A$20),H3,"Descartado"))))</f>
        <v>136.18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269</v>
      </c>
      <c r="H4" s="12" t="n">
        <v>441.44</v>
      </c>
      <c r="I4" s="14" t="n">
        <f aca="false">IF(H4="","",(IF($C$20&lt;25%,"N/A",IF(H4&lt;=($D$20+$A$20),H4,"Descartado"))))</f>
        <v>441.44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270</v>
      </c>
      <c r="H5" s="12" t="n">
        <v>441.44</v>
      </c>
      <c r="I5" s="14" t="n">
        <f aca="false">IF(H5="","",(IF($C$20&lt;25%,"N/A",IF(H5&lt;=($D$20+$A$20),H5,"Descartado"))))</f>
        <v>441.44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271</v>
      </c>
      <c r="H6" s="12" t="n">
        <v>451.51</v>
      </c>
      <c r="I6" s="14" t="n">
        <f aca="false">IF(H6="","",(IF($C$20&lt;25%,"N/A",IF(H6&lt;=($D$20+$A$20),H6,"Descartado"))))</f>
        <v>451.51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154.381333581276</v>
      </c>
      <c r="B20" s="25" t="n">
        <f aca="false">COUNT(H3:H17)</f>
        <v>4</v>
      </c>
      <c r="C20" s="26" t="n">
        <f aca="false">IF(B20&lt;2,"N/A",(A20/D20))</f>
        <v>0.419925289906638</v>
      </c>
      <c r="D20" s="27" t="n">
        <f aca="false">ROUND(AVERAGE(H3:H17),2)</f>
        <v>367.64</v>
      </c>
      <c r="E20" s="28" t="n">
        <f aca="false">IFERROR(ROUND(IF(B20&lt;2,"N/A",(IF(C20&lt;=25%,"N/A",AVERAGE(I3:I17)))),2),"N/A")</f>
        <v>367.64</v>
      </c>
      <c r="F20" s="28" t="n">
        <f aca="false">ROUND(MEDIAN(H3:H17),2)</f>
        <v>441.44</v>
      </c>
      <c r="G20" s="29" t="str">
        <f aca="false">INDEX(G3:G17,MATCH(H20,H3:H17,0))</f>
        <v>Lojas Guapore</v>
      </c>
      <c r="H20" s="30" t="n">
        <f aca="false">MIN(H3:H17)</f>
        <v>136.18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367.64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22058.4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6" activeCellId="0" sqref="H6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272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273</v>
      </c>
      <c r="C3" s="9" t="s">
        <v>11</v>
      </c>
      <c r="D3" s="10" t="n">
        <v>35</v>
      </c>
      <c r="E3" s="11" t="n">
        <f aca="false">IF(C20&lt;=25%,D20,MIN(E20:F20))</f>
        <v>409.44</v>
      </c>
      <c r="F3" s="11" t="n">
        <f aca="false">MIN(H3:H17)</f>
        <v>386.01</v>
      </c>
      <c r="G3" s="12" t="s">
        <v>274</v>
      </c>
      <c r="H3" s="12" t="n">
        <v>386.01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275</v>
      </c>
      <c r="H4" s="12" t="n">
        <v>394.31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276</v>
      </c>
      <c r="H5" s="12" t="n">
        <v>448.01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33.6565496350017</v>
      </c>
      <c r="B20" s="25" t="n">
        <f aca="false">COUNT(H3:H17)</f>
        <v>3</v>
      </c>
      <c r="C20" s="26" t="n">
        <f aca="false">IF(B20&lt;2,"N/A",(A20/D20))</f>
        <v>0.0822014205622355</v>
      </c>
      <c r="D20" s="27" t="n">
        <f aca="false">ROUND(AVERAGE(H3:H17),2)</f>
        <v>409.44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394.31</v>
      </c>
      <c r="G20" s="29" t="str">
        <f aca="false">INDEX(G3:G17,MATCH(H20,H3:H17,0))</f>
        <v>Lojas Guaporé</v>
      </c>
      <c r="H20" s="30" t="n">
        <f aca="false">MIN(H3:H17)</f>
        <v>386.01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409.44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14330.4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6" activeCellId="0" sqref="H6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277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278</v>
      </c>
      <c r="C3" s="9" t="s">
        <v>11</v>
      </c>
      <c r="D3" s="10" t="n">
        <v>30</v>
      </c>
      <c r="E3" s="11" t="n">
        <f aca="false">IF(C20&lt;=25%,D20,MIN(E20:F20))</f>
        <v>817.2</v>
      </c>
      <c r="F3" s="11" t="n">
        <f aca="false">MIN(H3:H17)</f>
        <v>796.91</v>
      </c>
      <c r="G3" s="12" t="s">
        <v>276</v>
      </c>
      <c r="H3" s="12" t="n">
        <v>856.59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271</v>
      </c>
      <c r="H4" s="12" t="n">
        <v>798.11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274</v>
      </c>
      <c r="H5" s="12" t="n">
        <v>796.91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34.115130563041</v>
      </c>
      <c r="B20" s="25" t="n">
        <f aca="false">COUNT(H3:H17)</f>
        <v>3</v>
      </c>
      <c r="C20" s="26" t="n">
        <f aca="false">IF(B20&lt;2,"N/A",(A20/D20))</f>
        <v>0.0417463663277545</v>
      </c>
      <c r="D20" s="27" t="n">
        <f aca="false">ROUND(AVERAGE(H3:H17),2)</f>
        <v>817.2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798.11</v>
      </c>
      <c r="G20" s="29" t="str">
        <f aca="false">INDEX(G3:G17,MATCH(H20,H3:H17,0))</f>
        <v>Lojas Guaporé</v>
      </c>
      <c r="H20" s="30" t="n">
        <f aca="false">MIN(H3:H17)</f>
        <v>796.91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817.2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24516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6" activeCellId="0" sqref="H6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279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280</v>
      </c>
      <c r="C3" s="9" t="s">
        <v>11</v>
      </c>
      <c r="D3" s="10" t="n">
        <v>20</v>
      </c>
      <c r="E3" s="11" t="n">
        <f aca="false">IF(C20&lt;=25%,D20,MIN(E20:F20))</f>
        <v>90.45</v>
      </c>
      <c r="F3" s="11" t="n">
        <f aca="false">MIN(H3:H17)</f>
        <v>72.62</v>
      </c>
      <c r="G3" s="12" t="s">
        <v>275</v>
      </c>
      <c r="H3" s="12" t="n">
        <v>72.62</v>
      </c>
      <c r="I3" s="14" t="n">
        <f aca="false">IF(H3="","",(IF($C$20&lt;25%,"N/A",IF(H3&lt;=($D$20+$A$20),H3,"Descartado"))))</f>
        <v>72.62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281</v>
      </c>
      <c r="H4" s="12" t="n">
        <v>108.28</v>
      </c>
      <c r="I4" s="14" t="n">
        <f aca="false">IF(H4="","",(IF($C$20&lt;25%,"N/A",IF(H4&lt;=($D$20+$A$20),H4,"Descartado"))))</f>
        <v>108.28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282</v>
      </c>
      <c r="H5" s="12" t="n">
        <v>165.92</v>
      </c>
      <c r="I5" s="14" t="str">
        <f aca="false">IF(H5="","",(IF($C$20&lt;25%,"N/A",IF(H5&lt;=($D$20+$A$20),H5,"Descartado"))))</f>
        <v>Descartado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47.0795341240048</v>
      </c>
      <c r="B20" s="25" t="n">
        <f aca="false">COUNT(H3:H17)</f>
        <v>3</v>
      </c>
      <c r="C20" s="26" t="n">
        <f aca="false">IF(B20&lt;2,"N/A",(A20/D20))</f>
        <v>0.407227178652407</v>
      </c>
      <c r="D20" s="27" t="n">
        <f aca="false">ROUND(AVERAGE(H3:H17),2)</f>
        <v>115.61</v>
      </c>
      <c r="E20" s="28" t="n">
        <f aca="false">IFERROR(ROUND(IF(B20&lt;2,"N/A",(IF(C20&lt;=25%,"N/A",AVERAGE(I3:I17)))),2),"N/A")</f>
        <v>90.45</v>
      </c>
      <c r="F20" s="28" t="n">
        <f aca="false">ROUND(MEDIAN(H3:H17),2)</f>
        <v>108.28</v>
      </c>
      <c r="G20" s="29" t="str">
        <f aca="false">INDEX(G3:G17,MATCH(H20,H3:H17,0))</f>
        <v>Casa e Construção</v>
      </c>
      <c r="H20" s="30" t="n">
        <f aca="false">MIN(H3:H17)</f>
        <v>72.62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90.45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1809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7" activeCellId="0" sqref="H7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283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284</v>
      </c>
      <c r="C3" s="9" t="s">
        <v>11</v>
      </c>
      <c r="D3" s="10" t="n">
        <v>10</v>
      </c>
      <c r="E3" s="11" t="n">
        <f aca="false">IF(C20&lt;=25%,D20,MIN(E20:F20))</f>
        <v>30.36</v>
      </c>
      <c r="F3" s="11" t="n">
        <f aca="false">MIN(H3:H17)</f>
        <v>13.43</v>
      </c>
      <c r="G3" s="12" t="s">
        <v>78</v>
      </c>
      <c r="H3" s="12" t="n">
        <v>34.37</v>
      </c>
      <c r="I3" s="14" t="n">
        <f aca="false">IF(H3="","",(IF($C$20&lt;25%,"N/A",IF(H3&lt;=($D$20+$A$20),H3,"Descartado"))))</f>
        <v>34.37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285</v>
      </c>
      <c r="H4" s="12" t="n">
        <v>35.89</v>
      </c>
      <c r="I4" s="14" t="n">
        <f aca="false">IF(H4="","",(IF($C$20&lt;25%,"N/A",IF(H4&lt;=($D$20+$A$20),H4,"Descartado"))))</f>
        <v>35.89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286</v>
      </c>
      <c r="H5" s="12" t="n">
        <v>37.73</v>
      </c>
      <c r="I5" s="14" t="n">
        <f aca="false">IF(H5="","",(IF($C$20&lt;25%,"N/A",IF(H5&lt;=($D$20+$A$20),H5,"Descartado"))))</f>
        <v>37.73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186</v>
      </c>
      <c r="H6" s="12" t="n">
        <v>13.43</v>
      </c>
      <c r="I6" s="14" t="n">
        <f aca="false">IF(H6="","",(IF($C$20&lt;25%,"N/A",IF(H6&lt;=($D$20+$A$20),H6,"Descartado"))))</f>
        <v>13.43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11.3666573802504</v>
      </c>
      <c r="B20" s="25" t="n">
        <f aca="false">COUNT(H3:H17)</f>
        <v>4</v>
      </c>
      <c r="C20" s="26" t="n">
        <f aca="false">IF(B20&lt;2,"N/A",(A20/D20))</f>
        <v>0.374395829389011</v>
      </c>
      <c r="D20" s="27" t="n">
        <f aca="false">ROUND(AVERAGE(H3:H17),2)</f>
        <v>30.36</v>
      </c>
      <c r="E20" s="28" t="n">
        <f aca="false">IFERROR(ROUND(IF(B20&lt;2,"N/A",(IF(C20&lt;=25%,"N/A",AVERAGE(I3:I17)))),2),"N/A")</f>
        <v>30.36</v>
      </c>
      <c r="F20" s="28" t="n">
        <f aca="false">ROUND(MEDIAN(H3:H17),2)</f>
        <v>35.13</v>
      </c>
      <c r="G20" s="29" t="str">
        <f aca="false">INDEX(G3:G17,MATCH(H20,H3:H17,0))</f>
        <v>Casa Mimosa</v>
      </c>
      <c r="H20" s="30" t="n">
        <f aca="false">MIN(H3:H17)</f>
        <v>13.43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30.36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303.6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6" activeCellId="0" sqref="H6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287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288</v>
      </c>
      <c r="C3" s="9" t="s">
        <v>11</v>
      </c>
      <c r="D3" s="10" t="n">
        <v>50</v>
      </c>
      <c r="E3" s="11" t="n">
        <f aca="false">IF(C20&lt;=25%,D20,MIN(E20:F20))</f>
        <v>0.59</v>
      </c>
      <c r="F3" s="11" t="n">
        <f aca="false">MIN(H3:H17)</f>
        <v>0.25</v>
      </c>
      <c r="G3" s="12" t="s">
        <v>289</v>
      </c>
      <c r="H3" s="12" t="n">
        <v>0.67</v>
      </c>
      <c r="I3" s="14" t="n">
        <f aca="false">IF(H3="","",(IF($C$20&lt;25%,"N/A",IF(H3&lt;=($D$20+$A$20),H3,"Descartado"))))</f>
        <v>0.67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290</v>
      </c>
      <c r="H4" s="12" t="n">
        <v>0.25</v>
      </c>
      <c r="I4" s="14" t="n">
        <f aca="false">IF(H4="","",(IF($C$20&lt;25%,"N/A",IF(H4&lt;=($D$20+$A$20),H4,"Descartado"))))</f>
        <v>0.25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291</v>
      </c>
      <c r="H5" s="12" t="n">
        <v>0.86</v>
      </c>
      <c r="I5" s="14" t="n">
        <f aca="false">IF(H5="","",(IF($C$20&lt;25%,"N/A",IF(H5&lt;=($D$20+$A$20),H5,"Descartado"))))</f>
        <v>0.86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0.312143129562919</v>
      </c>
      <c r="B20" s="25" t="n">
        <f aca="false">COUNT(H3:H17)</f>
        <v>3</v>
      </c>
      <c r="C20" s="26" t="n">
        <f aca="false">IF(B20&lt;2,"N/A",(A20/D20))</f>
        <v>0.529056151801558</v>
      </c>
      <c r="D20" s="27" t="n">
        <f aca="false">ROUND(AVERAGE(H3:H17),2)</f>
        <v>0.59</v>
      </c>
      <c r="E20" s="28" t="n">
        <f aca="false">IFERROR(ROUND(IF(B20&lt;2,"N/A",(IF(C20&lt;=25%,"N/A",AVERAGE(I3:I17)))),2),"N/A")</f>
        <v>0.59</v>
      </c>
      <c r="F20" s="28" t="n">
        <f aca="false">ROUND(MEDIAN(H3:H17),2)</f>
        <v>0.67</v>
      </c>
      <c r="G20" s="29" t="str">
        <f aca="false">INDEX(G3:G17,MATCH(H20,H3:H17,0))</f>
        <v>A MEGALOJA</v>
      </c>
      <c r="H20" s="30" t="n">
        <f aca="false">MIN(H3:H17)</f>
        <v>0.25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0.59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29.5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3" activeCellId="0" sqref="B3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292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293</v>
      </c>
      <c r="C3" s="9" t="s">
        <v>11</v>
      </c>
      <c r="D3" s="10" t="n">
        <v>8</v>
      </c>
      <c r="E3" s="11" t="n">
        <f aca="false">IF(C20&lt;=25%,D20,MIN(E20:F20))</f>
        <v>1390.49</v>
      </c>
      <c r="F3" s="11" t="n">
        <f aca="false">MIN(H3:H17)</f>
        <v>1390.49</v>
      </c>
      <c r="G3" s="12" t="s">
        <v>294</v>
      </c>
      <c r="H3" s="12" t="n">
        <v>1390.49</v>
      </c>
      <c r="I3" s="14" t="e">
        <f aca="false">IF(H3="","",(IF($C$20&lt;25%,"N/A",IF(H3&lt;=($D$20+$A$20),H3,"Descartado"))))</f>
        <v>#VALUE!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/>
      <c r="H4" s="12"/>
      <c r="I4" s="14" t="str">
        <f aca="false">IF(H4="","",(IF($C$20&lt;25%,"N/A",IF(H4&lt;=($D$20+$A$20),H4,"Descartado"))))</f>
        <v/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2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str">
        <f aca="false">IF(B20&lt;2,"N/A",(STDEV(H3:H17)))</f>
        <v>N/A</v>
      </c>
      <c r="B20" s="25" t="n">
        <f aca="false">COUNT(H3:H17)</f>
        <v>1</v>
      </c>
      <c r="C20" s="26" t="str">
        <f aca="false">IF(B20&lt;2,"N/A",(A20/D20))</f>
        <v>N/A</v>
      </c>
      <c r="D20" s="27" t="n">
        <f aca="false">ROUND(AVERAGE(H3:H17),2)</f>
        <v>1390.49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1390.49</v>
      </c>
      <c r="G20" s="29" t="str">
        <f aca="false">INDEX(G3:G17,MATCH(H20,H3:H17,0))</f>
        <v>Alpina Equipamentos</v>
      </c>
      <c r="H20" s="30" t="n">
        <f aca="false">MIN(H3:H17)</f>
        <v>1390.49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1390.49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11123.92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8" activeCellId="0" sqref="H8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56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57</v>
      </c>
      <c r="C3" s="9" t="s">
        <v>47</v>
      </c>
      <c r="D3" s="10" t="n">
        <v>10</v>
      </c>
      <c r="E3" s="11" t="n">
        <f aca="false">IF(C20&lt;=25%,D20,MIN(E20:F20))</f>
        <v>779.2</v>
      </c>
      <c r="F3" s="11" t="n">
        <f aca="false">MIN(H3:H17)</f>
        <v>672.446673</v>
      </c>
      <c r="G3" s="12" t="s">
        <v>48</v>
      </c>
      <c r="H3" s="13" t="n">
        <f aca="false">905.135*1.0259</f>
        <v>928.5779965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50</v>
      </c>
      <c r="H4" s="13" t="n">
        <f aca="false">655.47*1.0259</f>
        <v>672.446673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55</v>
      </c>
      <c r="H5" s="13" t="n">
        <f aca="false">664.985*1.0259</f>
        <v>682.2081115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58</v>
      </c>
      <c r="H6" s="13" t="n">
        <f aca="false">781.278*1.0259</f>
        <v>801.5131002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59</v>
      </c>
      <c r="H7" s="13" t="n">
        <f aca="false">790.793*1.0259</f>
        <v>811.2745387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105.645794389409</v>
      </c>
      <c r="B20" s="25" t="n">
        <f aca="false">COUNT(H3:H17)</f>
        <v>5</v>
      </c>
      <c r="C20" s="26" t="n">
        <f aca="false">IF(B20&lt;2,"N/A",(A20/D20))</f>
        <v>0.135582384996675</v>
      </c>
      <c r="D20" s="27" t="n">
        <f aca="false">ROUND(AVERAGE(H3:H17),2)</f>
        <v>779.2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801.51</v>
      </c>
      <c r="G20" s="29" t="str">
        <f aca="false">INDEX(G3:G17,MATCH(H20,H3:H17,0))</f>
        <v>CNPJ 24.616.322/0001-28(PE n. 48/2017)</v>
      </c>
      <c r="H20" s="30" t="n">
        <f aca="false">MIN(H3:H17)</f>
        <v>672.446673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779.2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7792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0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4" activeCellId="0" sqref="H4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295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296</v>
      </c>
      <c r="C3" s="9" t="s">
        <v>297</v>
      </c>
      <c r="D3" s="10" t="n">
        <v>20</v>
      </c>
      <c r="E3" s="11" t="n">
        <f aca="false">IF(C20&lt;=25%,D20,MIN(E20:F20))</f>
        <v>15.08</v>
      </c>
      <c r="F3" s="11" t="n">
        <f aca="false">MIN(H3:H17)</f>
        <v>15.08</v>
      </c>
      <c r="G3" s="12" t="s">
        <v>298</v>
      </c>
      <c r="H3" s="12" t="n">
        <v>15.08</v>
      </c>
      <c r="I3" s="14" t="e">
        <f aca="false">IF(H3="","",(IF($C$20&lt;25%,"N/A",IF(H3&lt;=($D$20+$A$20),H3,"Descartado"))))</f>
        <v>#VALUE!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/>
      <c r="H4" s="12"/>
      <c r="I4" s="14" t="str">
        <f aca="false">IF(H4="","",(IF($C$20&lt;25%,"N/A",IF(H4&lt;=($D$20+$A$20),H4,"Descartado"))))</f>
        <v/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2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str">
        <f aca="false">IF(B20&lt;2,"N/A",(STDEV(H3:H17)))</f>
        <v>N/A</v>
      </c>
      <c r="B20" s="25" t="n">
        <f aca="false">COUNT(H3:H17)</f>
        <v>1</v>
      </c>
      <c r="C20" s="26" t="str">
        <f aca="false">IF(B20&lt;2,"N/A",(A20/D20))</f>
        <v>N/A</v>
      </c>
      <c r="D20" s="27" t="n">
        <f aca="false">ROUND(AVERAGE(H3:H17),2)</f>
        <v>15.08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15.08</v>
      </c>
      <c r="G20" s="29" t="str">
        <f aca="false">INDEX(G3:G17,MATCH(H20,H3:H17,0))</f>
        <v>POLY CALHA</v>
      </c>
      <c r="H20" s="30" t="n">
        <f aca="false">MIN(H3:H17)</f>
        <v>15.08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15.08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301.6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5" activeCellId="0" sqref="H5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299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300</v>
      </c>
      <c r="C3" s="9" t="s">
        <v>301</v>
      </c>
      <c r="D3" s="10" t="n">
        <v>50</v>
      </c>
      <c r="E3" s="11" t="n">
        <f aca="false">IF(C20&lt;=25%,D20,MIN(E20:F20))</f>
        <v>18.35</v>
      </c>
      <c r="F3" s="11" t="n">
        <f aca="false">MIN(H3:H17)</f>
        <v>17.33</v>
      </c>
      <c r="G3" s="12" t="s">
        <v>298</v>
      </c>
      <c r="H3" s="12" t="n">
        <v>19.36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302</v>
      </c>
      <c r="H4" s="12" t="n">
        <v>17.33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1.43542676580869</v>
      </c>
      <c r="B20" s="25" t="n">
        <f aca="false">COUNT(H3:H17)</f>
        <v>2</v>
      </c>
      <c r="C20" s="26" t="n">
        <f aca="false">IF(B20&lt;2,"N/A",(A20/D20))</f>
        <v>0.0782248918696835</v>
      </c>
      <c r="D20" s="27" t="n">
        <f aca="false">ROUND(AVERAGE(H3:H17),2)</f>
        <v>18.35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18.35</v>
      </c>
      <c r="G20" s="29" t="str">
        <f aca="false">INDEX(G3:G17,MATCH(H20,H3:H17,0))</f>
        <v>TERRAC FORROS </v>
      </c>
      <c r="H20" s="30" t="n">
        <f aca="false">MIN(H3:H17)</f>
        <v>17.33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18.35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917.5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3" activeCellId="0" sqref="H3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303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304</v>
      </c>
      <c r="C3" s="9" t="s">
        <v>11</v>
      </c>
      <c r="D3" s="10" t="n">
        <v>10</v>
      </c>
      <c r="E3" s="11" t="n">
        <f aca="false">IF(C20&lt;=25%,D20,MIN(E20:F20))</f>
        <v>170.57</v>
      </c>
      <c r="F3" s="11" t="n">
        <f aca="false">MIN(H3:H17)</f>
        <v>151.39</v>
      </c>
      <c r="G3" s="12" t="s">
        <v>305</v>
      </c>
      <c r="H3" s="12" t="n">
        <v>172.73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306</v>
      </c>
      <c r="H4" s="12" t="n">
        <v>187.59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307</v>
      </c>
      <c r="H5" s="12" t="n">
        <v>151.39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18.1964062385956</v>
      </c>
      <c r="B20" s="25" t="n">
        <f aca="false">COUNT(H3:H17)</f>
        <v>3</v>
      </c>
      <c r="C20" s="26" t="n">
        <f aca="false">IF(B20&lt;2,"N/A",(A20/D20))</f>
        <v>0.1066799920185</v>
      </c>
      <c r="D20" s="27" t="n">
        <f aca="false">ROUND(AVERAGE(H3:H17),2)</f>
        <v>170.57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172.73</v>
      </c>
      <c r="G20" s="29" t="str">
        <f aca="false">INDEX(G3:G17,MATCH(H20,H3:H17,0))</f>
        <v>FRIO SHOPING</v>
      </c>
      <c r="H20" s="30" t="n">
        <f aca="false">MIN(H3:H17)</f>
        <v>151.39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170.57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1705.7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4" activeCellId="0" sqref="H4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308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309</v>
      </c>
      <c r="C3" s="9" t="s">
        <v>11</v>
      </c>
      <c r="D3" s="10" t="n">
        <v>10</v>
      </c>
      <c r="E3" s="11" t="n">
        <f aca="false">IF(C20&lt;=25%,D20,MIN(E20:F20))</f>
        <v>584.77</v>
      </c>
      <c r="F3" s="11" t="n">
        <f aca="false">MIN(H3:H17)</f>
        <v>584.77</v>
      </c>
      <c r="G3" s="12" t="s">
        <v>305</v>
      </c>
      <c r="H3" s="12" t="n">
        <v>584.77</v>
      </c>
      <c r="I3" s="14" t="e">
        <f aca="false">IF(H3="","",(IF($C$20&lt;25%,"N/A",IF(H3&lt;=($D$20+$A$20),H3,"Descartado"))))</f>
        <v>#VALUE!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/>
      <c r="H4" s="12"/>
      <c r="I4" s="14" t="str">
        <f aca="false">IF(H4="","",(IF($C$20&lt;25%,"N/A",IF(H4&lt;=($D$20+$A$20),H4,"Descartado"))))</f>
        <v/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str">
        <f aca="false">IF(B20&lt;2,"N/A",(STDEV(H3:H17)))</f>
        <v>N/A</v>
      </c>
      <c r="B20" s="25" t="n">
        <f aca="false">COUNT(H3:H17)</f>
        <v>1</v>
      </c>
      <c r="C20" s="26" t="str">
        <f aca="false">IF(B20&lt;2,"N/A",(A20/D20))</f>
        <v>N/A</v>
      </c>
      <c r="D20" s="27" t="n">
        <f aca="false">ROUND(AVERAGE(H3:H17),2)</f>
        <v>584.77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584.77</v>
      </c>
      <c r="G20" s="29" t="str">
        <f aca="false">INDEX(G3:G17,MATCH(H20,H3:H17,0))</f>
        <v>WERME</v>
      </c>
      <c r="H20" s="30" t="n">
        <f aca="false">MIN(H3:H17)</f>
        <v>584.77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584.77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5847.7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6" activeCellId="0" sqref="H6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310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311</v>
      </c>
      <c r="C3" s="9" t="s">
        <v>11</v>
      </c>
      <c r="D3" s="10" t="n">
        <v>20</v>
      </c>
      <c r="E3" s="11" t="n">
        <f aca="false">IF(C20&lt;=25%,D20,MIN(E20:F20))</f>
        <v>518.82</v>
      </c>
      <c r="F3" s="11" t="n">
        <f aca="false">MIN(H3:H17)</f>
        <v>467.37</v>
      </c>
      <c r="G3" s="12" t="s">
        <v>312</v>
      </c>
      <c r="H3" s="12" t="n">
        <v>599.45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313</v>
      </c>
      <c r="H4" s="12" t="n">
        <v>467.37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314</v>
      </c>
      <c r="H5" s="12" t="n">
        <v>489.63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70.711934871938</v>
      </c>
      <c r="B20" s="25" t="n">
        <f aca="false">COUNT(H3:H17)</f>
        <v>3</v>
      </c>
      <c r="C20" s="26" t="n">
        <f aca="false">IF(B20&lt;2,"N/A",(A20/D20))</f>
        <v>0.136293772159782</v>
      </c>
      <c r="D20" s="27" t="n">
        <f aca="false">ROUND(AVERAGE(H3:H17),2)</f>
        <v>518.82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489.63</v>
      </c>
      <c r="G20" s="29" t="str">
        <f aca="false">INDEX(G3:G17,MATCH(H20,H3:H17,0))</f>
        <v>SGA REFRIGERAÇÃO</v>
      </c>
      <c r="H20" s="30" t="n">
        <f aca="false">MIN(H3:H17)</f>
        <v>467.37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518.82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10376.4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11" activeCellId="0" sqref="G11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315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316</v>
      </c>
      <c r="C3" s="9" t="s">
        <v>11</v>
      </c>
      <c r="D3" s="10" t="n">
        <v>20</v>
      </c>
      <c r="E3" s="11" t="n">
        <f aca="false">IF(C20&lt;=25%,D20,MIN(E20:F20))</f>
        <v>476.51</v>
      </c>
      <c r="F3" s="11" t="n">
        <f aca="false">MIN(H3:H17)</f>
        <v>423.668</v>
      </c>
      <c r="G3" s="12" t="s">
        <v>317</v>
      </c>
      <c r="H3" s="12" t="n">
        <v>568.97</v>
      </c>
      <c r="I3" s="14" t="n">
        <f aca="false">IF(H3="","",(IF($C$20&lt;25%,"N/A",IF(H3&lt;=($D$20+$A$20),H3,"Descartado"))))</f>
        <v>568.97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318</v>
      </c>
      <c r="H4" s="12" t="n">
        <v>812.81</v>
      </c>
      <c r="I4" s="14" t="str">
        <f aca="false">IF(H4="","",(IF($C$20&lt;25%,"N/A",IF(H4&lt;=($D$20+$A$20),H4,"Descartado"))))</f>
        <v>Descartado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319</v>
      </c>
      <c r="H5" s="12" t="n">
        <v>436.89</v>
      </c>
      <c r="I5" s="14" t="n">
        <f aca="false">IF(H5="","",(IF($C$20&lt;25%,"N/A",IF(H5&lt;=($D$20+$A$20),H5,"Descartado"))))</f>
        <v>436.89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320</v>
      </c>
      <c r="H6" s="12" t="n">
        <v>423.668</v>
      </c>
      <c r="I6" s="14" t="n">
        <f aca="false">IF(H6="","",(IF($C$20&lt;25%,"N/A",IF(H6&lt;=($D$20+$A$20),H6,"Descartado"))))</f>
        <v>423.668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180.494207444449</v>
      </c>
      <c r="B20" s="25" t="n">
        <f aca="false">COUNT(H3:H17)</f>
        <v>4</v>
      </c>
      <c r="C20" s="26" t="n">
        <f aca="false">IF(B20&lt;2,"N/A",(A20/D20))</f>
        <v>0.321977607914034</v>
      </c>
      <c r="D20" s="27" t="n">
        <f aca="false">ROUND(AVERAGE(H3:H17),2)</f>
        <v>560.58</v>
      </c>
      <c r="E20" s="28" t="n">
        <f aca="false">IFERROR(ROUND(IF(B20&lt;2,"N/A",(IF(C20&lt;=25%,"N/A",AVERAGE(I3:I17)))),2),"N/A")</f>
        <v>476.51</v>
      </c>
      <c r="F20" s="28" t="n">
        <f aca="false">ROUND(MEDIAN(H3:H17),2)</f>
        <v>502.93</v>
      </c>
      <c r="G20" s="29" t="str">
        <f aca="false">INDEX(G3:G17,MATCH(H20,H3:H17,0))</f>
        <v>EMBRAR</v>
      </c>
      <c r="H20" s="30" t="n">
        <f aca="false">MIN(H3:H17)</f>
        <v>423.668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476.51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9530.2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6" activeCellId="0" sqref="H6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321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322</v>
      </c>
      <c r="C3" s="9" t="s">
        <v>11</v>
      </c>
      <c r="D3" s="10" t="n">
        <v>20</v>
      </c>
      <c r="E3" s="11" t="n">
        <f aca="false">IF(C20&lt;=25%,D20,MIN(E20:F20))</f>
        <v>37.02</v>
      </c>
      <c r="F3" s="11" t="n">
        <f aca="false">MIN(H3:H17)</f>
        <v>35.23</v>
      </c>
      <c r="G3" s="12" t="s">
        <v>323</v>
      </c>
      <c r="H3" s="12" t="n">
        <v>38.89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324</v>
      </c>
      <c r="H4" s="12" t="n">
        <v>36.93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325</v>
      </c>
      <c r="H5" s="12" t="n">
        <v>35.23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2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1.83153851538354</v>
      </c>
      <c r="B20" s="25" t="n">
        <f aca="false">COUNT(H3:H17)</f>
        <v>3</v>
      </c>
      <c r="C20" s="26" t="n">
        <f aca="false">IF(B20&lt;2,"N/A",(A20/D20))</f>
        <v>0.0494742980924781</v>
      </c>
      <c r="D20" s="27" t="n">
        <f aca="false">ROUND(AVERAGE(H3:H17),2)</f>
        <v>37.02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36.93</v>
      </c>
      <c r="G20" s="29" t="str">
        <f aca="false">INDEX(G3:G17,MATCH(H20,H3:H17,0))</f>
        <v>Rei da Rede</v>
      </c>
      <c r="H20" s="30" t="n">
        <f aca="false">MIN(H3:H17)</f>
        <v>35.23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37.02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740.4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6" activeCellId="0" sqref="H6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326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327</v>
      </c>
      <c r="C3" s="9" t="s">
        <v>11</v>
      </c>
      <c r="D3" s="10" t="n">
        <v>20</v>
      </c>
      <c r="E3" s="11" t="n">
        <f aca="false">IF(C20&lt;=25%,D20,MIN(E20:F20))</f>
        <v>27.54</v>
      </c>
      <c r="F3" s="11" t="n">
        <f aca="false">MIN(H3:H17)</f>
        <v>20.92</v>
      </c>
      <c r="G3" s="12" t="s">
        <v>328</v>
      </c>
      <c r="H3" s="12" t="n">
        <v>38.32</v>
      </c>
      <c r="I3" s="14" t="n">
        <f aca="false">IF(H3="","",(IF($C$20&lt;25%,"N/A",IF(H3&lt;=($D$20+$A$20),H3,"Descartado"))))</f>
        <v>38.32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329</v>
      </c>
      <c r="H4" s="12" t="n">
        <v>22.62</v>
      </c>
      <c r="I4" s="14" t="n">
        <f aca="false">IF(H4="","",(IF($C$20&lt;25%,"N/A",IF(H4&lt;=($D$20+$A$20),H4,"Descartado"))))</f>
        <v>22.62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78</v>
      </c>
      <c r="H5" s="12" t="n">
        <v>41.39</v>
      </c>
      <c r="I5" s="14" t="str">
        <f aca="false">IF(H5="","",(IF($C$20&lt;25%,"N/A",IF(H5&lt;=($D$20+$A$20),H5,"Descartado"))))</f>
        <v>Descartado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232</v>
      </c>
      <c r="H6" s="12" t="n">
        <v>20.92</v>
      </c>
      <c r="I6" s="14" t="n">
        <f aca="false">IF(H6="","",(IF($C$20&lt;25%,"N/A",IF(H6&lt;=($D$20+$A$20),H6,"Descartado"))))</f>
        <v>20.92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330</v>
      </c>
      <c r="H7" s="12" t="n">
        <v>28.29</v>
      </c>
      <c r="I7" s="14" t="n">
        <f aca="false">IF(H7="","",(IF($C$20&lt;25%,"N/A",IF(H7&lt;=($D$20+$A$20),H7,"Descartado"))))</f>
        <v>28.29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9.19667168055921</v>
      </c>
      <c r="B20" s="25" t="n">
        <f aca="false">COUNT(H3:H17)</f>
        <v>5</v>
      </c>
      <c r="C20" s="26" t="n">
        <f aca="false">IF(B20&lt;2,"N/A",(A20/D20))</f>
        <v>0.303420378771337</v>
      </c>
      <c r="D20" s="27" t="n">
        <f aca="false">ROUND(AVERAGE(H3:H17),2)</f>
        <v>30.31</v>
      </c>
      <c r="E20" s="28" t="n">
        <f aca="false">IFERROR(ROUND(IF(B20&lt;2,"N/A",(IF(C20&lt;=25%,"N/A",AVERAGE(I3:I17)))),2),"N/A")</f>
        <v>27.54</v>
      </c>
      <c r="F20" s="28" t="n">
        <f aca="false">ROUND(MEDIAN(H3:H17),2)</f>
        <v>28.29</v>
      </c>
      <c r="G20" s="29" t="str">
        <f aca="false">INDEX(G3:G17,MATCH(H20,H3:H17,0))</f>
        <v>Ferramentas Gerais</v>
      </c>
      <c r="H20" s="30" t="n">
        <f aca="false">MIN(H3:H17)</f>
        <v>20.92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27.54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550.8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6" activeCellId="0" sqref="H6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331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332</v>
      </c>
      <c r="C3" s="9" t="s">
        <v>11</v>
      </c>
      <c r="D3" s="10" t="n">
        <v>20</v>
      </c>
      <c r="E3" s="11" t="n">
        <f aca="false">IF(C20&lt;=25%,D20,MIN(E20:F20))</f>
        <v>12.92</v>
      </c>
      <c r="F3" s="11" t="n">
        <f aca="false">MIN(H3:H17)</f>
        <v>12.45</v>
      </c>
      <c r="G3" s="12" t="s">
        <v>333</v>
      </c>
      <c r="H3" s="12" t="n">
        <v>12.45</v>
      </c>
      <c r="I3" s="14" t="n">
        <f aca="false">IF(H3="","",(IF($C$20&lt;25%,"N/A",IF(H3&lt;=($D$20+$A$20),H3,"Descartado"))))</f>
        <v>12.45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334</v>
      </c>
      <c r="H4" s="12" t="n">
        <v>29.99</v>
      </c>
      <c r="I4" s="14" t="str">
        <f aca="false">IF(H4="","",(IF($C$20&lt;25%,"N/A",IF(H4&lt;=($D$20+$A$20),H4,"Descartado"))))</f>
        <v>Descartado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335</v>
      </c>
      <c r="H5" s="12" t="n">
        <v>13.39</v>
      </c>
      <c r="I5" s="14" t="n">
        <f aca="false">IF(H5="","",(IF($C$20&lt;25%,"N/A",IF(H5&lt;=($D$20+$A$20),H5,"Descartado"))))</f>
        <v>13.39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9.86656981934451</v>
      </c>
      <c r="B20" s="25" t="n">
        <f aca="false">COUNT(H3:H17)</f>
        <v>3</v>
      </c>
      <c r="C20" s="26" t="n">
        <f aca="false">IF(B20&lt;2,"N/A",(A20/D20))</f>
        <v>0.530175702275363</v>
      </c>
      <c r="D20" s="27" t="n">
        <f aca="false">ROUND(AVERAGE(H3:H17),2)</f>
        <v>18.61</v>
      </c>
      <c r="E20" s="28" t="n">
        <f aca="false">IFERROR(ROUND(IF(B20&lt;2,"N/A",(IF(C20&lt;=25%,"N/A",AVERAGE(I3:I17)))),2),"N/A")</f>
        <v>12.92</v>
      </c>
      <c r="F20" s="28" t="n">
        <f aca="false">ROUND(MEDIAN(H3:H17),2)</f>
        <v>13.39</v>
      </c>
      <c r="G20" s="29" t="str">
        <f aca="false">INDEX(G3:G17,MATCH(H20,H3:H17,0))</f>
        <v>RS som e luz.com </v>
      </c>
      <c r="H20" s="30" t="n">
        <f aca="false">MIN(H3:H17)</f>
        <v>12.45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12.92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258.4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6" activeCellId="0" sqref="H6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336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337</v>
      </c>
      <c r="C3" s="9" t="s">
        <v>11</v>
      </c>
      <c r="D3" s="10" t="n">
        <v>20</v>
      </c>
      <c r="E3" s="11" t="n">
        <f aca="false">IF(C20&lt;=25%,D20,MIN(E20:F20))</f>
        <v>48.69</v>
      </c>
      <c r="F3" s="11" t="n">
        <f aca="false">MIN(H3:H17)</f>
        <v>29.99</v>
      </c>
      <c r="G3" s="12" t="s">
        <v>79</v>
      </c>
      <c r="H3" s="12" t="n">
        <v>29.99</v>
      </c>
      <c r="I3" s="14" t="n">
        <f aca="false">IF(H3="","",(IF($C$20&lt;25%,"N/A",IF(H3&lt;=($D$20+$A$20),H3,"Descartado"))))</f>
        <v>29.99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338</v>
      </c>
      <c r="H4" s="12" t="n">
        <v>57.04</v>
      </c>
      <c r="I4" s="14" t="n">
        <f aca="false">IF(H4="","",(IF($C$20&lt;25%,"N/A",IF(H4&lt;=($D$20+$A$20),H4,"Descartado"))))</f>
        <v>57.04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119</v>
      </c>
      <c r="H5" s="12" t="n">
        <v>59.04</v>
      </c>
      <c r="I5" s="14" t="n">
        <f aca="false">IF(H5="","",(IF($C$20&lt;25%,"N/A",IF(H5&lt;=($D$20+$A$20),H5,"Descartado"))))</f>
        <v>59.04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16.2255200224831</v>
      </c>
      <c r="B20" s="25" t="n">
        <f aca="false">COUNT(H3:H17)</f>
        <v>3</v>
      </c>
      <c r="C20" s="26" t="n">
        <f aca="false">IF(B20&lt;2,"N/A",(A20/D20))</f>
        <v>0.333241323115282</v>
      </c>
      <c r="D20" s="27" t="n">
        <f aca="false">ROUND(AVERAGE(H3:H17),2)</f>
        <v>48.69</v>
      </c>
      <c r="E20" s="28" t="n">
        <f aca="false">IFERROR(ROUND(IF(B20&lt;2,"N/A",(IF(C20&lt;=25%,"N/A",AVERAGE(I3:I17)))),2),"N/A")</f>
        <v>48.69</v>
      </c>
      <c r="F20" s="28" t="n">
        <f aca="false">ROUND(MEDIAN(H3:H17),2)</f>
        <v>57.04</v>
      </c>
      <c r="G20" s="29" t="str">
        <f aca="false">INDEX(G3:G17,MATCH(H20,H3:H17,0))</f>
        <v>Telha Norte</v>
      </c>
      <c r="H20" s="30" t="n">
        <f aca="false">MIN(H3:H17)</f>
        <v>29.99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48.69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973.8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9" activeCellId="0" sqref="H9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60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61</v>
      </c>
      <c r="C3" s="9" t="s">
        <v>47</v>
      </c>
      <c r="D3" s="10" t="n">
        <v>10</v>
      </c>
      <c r="E3" s="11" t="n">
        <f aca="false">IF(C20&lt;=25%,D20,MIN(E20:F20))</f>
        <v>520.61</v>
      </c>
      <c r="F3" s="11" t="n">
        <f aca="false">MIN(H3:H17)</f>
        <v>498.99776</v>
      </c>
      <c r="G3" s="12" t="s">
        <v>48</v>
      </c>
      <c r="H3" s="13" t="n">
        <f aca="false">486.4*1.0259</f>
        <v>498.99776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50</v>
      </c>
      <c r="H4" s="13" t="n">
        <f aca="false">496.889*1.0259</f>
        <v>509.7584251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51</v>
      </c>
      <c r="H5" s="13" t="n">
        <f aca="false">502.112*1.0259</f>
        <v>515.1167008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62</v>
      </c>
      <c r="H6" s="13" t="n">
        <f aca="false">502.175*1.0259</f>
        <v>515.1813325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55</v>
      </c>
      <c r="H7" s="13" t="n">
        <f aca="false">549.749*1.0259</f>
        <v>563.9874991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25.1301600522397</v>
      </c>
      <c r="B20" s="25" t="n">
        <f aca="false">COUNT(H3:H17)</f>
        <v>5</v>
      </c>
      <c r="C20" s="26" t="n">
        <f aca="false">IF(B20&lt;2,"N/A",(A20/D20))</f>
        <v>0.0482706057360398</v>
      </c>
      <c r="D20" s="27" t="n">
        <f aca="false">ROUND(AVERAGE(H3:H17),2)</f>
        <v>520.61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515.12</v>
      </c>
      <c r="G20" s="29" t="str">
        <f aca="false">INDEX(G3:G17,MATCH(H20,H3:H17,0))</f>
        <v>Olist.com</v>
      </c>
      <c r="H20" s="30" t="n">
        <f aca="false">MIN(H3:H17)</f>
        <v>498.99776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520.61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5206.1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0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6" activeCellId="0" sqref="H6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339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340</v>
      </c>
      <c r="C3" s="9" t="s">
        <v>11</v>
      </c>
      <c r="D3" s="10" t="n">
        <v>20</v>
      </c>
      <c r="E3" s="11" t="n">
        <f aca="false">IF(C20&lt;=25%,D20,MIN(E20:F20))</f>
        <v>608.3</v>
      </c>
      <c r="F3" s="11" t="n">
        <f aca="false">MIN(H3:H17)</f>
        <v>569.99</v>
      </c>
      <c r="G3" s="12" t="s">
        <v>317</v>
      </c>
      <c r="H3" s="12" t="n">
        <v>650.25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341</v>
      </c>
      <c r="H4" s="12" t="n">
        <v>599.36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342</v>
      </c>
      <c r="H5" s="12" t="n">
        <v>613.58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343</v>
      </c>
      <c r="H6" s="12" t="n">
        <v>569.99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33.3429677743299</v>
      </c>
      <c r="B20" s="25" t="n">
        <f aca="false">COUNT(H3:H17)</f>
        <v>4</v>
      </c>
      <c r="C20" s="26" t="n">
        <f aca="false">IF(B20&lt;2,"N/A",(A20/D20))</f>
        <v>0.0548133614570604</v>
      </c>
      <c r="D20" s="27" t="n">
        <f aca="false">ROUND(AVERAGE(H3:H17),2)</f>
        <v>608.3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606.47</v>
      </c>
      <c r="G20" s="29" t="str">
        <f aca="false">INDEX(G3:G17,MATCH(H20,H3:H17,0))</f>
        <v>GRUPO RODRIGUEZ</v>
      </c>
      <c r="H20" s="30" t="n">
        <f aca="false">MIN(H3:H17)</f>
        <v>569.99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608.3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12166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6" activeCellId="0" sqref="H6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344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345</v>
      </c>
      <c r="C3" s="9" t="s">
        <v>11</v>
      </c>
      <c r="D3" s="10" t="n">
        <v>50</v>
      </c>
      <c r="E3" s="11" t="n">
        <f aca="false">IF(C20&lt;=25%,D20,MIN(E20:F20))</f>
        <v>0.75</v>
      </c>
      <c r="F3" s="11" t="n">
        <f aca="false">MIN(H3:H17)</f>
        <v>0.41</v>
      </c>
      <c r="G3" s="12" t="s">
        <v>346</v>
      </c>
      <c r="H3" s="12" t="n">
        <v>2.28</v>
      </c>
      <c r="I3" s="14" t="str">
        <f aca="false">IF(H3="","",(IF($C$20&lt;25%,"N/A",IF(H3&lt;=($D$20+$A$20),H3,"Descartado"))))</f>
        <v>Descartado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347</v>
      </c>
      <c r="H4" s="12" t="n">
        <v>0.41</v>
      </c>
      <c r="I4" s="14" t="n">
        <f aca="false">IF(H4="","",(IF($C$20&lt;25%,"N/A",IF(H4&lt;=($D$20+$A$20),H4,"Descartado"))))</f>
        <v>0.41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348</v>
      </c>
      <c r="H5" s="12" t="n">
        <v>1.09</v>
      </c>
      <c r="I5" s="14" t="n">
        <f aca="false">IF(H5="","",(IF($C$20&lt;25%,"N/A",IF(H5&lt;=($D$20+$A$20),H5,"Descartado"))))</f>
        <v>1.09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0.946519941681104</v>
      </c>
      <c r="B20" s="25" t="n">
        <f aca="false">COUNT(H3:H17)</f>
        <v>3</v>
      </c>
      <c r="C20" s="26" t="n">
        <f aca="false">IF(B20&lt;2,"N/A",(A20/D20))</f>
        <v>0.751206302921511</v>
      </c>
      <c r="D20" s="27" t="n">
        <f aca="false">ROUND(AVERAGE(H3:H17),2)</f>
        <v>1.26</v>
      </c>
      <c r="E20" s="28" t="n">
        <f aca="false">IFERROR(ROUND(IF(B20&lt;2,"N/A",(IF(C20&lt;=25%,"N/A",AVERAGE(I3:I17)))),2),"N/A")</f>
        <v>0.75</v>
      </c>
      <c r="F20" s="28" t="n">
        <f aca="false">ROUND(MEDIAN(H3:H17),2)</f>
        <v>1.09</v>
      </c>
      <c r="G20" s="29" t="str">
        <f aca="false">INDEX(G3:G17,MATCH(H20,H3:H17,0))</f>
        <v>Tamoyo</v>
      </c>
      <c r="H20" s="30" t="n">
        <f aca="false">MIN(H3:H17)</f>
        <v>0.41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0.75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37.5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7" activeCellId="0" sqref="H7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349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350</v>
      </c>
      <c r="C3" s="9" t="s">
        <v>351</v>
      </c>
      <c r="D3" s="10" t="n">
        <v>60</v>
      </c>
      <c r="E3" s="11" t="n">
        <f aca="false">IF(C20&lt;=25%,D20,MIN(E20:F20))</f>
        <v>621.08</v>
      </c>
      <c r="F3" s="11" t="n">
        <f aca="false">MIN(H3:H17)</f>
        <v>502.59</v>
      </c>
      <c r="G3" s="12" t="s">
        <v>352</v>
      </c>
      <c r="H3" s="13" t="n">
        <v>520.55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281</v>
      </c>
      <c r="H4" s="13" t="n">
        <v>502.59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353</v>
      </c>
      <c r="H5" s="13" t="n">
        <v>549.9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78</v>
      </c>
      <c r="H6" s="13" t="n">
        <v>773.38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42</v>
      </c>
      <c r="H7" s="13" t="n">
        <v>758.99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133.629348834753</v>
      </c>
      <c r="B20" s="25" t="n">
        <f aca="false">COUNT(H3:H17)</f>
        <v>5</v>
      </c>
      <c r="C20" s="26" t="n">
        <f aca="false">IF(B20&lt;2,"N/A",(A20/D20))</f>
        <v>0.215156419196807</v>
      </c>
      <c r="D20" s="27" t="n">
        <f aca="false">ROUND(AVERAGE(H3:H17),2)</f>
        <v>621.08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549.9</v>
      </c>
      <c r="G20" s="29" t="str">
        <f aca="false">INDEX(G3:G17,MATCH(H20,H3:H17,0))</f>
        <v>Extra</v>
      </c>
      <c r="H20" s="30" t="n">
        <f aca="false">MIN(H3:H17)</f>
        <v>502.59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621.08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37264.8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3" activeCellId="0" sqref="H3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354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355</v>
      </c>
      <c r="C3" s="9" t="s">
        <v>11</v>
      </c>
      <c r="D3" s="10" t="n">
        <v>1000</v>
      </c>
      <c r="E3" s="11" t="n">
        <f aca="false">IF(C20&lt;=25%,D20,MIN(E20:F20))</f>
        <v>8.3</v>
      </c>
      <c r="F3" s="11" t="n">
        <f aca="false">MIN(H3:H17)</f>
        <v>5.89</v>
      </c>
      <c r="G3" s="12" t="s">
        <v>159</v>
      </c>
      <c r="H3" s="12" t="n">
        <v>9.01</v>
      </c>
      <c r="I3" s="14" t="n">
        <f aca="false">IF(H3="","",(IF($C$20&lt;25%,"N/A",IF(H3&lt;=($D$20+$A$20),H3,"Descartado"))))</f>
        <v>9.01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356</v>
      </c>
      <c r="H4" s="12" t="n">
        <v>5.89</v>
      </c>
      <c r="I4" s="14" t="n">
        <f aca="false">IF(H4="","",(IF($C$20&lt;25%,"N/A",IF(H4&lt;=($D$20+$A$20),H4,"Descartado"))))</f>
        <v>5.89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357</v>
      </c>
      <c r="H5" s="12" t="n">
        <v>13.29</v>
      </c>
      <c r="I5" s="14" t="str">
        <f aca="false">IF(H5="","",(IF($C$20&lt;25%,"N/A",IF(H5&lt;=($D$20+$A$20),H5,"Descartado"))))</f>
        <v>Descartado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358</v>
      </c>
      <c r="H6" s="12" t="n">
        <v>9.99</v>
      </c>
      <c r="I6" s="14" t="n">
        <f aca="false">IF(H6="","",(IF($C$20&lt;25%,"N/A",IF(H6&lt;=($D$20+$A$20),H6,"Descartado"))))</f>
        <v>9.99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2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3.04785717075675</v>
      </c>
      <c r="B20" s="25" t="n">
        <f aca="false">COUNT(H3:H17)</f>
        <v>4</v>
      </c>
      <c r="C20" s="26" t="n">
        <f aca="false">IF(B20&lt;2,"N/A",(A20/D20))</f>
        <v>0.31914734772322</v>
      </c>
      <c r="D20" s="27" t="n">
        <f aca="false">ROUND(AVERAGE(H3:H17),2)</f>
        <v>9.55</v>
      </c>
      <c r="E20" s="28" t="n">
        <f aca="false">IFERROR(ROUND(IF(B20&lt;2,"N/A",(IF(C20&lt;=25%,"N/A",AVERAGE(I3:I17)))),2),"N/A")</f>
        <v>8.3</v>
      </c>
      <c r="F20" s="28" t="n">
        <f aca="false">ROUND(MEDIAN(H3:H17),2)</f>
        <v>9.5</v>
      </c>
      <c r="G20" s="29" t="str">
        <f aca="false">INDEX(G3:G17,MATCH(H20,H3:H17,0))</f>
        <v>Dimensional</v>
      </c>
      <c r="H20" s="30" t="n">
        <f aca="false">MIN(H3:H17)</f>
        <v>5.89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8.3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8300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9" activeCellId="0" sqref="G9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359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360</v>
      </c>
      <c r="C3" s="9" t="s">
        <v>11</v>
      </c>
      <c r="D3" s="10" t="n">
        <v>1000</v>
      </c>
      <c r="E3" s="11" t="n">
        <f aca="false">IF(C20&lt;=25%,D20,MIN(E20:F20))</f>
        <v>1.13</v>
      </c>
      <c r="F3" s="11" t="n">
        <f aca="false">MIN(H3:H17)</f>
        <v>0.95646</v>
      </c>
      <c r="G3" s="12" t="s">
        <v>361</v>
      </c>
      <c r="H3" s="12" t="n">
        <v>1.2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362</v>
      </c>
      <c r="H4" s="12" t="n">
        <f aca="false">63.7/50</f>
        <v>1.274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42</v>
      </c>
      <c r="H5" s="12" t="n">
        <f aca="false">478.23/500</f>
        <v>0.95646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223</v>
      </c>
      <c r="H6" s="12" t="n">
        <f aca="false">11.97/10</f>
        <v>1.197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363</v>
      </c>
      <c r="H7" s="12" t="n">
        <v>1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2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0.138779970889174</v>
      </c>
      <c r="B20" s="25" t="n">
        <f aca="false">COUNT(H3:H17)</f>
        <v>5</v>
      </c>
      <c r="C20" s="26" t="n">
        <f aca="false">IF(B20&lt;2,"N/A",(A20/D20))</f>
        <v>0.122814133530242</v>
      </c>
      <c r="D20" s="27" t="n">
        <f aca="false">ROUND(AVERAGE(H3:H17),2)</f>
        <v>1.13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1.2</v>
      </c>
      <c r="G20" s="29" t="str">
        <f aca="false">INDEX(G3:G17,MATCH(H20,H3:H17,0))</f>
        <v>Net Computadores</v>
      </c>
      <c r="H20" s="30" t="n">
        <f aca="false">MIN(H3:H17)</f>
        <v>0.95646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1.13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1130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8" activeCellId="0" sqref="H8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364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365</v>
      </c>
      <c r="C3" s="9" t="s">
        <v>11</v>
      </c>
      <c r="D3" s="10" t="n">
        <v>50</v>
      </c>
      <c r="E3" s="11" t="n">
        <f aca="false">IF(C20&lt;=25%,D20,MIN(E20:F20))</f>
        <v>382.98</v>
      </c>
      <c r="F3" s="11" t="n">
        <f aca="false">MIN(H3:H17)</f>
        <v>337.9</v>
      </c>
      <c r="G3" s="12" t="s">
        <v>181</v>
      </c>
      <c r="H3" s="13" t="n">
        <v>445.71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182</v>
      </c>
      <c r="H4" s="13" t="n">
        <v>337.9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42</v>
      </c>
      <c r="H5" s="13" t="n">
        <v>365.62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366</v>
      </c>
      <c r="H6" s="13" t="n">
        <v>382.69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45.7118256034475</v>
      </c>
      <c r="B20" s="25" t="n">
        <f aca="false">COUNT(H3:H17)</f>
        <v>4</v>
      </c>
      <c r="C20" s="26" t="n">
        <f aca="false">IF(B20&lt;2,"N/A",(A20/D20))</f>
        <v>0.119358257881475</v>
      </c>
      <c r="D20" s="27" t="n">
        <f aca="false">ROUND(AVERAGE(H3:H17),2)</f>
        <v>382.98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374.16</v>
      </c>
      <c r="G20" s="29" t="str">
        <f aca="false">INDEX(G3:G17,MATCH(H20,H3:H17,0))</f>
        <v>Dream Shop</v>
      </c>
      <c r="H20" s="30" t="n">
        <f aca="false">MIN(H3:H17)</f>
        <v>337.9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382.98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19149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6" activeCellId="0" sqref="H6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367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368</v>
      </c>
      <c r="C3" s="9" t="s">
        <v>11</v>
      </c>
      <c r="D3" s="10" t="n">
        <v>50</v>
      </c>
      <c r="E3" s="11" t="n">
        <f aca="false">IF(C20&lt;=25%,D20,MIN(E20:F20))</f>
        <v>347.47</v>
      </c>
      <c r="F3" s="11" t="n">
        <f aca="false">MIN(H3:H17)</f>
        <v>343.31</v>
      </c>
      <c r="G3" s="12" t="s">
        <v>369</v>
      </c>
      <c r="H3" s="12" t="n">
        <v>352.84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370</v>
      </c>
      <c r="H4" s="12" t="n">
        <v>346.27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371</v>
      </c>
      <c r="H5" s="12" t="n">
        <v>343.31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4.87762578857104</v>
      </c>
      <c r="B20" s="25" t="n">
        <f aca="false">COUNT(H3:H17)</f>
        <v>3</v>
      </c>
      <c r="C20" s="26" t="n">
        <f aca="false">IF(B20&lt;2,"N/A",(A20/D20))</f>
        <v>0.0140375450789163</v>
      </c>
      <c r="D20" s="27" t="n">
        <f aca="false">ROUND(AVERAGE(H3:H17),2)</f>
        <v>347.47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346.27</v>
      </c>
      <c r="G20" s="29" t="str">
        <f aca="false">INDEX(G3:G17,MATCH(H20,H3:H17,0))</f>
        <v>LOJAS GUAPORÉ</v>
      </c>
      <c r="H20" s="30" t="n">
        <f aca="false">MIN(H3:H17)</f>
        <v>343.31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347.47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17373.5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6" activeCellId="0" sqref="H6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372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373</v>
      </c>
      <c r="C3" s="9" t="s">
        <v>11</v>
      </c>
      <c r="D3" s="10" t="n">
        <v>50</v>
      </c>
      <c r="E3" s="11" t="n">
        <f aca="false">IF(C20&lt;=25%,D20,MIN(E20:F20))</f>
        <v>99.88</v>
      </c>
      <c r="F3" s="11" t="n">
        <f aca="false">MIN(H3:H17)</f>
        <v>74.85</v>
      </c>
      <c r="G3" s="12" t="s">
        <v>374</v>
      </c>
      <c r="H3" s="12" t="n">
        <v>118.18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375</v>
      </c>
      <c r="H4" s="12" t="n">
        <v>74.85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376</v>
      </c>
      <c r="H5" s="12" t="n">
        <v>106.61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22.4352824809495</v>
      </c>
      <c r="B20" s="25" t="n">
        <f aca="false">COUNT(H3:H17)</f>
        <v>3</v>
      </c>
      <c r="C20" s="26" t="n">
        <f aca="false">IF(B20&lt;2,"N/A",(A20/D20))</f>
        <v>0.224622371655482</v>
      </c>
      <c r="D20" s="27" t="n">
        <f aca="false">ROUND(AVERAGE(H3:H17),2)</f>
        <v>99.88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106.61</v>
      </c>
      <c r="G20" s="29" t="str">
        <f aca="false">INDEX(G3:G17,MATCH(H20,H3:H17,0))</f>
        <v>PONTO DO ENCANADOR</v>
      </c>
      <c r="H20" s="30" t="n">
        <f aca="false">MIN(H3:H17)</f>
        <v>74.85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99.88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4994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6" activeCellId="0" sqref="H6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377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378</v>
      </c>
      <c r="C3" s="9" t="s">
        <v>11</v>
      </c>
      <c r="D3" s="10" t="n">
        <v>70</v>
      </c>
      <c r="E3" s="11" t="n">
        <f aca="false">IF(C20&lt;=25%,D20,MIN(E20:F20))</f>
        <v>27.23</v>
      </c>
      <c r="F3" s="11" t="n">
        <f aca="false">MIN(H3:H17)</f>
        <v>21.71</v>
      </c>
      <c r="G3" s="12" t="s">
        <v>379</v>
      </c>
      <c r="H3" s="12" t="n">
        <v>30.46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380</v>
      </c>
      <c r="H4" s="12" t="n">
        <v>29.53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381</v>
      </c>
      <c r="H5" s="12" t="n">
        <v>21.71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4.80589568481603</v>
      </c>
      <c r="B20" s="25" t="n">
        <f aca="false">COUNT(H3:H17)</f>
        <v>3</v>
      </c>
      <c r="C20" s="26" t="n">
        <f aca="false">IF(B20&lt;2,"N/A",(A20/D20))</f>
        <v>0.176492680309072</v>
      </c>
      <c r="D20" s="27" t="n">
        <f aca="false">ROUND(AVERAGE(H3:H17),2)</f>
        <v>27.23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29.53</v>
      </c>
      <c r="G20" s="29" t="str">
        <f aca="false">INDEX(G3:G17,MATCH(H20,H3:H17,0))</f>
        <v>PAPE LEX</v>
      </c>
      <c r="H20" s="30" t="n">
        <f aca="false">MIN(H3:H17)</f>
        <v>21.71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27.23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1906.1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7" activeCellId="0" sqref="H7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382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383</v>
      </c>
      <c r="C3" s="9" t="s">
        <v>11</v>
      </c>
      <c r="D3" s="10" t="n">
        <v>50</v>
      </c>
      <c r="E3" s="11" t="n">
        <f aca="false">IF(C20&lt;=25%,D20,MIN(E20:F20))</f>
        <v>224.76</v>
      </c>
      <c r="F3" s="11" t="n">
        <f aca="false">MIN(H3:H17)</f>
        <v>179.28</v>
      </c>
      <c r="G3" s="12" t="s">
        <v>384</v>
      </c>
      <c r="H3" s="12" t="n">
        <v>310.72</v>
      </c>
      <c r="I3" s="14" t="n">
        <f aca="false">IF(H3="","",(IF($C$20&lt;25%,"N/A",IF(H3&lt;=($D$20+$A$20),H3,"Descartado"))))</f>
        <v>310.72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385</v>
      </c>
      <c r="H4" s="12" t="n">
        <v>371.94</v>
      </c>
      <c r="I4" s="14" t="str">
        <f aca="false">IF(H4="","",(IF($C$20&lt;25%,"N/A",IF(H4&lt;=($D$20+$A$20),H4,"Descartado"))))</f>
        <v>Descartado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371</v>
      </c>
      <c r="H5" s="12" t="n">
        <v>179.28</v>
      </c>
      <c r="I5" s="14" t="n">
        <f aca="false">IF(H5="","",(IF($C$20&lt;25%,"N/A",IF(H5&lt;=($D$20+$A$20),H5,"Descartado"))))</f>
        <v>179.28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370</v>
      </c>
      <c r="H6" s="12" t="n">
        <v>184.29</v>
      </c>
      <c r="I6" s="14" t="n">
        <f aca="false">IF(H6="","",(IF($C$20&lt;25%,"N/A",IF(H6&lt;=($D$20+$A$20),H6,"Descartado"))))</f>
        <v>184.29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95.465702872812</v>
      </c>
      <c r="B20" s="25" t="n">
        <f aca="false">COUNT(H3:H17)</f>
        <v>4</v>
      </c>
      <c r="C20" s="26" t="n">
        <f aca="false">IF(B20&lt;2,"N/A",(A20/D20))</f>
        <v>0.364985865089509</v>
      </c>
      <c r="D20" s="27" t="n">
        <f aca="false">ROUND(AVERAGE(H3:H17),2)</f>
        <v>261.56</v>
      </c>
      <c r="E20" s="28" t="n">
        <f aca="false">IFERROR(ROUND(IF(B20&lt;2,"N/A",(IF(C20&lt;=25%,"N/A",AVERAGE(I3:I17)))),2),"N/A")</f>
        <v>224.76</v>
      </c>
      <c r="F20" s="28" t="n">
        <f aca="false">ROUND(MEDIAN(H3:H17),2)</f>
        <v>247.51</v>
      </c>
      <c r="G20" s="29" t="str">
        <f aca="false">INDEX(G3:G17,MATCH(H20,H3:H17,0))</f>
        <v>LOJAS GUAPORÉ</v>
      </c>
      <c r="H20" s="30" t="n">
        <f aca="false">MIN(H3:H17)</f>
        <v>179.28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224.76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11238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8" activeCellId="0" sqref="H8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63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64</v>
      </c>
      <c r="C3" s="9" t="s">
        <v>47</v>
      </c>
      <c r="D3" s="10" t="n">
        <v>10</v>
      </c>
      <c r="E3" s="11" t="n">
        <f aca="false">IF(C20&lt;=25%,D20,MIN(E20:F20))</f>
        <v>727.91</v>
      </c>
      <c r="F3" s="11" t="n">
        <f aca="false">MIN(H3:H17)</f>
        <v>638.8248523</v>
      </c>
      <c r="G3" s="12" t="s">
        <v>48</v>
      </c>
      <c r="H3" s="13" t="n">
        <f aca="false">801.058*1.0259</f>
        <v>821.8054022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65</v>
      </c>
      <c r="H4" s="13" t="n">
        <f aca="false">622.697*1.0259</f>
        <v>638.8248523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55</v>
      </c>
      <c r="H5" s="13" t="n">
        <f aca="false">623.754*1.0259</f>
        <v>639.9092286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58</v>
      </c>
      <c r="H6" s="13" t="n">
        <f aca="false">760.134*1.0259</f>
        <v>779.8214706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51</v>
      </c>
      <c r="H7" s="13" t="n">
        <f aca="false">740.037*1.0259</f>
        <v>759.2039583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83.9207340641886</v>
      </c>
      <c r="B20" s="25" t="n">
        <f aca="false">COUNT(H3:H17)</f>
        <v>5</v>
      </c>
      <c r="C20" s="26" t="n">
        <f aca="false">IF(B20&lt;2,"N/A",(A20/D20))</f>
        <v>0.1152899864876</v>
      </c>
      <c r="D20" s="27" t="n">
        <f aca="false">ROUND(AVERAGE(H3:H17),2)</f>
        <v>727.91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759.2</v>
      </c>
      <c r="G20" s="29" t="str">
        <f aca="false">INDEX(G3:G17,MATCH(H20,H3:H17,0))</f>
        <v>CNPJ 24.616.322/0001-28 (PE n. 48/2017)</v>
      </c>
      <c r="H20" s="30" t="n">
        <f aca="false">MIN(H3:H17)</f>
        <v>638.8248523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727.91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7279.1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0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6" activeCellId="0" sqref="H6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386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387</v>
      </c>
      <c r="C3" s="9" t="s">
        <v>11</v>
      </c>
      <c r="D3" s="10" t="n">
        <v>70</v>
      </c>
      <c r="E3" s="11" t="n">
        <f aca="false">IF(C20&lt;=25%,D20,MIN(E20:F20))</f>
        <v>27.26</v>
      </c>
      <c r="F3" s="11" t="n">
        <f aca="false">MIN(H3:H17)</f>
        <v>18.43</v>
      </c>
      <c r="G3" s="12" t="s">
        <v>388</v>
      </c>
      <c r="H3" s="12" t="n">
        <v>18.43</v>
      </c>
      <c r="I3" s="14" t="n">
        <f aca="false">IF(H3="","",(IF($C$20&lt;25%,"N/A",IF(H3&lt;=($D$20+$A$20),H3,"Descartado"))))</f>
        <v>18.43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389</v>
      </c>
      <c r="H4" s="12" t="n">
        <v>31.03</v>
      </c>
      <c r="I4" s="14" t="n">
        <f aca="false">IF(H4="","",(IF($C$20&lt;25%,"N/A",IF(H4&lt;=($D$20+$A$20),H4,"Descartado"))))</f>
        <v>31.03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390</v>
      </c>
      <c r="H5" s="12" t="n">
        <v>32.31</v>
      </c>
      <c r="I5" s="14" t="n">
        <f aca="false">IF(H5="","",(IF($C$20&lt;25%,"N/A",IF(H5&lt;=($D$20+$A$20),H5,"Descartado"))))</f>
        <v>32.31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7.67086261989702</v>
      </c>
      <c r="B20" s="25" t="n">
        <f aca="false">COUNT(H3:H17)</f>
        <v>3</v>
      </c>
      <c r="C20" s="26" t="n">
        <f aca="false">IF(B20&lt;2,"N/A",(A20/D20))</f>
        <v>0.281396280994021</v>
      </c>
      <c r="D20" s="27" t="n">
        <f aca="false">ROUND(AVERAGE(H3:H17),2)</f>
        <v>27.26</v>
      </c>
      <c r="E20" s="28" t="n">
        <f aca="false">IFERROR(ROUND(IF(B20&lt;2,"N/A",(IF(C20&lt;=25%,"N/A",AVERAGE(I3:I17)))),2),"N/A")</f>
        <v>27.26</v>
      </c>
      <c r="F20" s="28" t="n">
        <f aca="false">ROUND(MEDIAN(H3:H17),2)</f>
        <v>31.03</v>
      </c>
      <c r="G20" s="29" t="str">
        <f aca="false">INDEX(G3:G17,MATCH(H20,H3:H17,0))</f>
        <v>PAPELEX</v>
      </c>
      <c r="H20" s="30" t="n">
        <f aca="false">MIN(H3:H17)</f>
        <v>18.43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27.26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1908.2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8" activeCellId="0" sqref="H8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391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392</v>
      </c>
      <c r="C3" s="9" t="s">
        <v>11</v>
      </c>
      <c r="D3" s="10" t="n">
        <v>70</v>
      </c>
      <c r="E3" s="11" t="n">
        <f aca="false">IF(C20&lt;=25%,D20,MIN(E20:F20))</f>
        <v>15.6</v>
      </c>
      <c r="F3" s="11" t="n">
        <f aca="false">MIN(H3:H17)</f>
        <v>12.99</v>
      </c>
      <c r="G3" s="12" t="s">
        <v>393</v>
      </c>
      <c r="H3" s="12" t="n">
        <v>12.99</v>
      </c>
      <c r="I3" s="14" t="n">
        <f aca="false">IF(H3="","",(IF($C$20&lt;25%,"N/A",IF(H3&lt;=($D$20+$A$20),H3,"Descartado"))))</f>
        <v>12.99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394</v>
      </c>
      <c r="H4" s="12" t="n">
        <v>15.78</v>
      </c>
      <c r="I4" s="14" t="n">
        <f aca="false">IF(H4="","",(IF($C$20&lt;25%,"N/A",IF(H4&lt;=($D$20+$A$20),H4,"Descartado"))))</f>
        <v>15.78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395</v>
      </c>
      <c r="H5" s="12" t="n">
        <v>13.2</v>
      </c>
      <c r="I5" s="14" t="n">
        <f aca="false">IF(H5="","",(IF($C$20&lt;25%,"N/A",IF(H5&lt;=($D$20+$A$20),H5,"Descartado"))))</f>
        <v>13.2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396</v>
      </c>
      <c r="H6" s="12" t="n">
        <v>23.63</v>
      </c>
      <c r="I6" s="14" t="str">
        <f aca="false">IF(H6="","",(IF($C$20&lt;25%,"N/A",IF(H6&lt;=($D$20+$A$20),H6,"Descartado"))))</f>
        <v>Descartado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397</v>
      </c>
      <c r="H7" s="12" t="n">
        <v>20.44</v>
      </c>
      <c r="I7" s="14" t="n">
        <f aca="false">IF(H7="","",(IF($C$20&lt;25%,"N/A",IF(H7&lt;=($D$20+$A$20),H7,"Descartado"))))</f>
        <v>20.44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4.679280927664</v>
      </c>
      <c r="B20" s="25" t="n">
        <f aca="false">COUNT(H3:H17)</f>
        <v>5</v>
      </c>
      <c r="C20" s="26" t="n">
        <f aca="false">IF(B20&lt;2,"N/A",(A20/D20))</f>
        <v>0.271893139318071</v>
      </c>
      <c r="D20" s="27" t="n">
        <f aca="false">ROUND(AVERAGE(H3:H17),2)</f>
        <v>17.21</v>
      </c>
      <c r="E20" s="28" t="n">
        <f aca="false">IFERROR(ROUND(IF(B20&lt;2,"N/A",(IF(C20&lt;=25%,"N/A",AVERAGE(I3:I17)))),2),"N/A")</f>
        <v>15.6</v>
      </c>
      <c r="F20" s="28" t="n">
        <f aca="false">ROUND(MEDIAN(H3:H17),2)</f>
        <v>15.78</v>
      </c>
      <c r="G20" s="29" t="str">
        <f aca="false">INDEX(G3:G17,MATCH(H20,H3:H17,0))</f>
        <v>MADEIRA MADEIRA</v>
      </c>
      <c r="H20" s="30" t="n">
        <f aca="false">MIN(H3:H17)</f>
        <v>12.99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15.6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1092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90" zoomScalePageLayoutView="100" workbookViewId="0">
      <selection pane="topLeft" activeCell="H6" activeCellId="0" sqref="H6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398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399</v>
      </c>
      <c r="C3" s="9" t="s">
        <v>11</v>
      </c>
      <c r="D3" s="10" t="n">
        <v>200</v>
      </c>
      <c r="E3" s="11" t="n">
        <f aca="false">IF(C20&lt;=25%,D20,MIN(E20:F20))</f>
        <v>7.04</v>
      </c>
      <c r="F3" s="11" t="n">
        <f aca="false">MIN(H3:H17)</f>
        <v>4.01</v>
      </c>
      <c r="G3" s="12" t="s">
        <v>400</v>
      </c>
      <c r="H3" s="12" t="n">
        <v>4.01</v>
      </c>
      <c r="I3" s="14" t="n">
        <f aca="false">IF(H3="","",(IF($C$20&lt;25%,"N/A",IF(H3&lt;=($D$20+$A$20),H3,"Descartado"))))</f>
        <v>4.01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317</v>
      </c>
      <c r="H4" s="12" t="n">
        <v>8.51</v>
      </c>
      <c r="I4" s="14" t="n">
        <f aca="false">IF(H4="","",(IF($C$20&lt;25%,"N/A",IF(H4&lt;=($D$20+$A$20),H4,"Descartado"))))</f>
        <v>8.51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401</v>
      </c>
      <c r="H5" s="12" t="n">
        <v>8.61</v>
      </c>
      <c r="I5" s="14" t="n">
        <f aca="false">IF(H5="","",(IF($C$20&lt;25%,"N/A",IF(H5&lt;=($D$20+$A$20),H5,"Descartado"))))</f>
        <v>8.61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2.62741951985847</v>
      </c>
      <c r="B20" s="25" t="n">
        <f aca="false">COUNT(H3:H17)</f>
        <v>3</v>
      </c>
      <c r="C20" s="26" t="n">
        <f aca="false">IF(B20&lt;2,"N/A",(A20/D20))</f>
        <v>0.373212999979897</v>
      </c>
      <c r="D20" s="27" t="n">
        <f aca="false">ROUND(AVERAGE(H3:H17),2)</f>
        <v>7.04</v>
      </c>
      <c r="E20" s="28" t="n">
        <f aca="false">IFERROR(ROUND(IF(B20&lt;2,"N/A",(IF(C20&lt;=25%,"N/A",AVERAGE(I3:I17)))),2),"N/A")</f>
        <v>7.04</v>
      </c>
      <c r="F20" s="28" t="n">
        <f aca="false">ROUND(MEDIAN(H3:H17),2)</f>
        <v>8.51</v>
      </c>
      <c r="G20" s="29" t="str">
        <f aca="false">INDEX(G3:G17,MATCH(H20,H3:H17,0))</f>
        <v>AR BRASIL</v>
      </c>
      <c r="H20" s="30" t="n">
        <f aca="false">MIN(H3:H17)</f>
        <v>4.01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7.04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1408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85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79" activeCellId="0" sqref="H79"/>
    </sheetView>
  </sheetViews>
  <sheetFormatPr defaultColWidth="9.15625" defaultRowHeight="12.75" zeroHeight="false" outlineLevelRow="0" outlineLevelCol="0"/>
  <cols>
    <col collapsed="false" customWidth="false" hidden="false" outlineLevel="0" max="1" min="1" style="45" width="9.14"/>
    <col collapsed="false" customWidth="true" hidden="false" outlineLevel="0" max="2" min="2" style="45" width="86.85"/>
    <col collapsed="false" customWidth="true" hidden="false" outlineLevel="0" max="4" min="3" style="45" width="13.29"/>
    <col collapsed="false" customWidth="true" hidden="false" outlineLevel="0" max="5" min="5" style="46" width="13.29"/>
    <col collapsed="false" customWidth="true" hidden="false" outlineLevel="0" max="6" min="6" style="45" width="15.57"/>
    <col collapsed="false" customWidth="false" hidden="false" outlineLevel="0" max="14" min="7" style="47" width="9.14"/>
    <col collapsed="false" customWidth="false" hidden="false" outlineLevel="0" max="1024" min="15" style="45" width="9.14"/>
  </cols>
  <sheetData>
    <row r="1" customFormat="false" ht="15.75" hidden="false" customHeight="true" outlineLevel="0" collapsed="false">
      <c r="A1" s="48" t="s">
        <v>402</v>
      </c>
      <c r="B1" s="48"/>
      <c r="C1" s="48"/>
      <c r="D1" s="48"/>
      <c r="E1" s="48"/>
      <c r="F1" s="48"/>
    </row>
    <row r="2" customFormat="false" ht="25.5" hidden="false" customHeight="false" outlineLevel="0" collapsed="false">
      <c r="A2" s="49" t="s">
        <v>403</v>
      </c>
      <c r="B2" s="49" t="s">
        <v>404</v>
      </c>
      <c r="C2" s="49" t="s">
        <v>405</v>
      </c>
      <c r="D2" s="49" t="s">
        <v>406</v>
      </c>
      <c r="E2" s="50" t="s">
        <v>407</v>
      </c>
      <c r="F2" s="49" t="s">
        <v>408</v>
      </c>
    </row>
    <row r="3" customFormat="false" ht="12.75" hidden="false" customHeight="false" outlineLevel="0" collapsed="false">
      <c r="A3" s="51" t="n">
        <v>1</v>
      </c>
      <c r="B3" s="52" t="str">
        <f aca="false">Item1!B3</f>
        <v>Adaptador Multiplicador De Linha Telefone RJ11 com 3 saídas</v>
      </c>
      <c r="C3" s="51" t="str">
        <f aca="false">Item1!C3</f>
        <v>unidade</v>
      </c>
      <c r="D3" s="51" t="n">
        <f aca="false">Item1!D3</f>
        <v>50</v>
      </c>
      <c r="E3" s="53" t="n">
        <f aca="false">Item1!E3</f>
        <v>3.81</v>
      </c>
      <c r="F3" s="54" t="n">
        <f aca="false">(ROUND(E3,2)*D3)</f>
        <v>190.5</v>
      </c>
      <c r="G3" s="55" t="str">
        <f aca="false">IF(F3&gt;80000,"necessária a subdivisão deste item em cotas!","")</f>
        <v/>
      </c>
    </row>
    <row r="4" customFormat="false" ht="12.75" hidden="false" customHeight="false" outlineLevel="0" collapsed="false">
      <c r="A4" s="51" t="n">
        <v>2</v>
      </c>
      <c r="B4" s="52" t="str">
        <f aca="false">Item2!B3</f>
        <v>Adaptador Multiplicador De Linha Telefone RJ11 com 5 saídas</v>
      </c>
      <c r="C4" s="51" t="str">
        <f aca="false">Item2!C3</f>
        <v>unidade</v>
      </c>
      <c r="D4" s="51" t="n">
        <f aca="false">Item2!D3</f>
        <v>50</v>
      </c>
      <c r="E4" s="53" t="n">
        <f aca="false">Item2!E3</f>
        <v>8.85</v>
      </c>
      <c r="F4" s="54" t="n">
        <f aca="false">(ROUND(E4,2)*D4)</f>
        <v>442.5</v>
      </c>
    </row>
    <row r="5" customFormat="false" ht="153" hidden="false" customHeight="false" outlineLevel="0" collapsed="false">
      <c r="A5" s="51" t="n">
        <v>3</v>
      </c>
      <c r="B5" s="52" t="str">
        <f aca="false">Item3!B3</f>
        <v>Cabo de rede UTP - Categoria 6
Especificações técnicas:
·  Cabo de 4 pares trançados compostos por condutores sólidos de cobre, 23AWG, isolados em polietileno de alta densidade;
·  Capa externa em PVC não propagante a chama;
·  Cor azul;
·  Acondicionado em caixa de papelão tipo fastbox (305 metros), com nome do fabricante e sistema de rastreamento que permita identificar a data de fabricação dos cabos;
·  O cabo deve ser fabricado com material LSZH (Low Smoke, Zero Halogen);
·  Marcação sequencial métrica decrescente;
</v>
      </c>
      <c r="C5" s="51" t="str">
        <f aca="false">Item3!C3</f>
        <v>caixa</v>
      </c>
      <c r="D5" s="51" t="n">
        <f aca="false">Item3!D3</f>
        <v>60</v>
      </c>
      <c r="E5" s="53" t="n">
        <f aca="false">Item3!E3</f>
        <v>1314.57</v>
      </c>
      <c r="F5" s="54" t="n">
        <f aca="false">(ROUND(E5,2)*D5)</f>
        <v>78874.2</v>
      </c>
    </row>
    <row r="6" customFormat="false" ht="25.5" hidden="false" customHeight="false" outlineLevel="0" collapsed="false">
      <c r="A6" s="51" t="n">
        <v>4</v>
      </c>
      <c r="B6" s="52" t="str">
        <f aca="false">Item4!B3</f>
        <v> Cabo em cobre, tipo PP, 3 x 2,50 mm² (três vias com bitola de 2,50
mm²). Cabo do tipo flexível e capa de PVC. Rolo com 100m</v>
      </c>
      <c r="C6" s="51" t="str">
        <f aca="false">Item4!C3</f>
        <v>rl</v>
      </c>
      <c r="D6" s="51" t="n">
        <f aca="false">Item4!D3</f>
        <v>10</v>
      </c>
      <c r="E6" s="53" t="n">
        <f aca="false">Item4!E3</f>
        <v>361.29</v>
      </c>
      <c r="F6" s="54" t="n">
        <f aca="false">(ROUND(E6,2)*D6)</f>
        <v>3612.9</v>
      </c>
    </row>
    <row r="7" customFormat="false" ht="25.5" hidden="false" customHeight="false" outlineLevel="0" collapsed="false">
      <c r="A7" s="51" t="n">
        <v>5</v>
      </c>
      <c r="B7" s="52" t="str">
        <f aca="false">Item5!B3</f>
        <v>Cabo em cobre, tipo PP, 3 x 4,00 mm² (três vias com bitola de 4,00
mm²). Cabo do tipo flexível e capa de PVC. Rolo com 100m</v>
      </c>
      <c r="C7" s="51" t="str">
        <f aca="false">Item5!C3</f>
        <v>rl</v>
      </c>
      <c r="D7" s="51" t="n">
        <f aca="false">Item5!D3</f>
        <v>10</v>
      </c>
      <c r="E7" s="53" t="n">
        <f aca="false">Item5!E3</f>
        <v>545.58</v>
      </c>
      <c r="F7" s="54" t="n">
        <f aca="false">(ROUND(E7,2)*D7)</f>
        <v>5455.8</v>
      </c>
    </row>
    <row r="8" customFormat="false" ht="25.5" hidden="false" customHeight="false" outlineLevel="0" collapsed="false">
      <c r="A8" s="51" t="n">
        <v>6</v>
      </c>
      <c r="B8" s="52" t="str">
        <f aca="false">Item6!B3</f>
        <v>Cabo em cobre, tipo PP, 3 x 6,00 mm² (três vias com bitola de 6,00
mm²). Cabo do tipo flexível e capa de PVC. Rolo com 100m</v>
      </c>
      <c r="C8" s="51" t="str">
        <f aca="false">Item6!C3</f>
        <v>rl</v>
      </c>
      <c r="D8" s="51" t="n">
        <f aca="false">Item6!D3</f>
        <v>10</v>
      </c>
      <c r="E8" s="53" t="n">
        <f aca="false">Item6!E3</f>
        <v>779.2</v>
      </c>
      <c r="F8" s="54" t="n">
        <f aca="false">(ROUND(E8,2)*D8)</f>
        <v>7792</v>
      </c>
    </row>
    <row r="9" customFormat="false" ht="25.5" hidden="false" customHeight="false" outlineLevel="0" collapsed="false">
      <c r="A9" s="51" t="n">
        <v>7</v>
      </c>
      <c r="B9" s="52" t="str">
        <f aca="false">Item7!B3</f>
        <v> Cabo em cobre, tipo PP, 4 x 2,50 mm² (quatro vias com bitola de
2,50 mm²). Cabo do tipo flexível e capa de PVC. Rolo com 100m</v>
      </c>
      <c r="C9" s="51" t="str">
        <f aca="false">Item7!C3</f>
        <v>rl</v>
      </c>
      <c r="D9" s="51" t="n">
        <f aca="false">Item7!D3</f>
        <v>10</v>
      </c>
      <c r="E9" s="53" t="n">
        <f aca="false">Item7!E3</f>
        <v>520.61</v>
      </c>
      <c r="F9" s="54" t="n">
        <f aca="false">(ROUND(E9,2)*D9)</f>
        <v>5206.1</v>
      </c>
    </row>
    <row r="10" customFormat="false" ht="25.5" hidden="false" customHeight="false" outlineLevel="0" collapsed="false">
      <c r="A10" s="51" t="n">
        <v>8</v>
      </c>
      <c r="B10" s="52" t="str">
        <f aca="false">Item8!B3</f>
        <v>Cabo em cobre, tipo PP, 4 x 4,00 mm² (quatro vias com bitola de
4,00 mm²). Cabo do tipo flexível e capa de PVC. Rolo com 100m</v>
      </c>
      <c r="C10" s="51" t="str">
        <f aca="false">Item8!C3</f>
        <v>rl</v>
      </c>
      <c r="D10" s="51" t="n">
        <f aca="false">Item8!D3</f>
        <v>10</v>
      </c>
      <c r="E10" s="53" t="n">
        <f aca="false">Item8!E3</f>
        <v>727.91</v>
      </c>
      <c r="F10" s="54" t="n">
        <f aca="false">(ROUND(E10,2)*D10)</f>
        <v>7279.1</v>
      </c>
    </row>
    <row r="11" customFormat="false" ht="25.5" hidden="false" customHeight="false" outlineLevel="0" collapsed="false">
      <c r="A11" s="51" t="n">
        <v>9</v>
      </c>
      <c r="B11" s="52" t="str">
        <f aca="false">Item9!B3</f>
        <v> Cabo em cobre, tipo PP, 4 x 6,00 mm² (quatro vias com bitola de
6,00 mm²). Cabo do tipo flexível e capa de PVC. Rolo com 100m</v>
      </c>
      <c r="C11" s="51" t="str">
        <f aca="false">Item9!C3</f>
        <v>rl</v>
      </c>
      <c r="D11" s="51" t="n">
        <f aca="false">Item9!D3</f>
        <v>10</v>
      </c>
      <c r="E11" s="53" t="n">
        <f aca="false">Item9!E3</f>
        <v>964.98</v>
      </c>
      <c r="F11" s="54" t="n">
        <f aca="false">(ROUND(E11,2)*D11)</f>
        <v>9649.8</v>
      </c>
    </row>
    <row r="12" customFormat="false" ht="38.25" hidden="false" customHeight="false" outlineLevel="0" collapsed="false">
      <c r="A12" s="51" t="n">
        <v>10</v>
      </c>
      <c r="B12" s="52" t="str">
        <f aca="false">Item10!B3</f>
        <v> Cabo flexível em cobre com bitola de 2,50 mm², classe de
isolamento 0,75kV isolamento em PVC, fornecido em embalagens
fechadas lacradas pelo fabricante, na cor amarela. Rolo com 100m</v>
      </c>
      <c r="C12" s="51" t="str">
        <f aca="false">Item10!C3</f>
        <v>rl</v>
      </c>
      <c r="D12" s="51" t="n">
        <f aca="false">Item10!D3</f>
        <v>20</v>
      </c>
      <c r="E12" s="53" t="n">
        <f aca="false">Item10!E3</f>
        <v>74.03</v>
      </c>
      <c r="F12" s="54" t="n">
        <f aca="false">(ROUND(E12,2)*D12)</f>
        <v>1480.6</v>
      </c>
    </row>
    <row r="13" customFormat="false" ht="38.25" hidden="false" customHeight="false" outlineLevel="0" collapsed="false">
      <c r="A13" s="51" t="n">
        <v>11</v>
      </c>
      <c r="B13" s="52" t="str">
        <f aca="false">Item11!B3</f>
        <v>Cabo flexível em cobre com bitola de 2,50 mm², classe de
isolamento 0,75kV, isolamento em PVC, fornecido em embalagens
fechadas lacradas pelo fabricante, na cor azul. Rolo com 100m</v>
      </c>
      <c r="C13" s="51" t="str">
        <f aca="false">Item11!C3</f>
        <v>rl</v>
      </c>
      <c r="D13" s="51" t="n">
        <f aca="false">Item11!D3</f>
        <v>20</v>
      </c>
      <c r="E13" s="53" t="n">
        <f aca="false">Item11!E3</f>
        <v>87.54</v>
      </c>
      <c r="F13" s="54" t="n">
        <f aca="false">(ROUND(E13,2)*D13)</f>
        <v>1750.8</v>
      </c>
    </row>
    <row r="14" customFormat="false" ht="38.25" hidden="false" customHeight="false" outlineLevel="0" collapsed="false">
      <c r="A14" s="51" t="n">
        <v>12</v>
      </c>
      <c r="B14" s="52" t="str">
        <f aca="false">Item13!B3</f>
        <v> Cabo flexível em cobre com bitola de 2,50 mm², classe de
isolamento 0,75kV, isolamento em PVC, fornecido em embalagens
fechadas lacradas pelo fabricante, na cor preta. Rolo com 100m</v>
      </c>
      <c r="C14" s="51" t="str">
        <f aca="false">Item12!$C$3</f>
        <v>rl</v>
      </c>
      <c r="D14" s="51" t="n">
        <f aca="false">Item12!$D$3</f>
        <v>20</v>
      </c>
      <c r="E14" s="53" t="n">
        <f aca="false">Item12!$E$3</f>
        <v>82.23</v>
      </c>
      <c r="F14" s="54" t="n">
        <f aca="false">(ROUND(E14,2)*D14)</f>
        <v>1644.6</v>
      </c>
    </row>
    <row r="15" customFormat="false" ht="38.25" hidden="false" customHeight="false" outlineLevel="0" collapsed="false">
      <c r="A15" s="51" t="n">
        <v>13</v>
      </c>
      <c r="B15" s="52" t="str">
        <f aca="false">Item14!B3</f>
        <v>Cabo flexível em cobre com bitola de 2,50 mm², classe de
isolamento 0,75kV isolamento em PVC, fornecido em embalagens
fechadas lacradas pelo fabricante, na cor verde. Rolo com 100m</v>
      </c>
      <c r="C15" s="51" t="str">
        <f aca="false">Item13!$C$3</f>
        <v>rl</v>
      </c>
      <c r="D15" s="51" t="n">
        <f aca="false">Item12!$D$3</f>
        <v>20</v>
      </c>
      <c r="E15" s="53" t="n">
        <f aca="false">Item12!$E$3</f>
        <v>82.23</v>
      </c>
      <c r="F15" s="54" t="n">
        <f aca="false">(ROUND(E15,2)*D15)</f>
        <v>1644.6</v>
      </c>
    </row>
    <row r="16" customFormat="false" ht="38.25" hidden="false" customHeight="false" outlineLevel="0" collapsed="false">
      <c r="A16" s="51" t="n">
        <v>14</v>
      </c>
      <c r="B16" s="52" t="str">
        <f aca="false">Item14!B3</f>
        <v>Cabo flexível em cobre com bitola de 2,50 mm², classe de
isolamento 0,75kV isolamento em PVC, fornecido em embalagens
fechadas lacradas pelo fabricante, na cor verde. Rolo com 100m</v>
      </c>
      <c r="C16" s="51" t="str">
        <f aca="false">Item14!C3</f>
        <v>rl</v>
      </c>
      <c r="D16" s="51" t="n">
        <f aca="false">Item14!D3</f>
        <v>20</v>
      </c>
      <c r="E16" s="53" t="n">
        <f aca="false">Item14!E3</f>
        <v>85.39</v>
      </c>
      <c r="F16" s="54" t="n">
        <f aca="false">(ROUND(E16,2)*D16)</f>
        <v>1707.8</v>
      </c>
    </row>
    <row r="17" customFormat="false" ht="38.25" hidden="false" customHeight="false" outlineLevel="0" collapsed="false">
      <c r="A17" s="51" t="n">
        <v>15</v>
      </c>
      <c r="B17" s="52" t="str">
        <f aca="false">Item15!B3</f>
        <v>Cabo flexível em cobre com bitola de 2,50 mm², classe de
isolamento 0,75kV, isolamento em PVC, fornecido em embalagens
fechadas lacradas pelo fabricante, na cor vermelha. Rolo com 100m</v>
      </c>
      <c r="C17" s="51" t="str">
        <f aca="false">Item15!$C$3</f>
        <v>rl</v>
      </c>
      <c r="D17" s="51" t="n">
        <f aca="false">Item15!$D$3</f>
        <v>20</v>
      </c>
      <c r="E17" s="53" t="n">
        <f aca="false">Item15!$E$3</f>
        <v>86.57</v>
      </c>
      <c r="F17" s="54" t="n">
        <f aca="false">(ROUND(E17,2)*D17)</f>
        <v>1731.4</v>
      </c>
    </row>
    <row r="18" customFormat="false" ht="38.25" hidden="false" customHeight="false" outlineLevel="0" collapsed="false">
      <c r="A18" s="51" t="n">
        <v>16</v>
      </c>
      <c r="B18" s="52" t="str">
        <f aca="false">Item16!B3</f>
        <v>Cabo flexível em cobre com bitola de 4,00 mm², classe de
isolamento 0,75kV, isolamento em PVC, fornecido em embalagens
fechadas lacradas pelo fabricante, na cor azul. Rolo com 100m</v>
      </c>
      <c r="C18" s="51" t="str">
        <f aca="false">Item16!$C$3</f>
        <v>rl</v>
      </c>
      <c r="D18" s="51" t="n">
        <f aca="false">Item16!$D$3</f>
        <v>20</v>
      </c>
      <c r="E18" s="53" t="n">
        <f aca="false">Item16!$E$3</f>
        <v>130.04</v>
      </c>
      <c r="F18" s="54" t="n">
        <f aca="false">(ROUND(E18,2)*D18)</f>
        <v>2600.8</v>
      </c>
    </row>
    <row r="19" customFormat="false" ht="38.25" hidden="false" customHeight="false" outlineLevel="0" collapsed="false">
      <c r="A19" s="51" t="n">
        <v>17</v>
      </c>
      <c r="B19" s="52" t="str">
        <f aca="false">Item17!B3</f>
        <v>Cabo flexível em cobre com bitola de 4,00 mm², classe de
isolamento 0,75kV, isolamento em PVC, fornecido em embalagens
fechadas lacradas pelo fabricante, na cor preta. Rolo com 100m</v>
      </c>
      <c r="C19" s="51" t="str">
        <f aca="false">Item17!$C$3</f>
        <v>rl</v>
      </c>
      <c r="D19" s="51" t="n">
        <f aca="false">Item17!$D$3</f>
        <v>20</v>
      </c>
      <c r="E19" s="53" t="n">
        <f aca="false">Item17!$E$3</f>
        <v>147.49</v>
      </c>
      <c r="F19" s="54" t="n">
        <f aca="false">(ROUND(E19,2)*D19)</f>
        <v>2949.8</v>
      </c>
    </row>
    <row r="20" customFormat="false" ht="38.25" hidden="false" customHeight="false" outlineLevel="0" collapsed="false">
      <c r="A20" s="51" t="n">
        <v>18</v>
      </c>
      <c r="B20" s="52" t="str">
        <f aca="false">Item18!B3</f>
        <v>Cabo flexível em cobre com bitola de 4,00 mm², classe de
isolamento 0,75kV isolamento em PVC, fornecido em embalagens
fechadas lacradas pelo fabricante, na cor verde. Rolo com 100m</v>
      </c>
      <c r="C20" s="51" t="str">
        <f aca="false">Item18!$C$3</f>
        <v>rl</v>
      </c>
      <c r="D20" s="51" t="n">
        <f aca="false">Item18!$D$3</f>
        <v>20</v>
      </c>
      <c r="E20" s="53" t="n">
        <f aca="false">Item18!$E$3</f>
        <v>133.41</v>
      </c>
      <c r="F20" s="54" t="n">
        <f aca="false">(ROUND(E20,2)*D20)</f>
        <v>2668.2</v>
      </c>
    </row>
    <row r="21" customFormat="false" ht="38.25" hidden="false" customHeight="false" outlineLevel="0" collapsed="false">
      <c r="A21" s="51" t="n">
        <v>19</v>
      </c>
      <c r="B21" s="52" t="str">
        <f aca="false">Item19!B3</f>
        <v>Cabo flexível em cobre com bitola de 4,00 mm², classe de
isolamento 0,75kV isolamento em PVC, fornecido em embalagens
fechadas lacradas pelo fabricante, na cor vermelha. Rolo com 100m</v>
      </c>
      <c r="C21" s="51" t="str">
        <f aca="false">Item19!$C$3</f>
        <v>rl</v>
      </c>
      <c r="D21" s="51" t="n">
        <f aca="false">Item19!$D$3</f>
        <v>20</v>
      </c>
      <c r="E21" s="53" t="n">
        <f aca="false">Item19!$E$3</f>
        <v>151.06</v>
      </c>
      <c r="F21" s="54" t="n">
        <f aca="false">(ROUND(E21,2)*D21)</f>
        <v>3021.2</v>
      </c>
    </row>
    <row r="22" customFormat="false" ht="38.25" hidden="false" customHeight="false" outlineLevel="0" collapsed="false">
      <c r="A22" s="51" t="n">
        <v>20</v>
      </c>
      <c r="B22" s="52" t="str">
        <f aca="false">Item20!B3</f>
        <v>Cabo flexível em cobre com bitola de 4,00 mm², classe de
isolamento 0,75kV, isolamento em PVC, fornecido em embalagens
fechadas lacradas pelo fabricante, na cor branca. Rolo com 100m</v>
      </c>
      <c r="C22" s="51" t="str">
        <f aca="false">Item20!$C$3</f>
        <v>rl</v>
      </c>
      <c r="D22" s="51" t="n">
        <f aca="false">Item20!$D$3</f>
        <v>20</v>
      </c>
      <c r="E22" s="53" t="n">
        <f aca="false">Item20!$E$3</f>
        <v>130.15</v>
      </c>
      <c r="F22" s="54" t="n">
        <f aca="false">(ROUND(E22,2)*D22)</f>
        <v>2603</v>
      </c>
    </row>
    <row r="23" customFormat="false" ht="38.25" hidden="false" customHeight="false" outlineLevel="0" collapsed="false">
      <c r="A23" s="51" t="n">
        <v>21</v>
      </c>
      <c r="B23" s="52" t="str">
        <f aca="false">Item21!B3</f>
        <v>Cabo flexível em cobre com bitola de 6,00 mm², classe de
isolamento 0,75kV isolamento em PVC, fornecido em embalagens
fechadas lacradas pelo fabricante, na cor verde. Rolo com 100m</v>
      </c>
      <c r="C23" s="51" t="str">
        <f aca="false">Item21!$C$3</f>
        <v>rl</v>
      </c>
      <c r="D23" s="51" t="n">
        <f aca="false">Item21!$D$3</f>
        <v>10</v>
      </c>
      <c r="E23" s="53" t="n">
        <f aca="false">Item21!$E$3</f>
        <v>189.62</v>
      </c>
      <c r="F23" s="54" t="n">
        <f aca="false">(ROUND(E23,2)*D23)</f>
        <v>1896.2</v>
      </c>
    </row>
    <row r="24" customFormat="false" ht="38.25" hidden="false" customHeight="false" outlineLevel="0" collapsed="false">
      <c r="A24" s="51" t="n">
        <v>22</v>
      </c>
      <c r="B24" s="52" t="str">
        <f aca="false">Item22!B3</f>
        <v>Cabo flexível em cobre com bitola de 6,00 mm², classe de
isolamento 0,75kV isolamento em PVC, fornecido em embalagens
fechadas lacradas pelo fabricante, na cor vermelha. Rolo com 100m</v>
      </c>
      <c r="C24" s="51" t="str">
        <f aca="false">Item22!$C$3</f>
        <v>rl</v>
      </c>
      <c r="D24" s="51" t="n">
        <f aca="false">Item22!$D$3</f>
        <v>10</v>
      </c>
      <c r="E24" s="53" t="n">
        <f aca="false">Item22!$E$3</f>
        <v>184.08</v>
      </c>
      <c r="F24" s="54" t="n">
        <f aca="false">(ROUND(E24,2)*D24)</f>
        <v>1840.8</v>
      </c>
    </row>
    <row r="25" customFormat="false" ht="38.25" hidden="false" customHeight="false" outlineLevel="0" collapsed="false">
      <c r="A25" s="51" t="n">
        <v>23</v>
      </c>
      <c r="B25" s="52" t="str">
        <f aca="false">Item23!B3</f>
        <v>Cabo flexível em cobre com bitola de 6,00 mm², classe de
isolamento 0,75kV, isolamento em PVC, fornecido em embalagens
fechadas lacradas pelo fabricante, na cor azul. Rolo com 100m</v>
      </c>
      <c r="C25" s="51" t="str">
        <f aca="false">Item23!C3</f>
        <v>rl</v>
      </c>
      <c r="D25" s="51" t="n">
        <f aca="false">Item23!D3</f>
        <v>10</v>
      </c>
      <c r="E25" s="53" t="n">
        <f aca="false">Item23!E3</f>
        <v>200.75</v>
      </c>
      <c r="F25" s="54" t="n">
        <f aca="false">(ROUND(E25,2)*D25)</f>
        <v>2007.5</v>
      </c>
    </row>
    <row r="26" customFormat="false" ht="38.25" hidden="false" customHeight="false" outlineLevel="0" collapsed="false">
      <c r="A26" s="51" t="n">
        <v>24</v>
      </c>
      <c r="B26" s="52" t="str">
        <f aca="false">Item24!B3</f>
        <v>Cabo flexível em cobre com bitola de 6,00 mm², classe de
isolamento 0,75kV, isolamento em PVC, fornecido em embalagens
fechadas lacradas pelo fabricante, na cor preta. Rolo com 100m</v>
      </c>
      <c r="C26" s="51" t="str">
        <f aca="false">Item24!C3</f>
        <v>rl</v>
      </c>
      <c r="D26" s="51" t="n">
        <f aca="false">Item24!D3</f>
        <v>10</v>
      </c>
      <c r="E26" s="53" t="n">
        <f aca="false">Item24!E3</f>
        <v>194.14</v>
      </c>
      <c r="F26" s="54" t="n">
        <f aca="false">(ROUND(E26,2)*D26)</f>
        <v>1941.4</v>
      </c>
    </row>
    <row r="27" customFormat="false" ht="38.25" hidden="false" customHeight="false" outlineLevel="0" collapsed="false">
      <c r="A27" s="51" t="n">
        <v>25</v>
      </c>
      <c r="B27" s="52" t="str">
        <f aca="false">Item25!B3</f>
        <v>Cabo flexível em cobre com bitola de 6,00 mm², classe de
isolamento 0,75kV, isolamento em PVC, fornecido em embalagens
fechadas lacradas pelo fabricante, na cor branca. Rolo com 100m</v>
      </c>
      <c r="C27" s="51" t="str">
        <f aca="false">Item25!C3</f>
        <v>rl</v>
      </c>
      <c r="D27" s="51" t="n">
        <f aca="false">Item25!D3</f>
        <v>10</v>
      </c>
      <c r="E27" s="53" t="n">
        <f aca="false">Item25!E3</f>
        <v>214.26</v>
      </c>
      <c r="F27" s="54" t="n">
        <f aca="false">(ROUND(E27,2)*D27)</f>
        <v>2142.6</v>
      </c>
    </row>
    <row r="28" customFormat="false" ht="51" hidden="false" customHeight="false" outlineLevel="0" collapsed="false">
      <c r="A28" s="51" t="n">
        <v>26</v>
      </c>
      <c r="B28" s="52" t="str">
        <f aca="false">Item26!B3</f>
        <v> Caixa de tomada de piso em latão, redonda (circular – tanto a
moldura como o receptáculo da tomada), diâmetro 2” – completa,
inclusive tomada (2P+T padrão novo, corrente nominal 10 A e
tensão nominal 127/220V)</v>
      </c>
      <c r="C28" s="51" t="str">
        <f aca="false">Item26!$C$3</f>
        <v>unidade</v>
      </c>
      <c r="D28" s="51" t="n">
        <f aca="false">Item26!$D$3</f>
        <v>100</v>
      </c>
      <c r="E28" s="53" t="n">
        <f aca="false">Item26!$E$3</f>
        <v>62.2</v>
      </c>
      <c r="F28" s="54" t="n">
        <f aca="false">(ROUND(E28,2)*D28)</f>
        <v>6220</v>
      </c>
    </row>
    <row r="29" customFormat="false" ht="38.25" hidden="false" customHeight="false" outlineLevel="0" collapsed="false">
      <c r="A29" s="51" t="n">
        <v>27</v>
      </c>
      <c r="B29" s="52" t="str">
        <f aca="false">Item27!B3</f>
        <v>Caixa de tomada de piso em latão, redonda (circular – tanto a
moldura como o receptáculo da tomada), diâmetro 2” – completa,
inclusive tomada (RJ45)</v>
      </c>
      <c r="C29" s="51" t="str">
        <f aca="false">Item27!$C$3</f>
        <v>unidade</v>
      </c>
      <c r="D29" s="51" t="n">
        <f aca="false">Item27!$D$3</f>
        <v>100</v>
      </c>
      <c r="E29" s="53" t="n">
        <f aca="false">Item27!$E$3</f>
        <v>61.95</v>
      </c>
      <c r="F29" s="54" t="n">
        <f aca="false">(ROUND(E29,2)*D29)</f>
        <v>6195</v>
      </c>
    </row>
    <row r="30" customFormat="false" ht="216.75" hidden="false" customHeight="false" outlineLevel="0" collapsed="false">
      <c r="A30" s="51" t="n">
        <v>28</v>
      </c>
      <c r="B30" s="52" t="str">
        <f aca="false">Item28!B3</f>
        <v>Conector Fêmea RJ-45 CAT 6
Especificações técnicas:
Conector fêmea Categoria 6 para cabo UTP sólido ou flexível;
Tipo de conector RJ-45;
Fabricado em termoplástico não propagante a chama UL 94V-0;
Diâmetro do Condutor: 26 a 22 AWG;
Cor: transparente;
Normas:
ANSI/TIA-568-2-D;
ISO/IEC DIS 11801;
NBR 14565
Garantia do Fabricante:
12 meses.
Referências:
Furukawa Conector Fêmea RJ-45 GigaLan CAT6;
Panduit plug RJ-45 CAT 6
</v>
      </c>
      <c r="C30" s="51" t="str">
        <f aca="false">Item28!C3</f>
        <v>unidade</v>
      </c>
      <c r="D30" s="51" t="n">
        <f aca="false">Item28!D3</f>
        <v>1000</v>
      </c>
      <c r="E30" s="53" t="n">
        <f aca="false">Item28!E3</f>
        <v>32.18</v>
      </c>
      <c r="F30" s="54" t="n">
        <f aca="false">(ROUND(E30,2)*D30)</f>
        <v>32180</v>
      </c>
    </row>
    <row r="31" customFormat="false" ht="216.75" hidden="false" customHeight="false" outlineLevel="0" collapsed="false">
      <c r="A31" s="51" t="n">
        <v>29</v>
      </c>
      <c r="B31" s="52" t="str">
        <f aca="false">Item29!B3</f>
        <v>Conector Macho RJ-45 CAT 6
Especificações técnicas:
Conector fêmea Categoria 6 para cabo UTP sólido ou flexível;
Tipo de conector RJ-45;
Fabricado em termoplástico não propagante a chama UL 94V-0;
Diâmetro do Condutor: 26 a 22 AWG;
Cor: transparente;
Normas:
ANSI/TIA-568-2-D;
ISO/IEC DIS 11801;
NBR 14565
Garantia do Fabricante:
12 meses.
Referências:
Furukawa Conector Fêmea RJ-45 GigaLan CAT6;
Panduit plug RJ-45 CAT 6
</v>
      </c>
      <c r="C31" s="51" t="str">
        <f aca="false">Item29!C3</f>
        <v>unidade</v>
      </c>
      <c r="D31" s="51" t="n">
        <f aca="false">Item29!D3</f>
        <v>1000</v>
      </c>
      <c r="E31" s="53" t="n">
        <f aca="false">Item29!E3</f>
        <v>8</v>
      </c>
      <c r="F31" s="54" t="n">
        <f aca="false">(ROUND(E31,2)*D31)</f>
        <v>8000</v>
      </c>
    </row>
    <row r="32" customFormat="false" ht="12.75" hidden="false" customHeight="false" outlineLevel="0" collapsed="false">
      <c r="A32" s="51" t="n">
        <v>30</v>
      </c>
      <c r="B32" s="52" t="str">
        <f aca="false">Item30!B3</f>
        <v>Filtro de linha com plug 2P+T e 5 tomadas 2P+T</v>
      </c>
      <c r="C32" s="51" t="str">
        <f aca="false">Item30!C3</f>
        <v>unidade</v>
      </c>
      <c r="D32" s="51" t="n">
        <f aca="false">Item30!D3</f>
        <v>60</v>
      </c>
      <c r="E32" s="53" t="n">
        <f aca="false">Item30!E3</f>
        <v>18.88</v>
      </c>
      <c r="F32" s="54" t="n">
        <f aca="false">(ROUND(E32,2)*D32)</f>
        <v>1132.8</v>
      </c>
    </row>
    <row r="33" customFormat="false" ht="63.75" hidden="false" customHeight="false" outlineLevel="0" collapsed="false">
      <c r="A33" s="51" t="n">
        <v>31</v>
      </c>
      <c r="B33" s="52" t="str">
        <f aca="false">Item31!B3</f>
        <v>Lâmpada LED Tubular Tipo T8, 60 cm, base G13, 127/220V, fluxo
luminoso mínimo de 850lm, potência máxima de 10W, luz branca
(temperatura de cor 6000-6500K), vida útil estimada igual ou maior
que 25.000 horas, compatível com a certificação do Inmetro.
Marca: Osram, Phillips ou similar</v>
      </c>
      <c r="C33" s="51" t="str">
        <f aca="false">Item31!C3</f>
        <v>unidade</v>
      </c>
      <c r="D33" s="51" t="n">
        <f aca="false">Item31!D3</f>
        <v>200</v>
      </c>
      <c r="E33" s="53" t="n">
        <f aca="false">Item31!E3</f>
        <v>18.62</v>
      </c>
      <c r="F33" s="54" t="n">
        <f aca="false">(ROUND(E33,2)*D33)</f>
        <v>3724</v>
      </c>
    </row>
    <row r="34" customFormat="false" ht="51" hidden="false" customHeight="false" outlineLevel="0" collapsed="false">
      <c r="A34" s="51" t="n">
        <v>32</v>
      </c>
      <c r="B34" s="52" t="str">
        <f aca="false">Item32!B3</f>
        <v>Luminária de Emergência LED com fluxo luminoso mínimo de
2.100lm, potência máxima de 28W, Grau de Proteção Mínimo IP20,
autonomia mínima de 2 horas, vida útil estimada igual ou maior que
200 ciclos.</v>
      </c>
      <c r="C34" s="51" t="str">
        <f aca="false">Item32!C3</f>
        <v>unidade</v>
      </c>
      <c r="D34" s="51" t="n">
        <f aca="false">Item32!D3</f>
        <v>10</v>
      </c>
      <c r="E34" s="53" t="n">
        <f aca="false">Item32!E3</f>
        <v>169.39</v>
      </c>
      <c r="F34" s="54" t="n">
        <f aca="false">(ROUND(E34,2)*D34)</f>
        <v>1693.9</v>
      </c>
    </row>
    <row r="35" customFormat="false" ht="51" hidden="false" customHeight="false" outlineLevel="0" collapsed="false">
      <c r="A35" s="51" t="n">
        <v>33</v>
      </c>
      <c r="B35" s="52" t="str">
        <f aca="false">Item33!B3</f>
        <v>Luminária/Painel LED de embutir, Quadrado (22cm x 22cm),
127/220V, fluxo luminoso mínimo de 1.100lm, potência máxima de
18W, luz branca (temperatura de cor 6000-6500K), vida útil
estimada igual ou maior que 25.000 horas</v>
      </c>
      <c r="C35" s="51" t="str">
        <f aca="false">Item33!C3</f>
        <v>unidade</v>
      </c>
      <c r="D35" s="51" t="n">
        <f aca="false">Item33!D3</f>
        <v>50</v>
      </c>
      <c r="E35" s="53" t="n">
        <f aca="false">Item33!E3</f>
        <v>23.97</v>
      </c>
      <c r="F35" s="54" t="n">
        <f aca="false">(ROUND(E35,2)*D35)</f>
        <v>1198.5</v>
      </c>
    </row>
    <row r="36" customFormat="false" ht="38.25" hidden="false" customHeight="false" outlineLevel="0" collapsed="false">
      <c r="A36" s="51" t="n">
        <v>34</v>
      </c>
      <c r="B36" s="52" t="str">
        <f aca="false">Item34!B3</f>
        <v>Espelho de tomada de piso em latão escovado com molas e eixos
em aço inox 4x4" (espessura 2mm, comprimento 110mm e largura
110mm) com 2 tomadas 2P+T,10V com parafusos (referencia olivo, vacofer, marcai ou similar)</v>
      </c>
      <c r="C36" s="51" t="str">
        <f aca="false">Item34!C3</f>
        <v>unidade</v>
      </c>
      <c r="D36" s="51" t="n">
        <f aca="false">Item34!D3</f>
        <v>100</v>
      </c>
      <c r="E36" s="53" t="n">
        <f aca="false">Item34!E3</f>
        <v>29.54</v>
      </c>
      <c r="F36" s="54" t="n">
        <f aca="false">(ROUND(E36,2)*D36)</f>
        <v>2954</v>
      </c>
    </row>
    <row r="37" customFormat="false" ht="51" hidden="false" customHeight="false" outlineLevel="0" collapsed="false">
      <c r="A37" s="51" t="n">
        <v>35</v>
      </c>
      <c r="B37" s="52" t="str">
        <f aca="false">Item35!B3</f>
        <v>Espelho de tomada de piso em latão escovado com molas e eixos
em aço inox 4x4" (espessura 2mm, comprimento 110mm e largura
110mm) com 3 saídas para rj45, com parafusos (referencia olivo,
vacofer, marcai ou similar)</v>
      </c>
      <c r="C37" s="51" t="str">
        <f aca="false">Item35!C3</f>
        <v>unidade</v>
      </c>
      <c r="D37" s="51" t="n">
        <f aca="false">Item35!D3</f>
        <v>100</v>
      </c>
      <c r="E37" s="53" t="n">
        <f aca="false">Item35!E3</f>
        <v>25.39</v>
      </c>
      <c r="F37" s="54" t="n">
        <f aca="false">(ROUND(E37,2)*D37)</f>
        <v>2539</v>
      </c>
    </row>
    <row r="38" customFormat="false" ht="252" hidden="false" customHeight="true" outlineLevel="0" collapsed="false">
      <c r="A38" s="51" t="n">
        <v>36</v>
      </c>
      <c r="B38" s="52" t="str">
        <f aca="false">Item36!B3</f>
        <v>Patch Panel Categoria 6
Especificações técnicas:
O produto deve atender os requisitos estabelecidos nas normas para Categoria 6/ Classe E;
24 posições RJ-45;
Corpo fabricado em termoplástico de alto impacto não propagante a chama (UL 94 V-0);
Painel frontal em plástico com porta etiquetas para identificação;
Possibilidade de crimpagem T568A ou T568B;
Deve possuir uma guia traseira feita em termoplástico para organizar os cabos;
Instalação em rack 19";
·  Normas:
·  EIA/TIA-569;
·  ISO/IEC 11801;
·  NBR 14565;
·  ANSI/TIA-606.
Garantia do Fabricante:
 12 meses.
Modelo de referência
  Furukawa Patch Panel Gigalan CAT6 24P
</v>
      </c>
      <c r="C38" s="51" t="str">
        <f aca="false">Item36!C3</f>
        <v>unidade</v>
      </c>
      <c r="D38" s="51" t="n">
        <f aca="false">Item36!D3</f>
        <v>15</v>
      </c>
      <c r="E38" s="53" t="n">
        <f aca="false">Item36!E3</f>
        <v>844.93</v>
      </c>
      <c r="F38" s="54" t="n">
        <f aca="false">(ROUND(E38,2)*D38)</f>
        <v>12673.95</v>
      </c>
    </row>
    <row r="39" customFormat="false" ht="25.5" hidden="false" customHeight="false" outlineLevel="0" collapsed="false">
      <c r="A39" s="51" t="n">
        <v>37</v>
      </c>
      <c r="B39" s="52" t="str">
        <f aca="false">Item37!B3</f>
        <v>Espelho redondo diâmetro 40cm com moldura em alumínio, para
banheiro</v>
      </c>
      <c r="C39" s="51" t="str">
        <f aca="false">Item37!C3</f>
        <v>unidade</v>
      </c>
      <c r="D39" s="51" t="n">
        <f aca="false">Item37!D3</f>
        <v>15</v>
      </c>
      <c r="E39" s="53" t="n">
        <f aca="false">Item37!E3</f>
        <v>92.56</v>
      </c>
      <c r="F39" s="54" t="n">
        <f aca="false">(ROUND(E39,2)*D39)</f>
        <v>1388.4</v>
      </c>
    </row>
    <row r="40" customFormat="false" ht="12.75" hidden="false" customHeight="false" outlineLevel="0" collapsed="false">
      <c r="A40" s="51" t="n">
        <v>38</v>
      </c>
      <c r="B40" s="52" t="str">
        <f aca="false">Item38!B3</f>
        <v>Fechadura livre ocupado para porta de sanitário</v>
      </c>
      <c r="C40" s="51" t="str">
        <f aca="false">Item38!C3</f>
        <v>unidade</v>
      </c>
      <c r="D40" s="51" t="n">
        <f aca="false">Item38!D3</f>
        <v>10</v>
      </c>
      <c r="E40" s="53" t="n">
        <f aca="false">Item38!E3</f>
        <v>29.21</v>
      </c>
      <c r="F40" s="54" t="n">
        <f aca="false">(ROUND(E40,2)*D40)</f>
        <v>292.1</v>
      </c>
    </row>
    <row r="41" customFormat="false" ht="12.75" hidden="false" customHeight="false" outlineLevel="0" collapsed="false">
      <c r="A41" s="51" t="n">
        <v>39</v>
      </c>
      <c r="B41" s="52" t="str">
        <f aca="false">Item39!B3</f>
        <v>Fechadura tipo fenda lingueta reta 35 mm, acabamento preto</v>
      </c>
      <c r="C41" s="51" t="str">
        <f aca="false">Item39!C3</f>
        <v>unidade</v>
      </c>
      <c r="D41" s="51" t="n">
        <f aca="false">Item39!D3</f>
        <v>100</v>
      </c>
      <c r="E41" s="53" t="n">
        <f aca="false">Item39!E3</f>
        <v>48.68</v>
      </c>
      <c r="F41" s="54" t="n">
        <f aca="false">(ROUND(E41,2)*D41)</f>
        <v>4868</v>
      </c>
    </row>
    <row r="42" customFormat="false" ht="63.75" hidden="false" customHeight="false" outlineLevel="0" collapsed="false">
      <c r="A42" s="51" t="n">
        <v>40</v>
      </c>
      <c r="B42" s="52" t="str">
        <f aca="false">Item40!B3</f>
        <v>Fechamento de ondas de telha com 1 metro (m), em polietileno
expandido, adesivado na base, para telha ondulada em alumínio liso.
altura da telha = 17,00mm, raio da ondulação = 20,00mm,
comprimento da telha = 1345mm (comprimento útil da telha =
1216mm – recobrimento duplo). peça com 1216mm.</v>
      </c>
      <c r="C42" s="51" t="str">
        <f aca="false">Item40!C3</f>
        <v>unidade</v>
      </c>
      <c r="D42" s="51" t="n">
        <f aca="false">Item40!D3</f>
        <v>200</v>
      </c>
      <c r="E42" s="53" t="n">
        <f aca="false">Item40!E3</f>
        <v>4</v>
      </c>
      <c r="F42" s="54" t="n">
        <f aca="false">(ROUND(E42,2)*D42)</f>
        <v>800</v>
      </c>
    </row>
    <row r="43" customFormat="false" ht="25.5" hidden="false" customHeight="false" outlineLevel="0" collapsed="false">
      <c r="A43" s="51" t="n">
        <v>41</v>
      </c>
      <c r="B43" s="52" t="str">
        <f aca="false">Item41!B3</f>
        <v>Fita sinalização, material plástico, comprimento 200m, largura 7,
cor preta e amarela, aplicação demarcação e isolamento</v>
      </c>
      <c r="C43" s="51" t="str">
        <f aca="false">Item41!C3</f>
        <v>unidade</v>
      </c>
      <c r="D43" s="51" t="n">
        <f aca="false">Item41!D3</f>
        <v>200</v>
      </c>
      <c r="E43" s="53" t="n">
        <f aca="false">Item41!E3</f>
        <v>7.97</v>
      </c>
      <c r="F43" s="54" t="n">
        <f aca="false">(ROUND(E43,2)*D43)</f>
        <v>1594</v>
      </c>
    </row>
    <row r="44" customFormat="false" ht="25.5" hidden="false" customHeight="false" outlineLevel="0" collapsed="false">
      <c r="A44" s="51" t="n">
        <v>42</v>
      </c>
      <c r="B44" s="52" t="str">
        <f aca="false">Item42!B3</f>
        <v>Gesso acartonado – placa de 120 cm x 180 cm – espessura de
12,5mm</v>
      </c>
      <c r="C44" s="51" t="str">
        <f aca="false">Item42!C3</f>
        <v>unidade</v>
      </c>
      <c r="D44" s="51" t="n">
        <f aca="false">Item42!D3</f>
        <v>100</v>
      </c>
      <c r="E44" s="53" t="n">
        <f aca="false">Item42!E3</f>
        <v>26.97</v>
      </c>
      <c r="F44" s="54" t="n">
        <f aca="false">(ROUND(E44,2)*D44)</f>
        <v>2697</v>
      </c>
    </row>
    <row r="45" customFormat="false" ht="51" hidden="false" customHeight="false" outlineLevel="0" collapsed="false">
      <c r="A45" s="51" t="n">
        <v>43</v>
      </c>
      <c r="B45" s="52" t="str">
        <f aca="false">Item43!B3</f>
        <v>Gesso em pó em embalagem de 1Kg.Obs.: É obrigação da
Contratada, entregar materiais com intervalo de tempo decorrido
entre a data de entrega e a data final de validade, equivalente a no
mínimo 75% do total do prazo de validade</v>
      </c>
      <c r="C45" s="51" t="str">
        <f aca="false">Item43!C3</f>
        <v>Kg</v>
      </c>
      <c r="D45" s="51" t="n">
        <f aca="false">Item43!D3</f>
        <v>50</v>
      </c>
      <c r="E45" s="53" t="n">
        <f aca="false">Item43!E3</f>
        <v>3.38</v>
      </c>
      <c r="F45" s="54" t="n">
        <f aca="false">(ROUND(E45,2)*D45)</f>
        <v>169</v>
      </c>
    </row>
    <row r="46" customFormat="false" ht="12.75" hidden="false" customHeight="false" outlineLevel="0" collapsed="false">
      <c r="A46" s="51" t="n">
        <v>44</v>
      </c>
      <c r="B46" s="52" t="str">
        <f aca="false">Item44!B3</f>
        <v>Gonzo em aço carbono polido 5/8”</v>
      </c>
      <c r="C46" s="51" t="str">
        <f aca="false">Item44!C3</f>
        <v>unidade</v>
      </c>
      <c r="D46" s="51" t="n">
        <f aca="false">Item44!D3</f>
        <v>50</v>
      </c>
      <c r="E46" s="53" t="n">
        <f aca="false">Item44!E3</f>
        <v>5.53</v>
      </c>
      <c r="F46" s="54" t="n">
        <f aca="false">(ROUND(E46,2)*D46)</f>
        <v>276.5</v>
      </c>
    </row>
    <row r="47" customFormat="false" ht="12.75" hidden="false" customHeight="false" outlineLevel="0" collapsed="false">
      <c r="A47" s="51" t="n">
        <v>45</v>
      </c>
      <c r="B47" s="52" t="str">
        <f aca="false">Item45!B3</f>
        <v>Grampo tipo C sargento, nº 4</v>
      </c>
      <c r="C47" s="51" t="str">
        <f aca="false">Item45!C3</f>
        <v>unidade</v>
      </c>
      <c r="D47" s="51" t="n">
        <f aca="false">Item45!D3</f>
        <v>200</v>
      </c>
      <c r="E47" s="53" t="n">
        <f aca="false">Item45!E3</f>
        <v>29.24</v>
      </c>
      <c r="F47" s="54" t="n">
        <f aca="false">(ROUND(E47,2)*D47)</f>
        <v>5848</v>
      </c>
    </row>
    <row r="48" customFormat="false" ht="51" hidden="false" customHeight="false" outlineLevel="0" collapsed="false">
      <c r="A48" s="51" t="n">
        <v>46</v>
      </c>
      <c r="B48" s="52" t="str">
        <f aca="false">Item46!B3</f>
        <v>Kit de reparo para válvula de descarga acoplada com acionamento
lateral. referência do caixa de descarga acoplada existente: marca
celite, modelo 299050498 (a peça deverá ser totalmente compatível
com o equipamento de referência)</v>
      </c>
      <c r="C48" s="51" t="str">
        <f aca="false">Item46!C3</f>
        <v>unidade</v>
      </c>
      <c r="D48" s="51" t="n">
        <f aca="false">Item46!D3</f>
        <v>50</v>
      </c>
      <c r="E48" s="53" t="n">
        <f aca="false">Item46!E3</f>
        <v>63.24</v>
      </c>
      <c r="F48" s="54" t="n">
        <f aca="false">(ROUND(E48,2)*D48)</f>
        <v>3162</v>
      </c>
    </row>
    <row r="49" customFormat="false" ht="12.75" hidden="false" customHeight="false" outlineLevel="0" collapsed="false">
      <c r="A49" s="51" t="n">
        <v>47</v>
      </c>
      <c r="B49" s="52" t="str">
        <f aca="false">Item47!B3</f>
        <v>Kit universal para caixa acoplada com acionamento superior</v>
      </c>
      <c r="C49" s="51" t="str">
        <f aca="false">Item47!C3</f>
        <v>unidade</v>
      </c>
      <c r="D49" s="51" t="n">
        <f aca="false">Item47!D3</f>
        <v>50</v>
      </c>
      <c r="E49" s="53" t="n">
        <f aca="false">Item47!E3</f>
        <v>100.43</v>
      </c>
      <c r="F49" s="54" t="n">
        <f aca="false">(ROUND(E49,2)*D49)</f>
        <v>5021.5</v>
      </c>
    </row>
    <row r="50" customFormat="false" ht="12.75" hidden="false" customHeight="false" outlineLevel="0" collapsed="false">
      <c r="A50" s="51" t="n">
        <v>48</v>
      </c>
      <c r="B50" s="52" t="str">
        <f aca="false">Item48!B3</f>
        <v> Pino em aço carbono, ¾”, para dobradiça tipo gonzo</v>
      </c>
      <c r="C50" s="51" t="str">
        <f aca="false">Item48!C3</f>
        <v>unidade</v>
      </c>
      <c r="D50" s="51" t="n">
        <f aca="false">Item48!D3</f>
        <v>50</v>
      </c>
      <c r="E50" s="53" t="n">
        <f aca="false">Item48!E3</f>
        <v>4.39</v>
      </c>
      <c r="F50" s="54" t="n">
        <f aca="false">(ROUND(E50,2)*D50)</f>
        <v>219.5</v>
      </c>
    </row>
    <row r="51" customFormat="false" ht="12.75" hidden="false" customHeight="false" outlineLevel="0" collapsed="false">
      <c r="A51" s="51" t="n">
        <v>49</v>
      </c>
      <c r="B51" s="52" t="str">
        <f aca="false">Item49!B3</f>
        <v>Refil (elemento filtrante) para filtro 3m aqualar ap200, de torneira</v>
      </c>
      <c r="C51" s="51" t="str">
        <f aca="false">Item49!C3</f>
        <v>unidade</v>
      </c>
      <c r="D51" s="51" t="n">
        <f aca="false">Item49!D3</f>
        <v>20</v>
      </c>
      <c r="E51" s="53" t="n">
        <f aca="false">Item49!E3</f>
        <v>24.17</v>
      </c>
      <c r="F51" s="54" t="n">
        <f aca="false">(ROUND(E51,2)*D51)</f>
        <v>483.4</v>
      </c>
    </row>
    <row r="52" customFormat="false" ht="63.75" hidden="false" customHeight="false" outlineLevel="0" collapsed="false">
      <c r="A52" s="51" t="n">
        <v>50</v>
      </c>
      <c r="B52" s="52" t="str">
        <f aca="false">Item50!B3</f>
        <v>Resina de laminação para fibra de vidro em poliéster com
respectivo catalizador Obs.: É obrigação da Contratada, entregar
materiais com intervalo de tempo decorrido entre a data de entrega e
a data final de validade, equivalente a no mínimo 75% do total do
prazo de validade</v>
      </c>
      <c r="C52" s="51" t="str">
        <f aca="false">Item50!C3</f>
        <v>Kg</v>
      </c>
      <c r="D52" s="51" t="n">
        <f aca="false">Item50!D3</f>
        <v>10</v>
      </c>
      <c r="E52" s="53" t="n">
        <f aca="false">Item50!E3</f>
        <v>32.44</v>
      </c>
      <c r="F52" s="54" t="n">
        <f aca="false">(ROUND(E52,2)*D52)</f>
        <v>324.4</v>
      </c>
    </row>
    <row r="53" customFormat="false" ht="12.75" hidden="false" customHeight="false" outlineLevel="0" collapsed="false">
      <c r="A53" s="51" t="n">
        <v>51</v>
      </c>
      <c r="B53" s="56" t="str">
        <f aca="false">Item51!B3</f>
        <v> Sifão rígido com copo para lavatório, em metal cromado e saída 40”</v>
      </c>
      <c r="C53" s="51" t="str">
        <f aca="false">Item51!C3</f>
        <v>unidade</v>
      </c>
      <c r="D53" s="51" t="n">
        <f aca="false">Item51!D3</f>
        <v>60</v>
      </c>
      <c r="E53" s="53" t="n">
        <f aca="false">Item51!E3</f>
        <v>78.76</v>
      </c>
      <c r="F53" s="54" t="n">
        <f aca="false">(ROUND(E53,2)*D53)</f>
        <v>4725.6</v>
      </c>
    </row>
    <row r="54" customFormat="false" ht="25.5" hidden="false" customHeight="false" outlineLevel="0" collapsed="false">
      <c r="A54" s="51" t="n">
        <v>52</v>
      </c>
      <c r="B54" s="56" t="str">
        <f aca="false">Item52!B3</f>
        <v>Torneira de mesa para lavatório com fechamento automático linha
Decamatic da Deca ref. 1173.C ou equivalente técnico</v>
      </c>
      <c r="C54" s="51" t="str">
        <f aca="false">Item52!C3</f>
        <v>unidade</v>
      </c>
      <c r="D54" s="51" t="n">
        <f aca="false">Item52!D3</f>
        <v>40</v>
      </c>
      <c r="E54" s="53" t="n">
        <f aca="false">Item52!E3</f>
        <v>302.17</v>
      </c>
      <c r="F54" s="54" t="n">
        <f aca="false">(ROUND(E54,2)*D54)</f>
        <v>12086.8</v>
      </c>
    </row>
    <row r="55" customFormat="false" ht="25.5" hidden="false" customHeight="false" outlineLevel="0" collapsed="false">
      <c r="A55" s="51" t="n">
        <v>53</v>
      </c>
      <c r="B55" s="56" t="str">
        <f aca="false">Item53!B3</f>
        <v>Torneira de mesa para lavatório com fechamento automático linha
Decamatic da Deca ref. 1172.C.LNK ou equivalente técnico</v>
      </c>
      <c r="C55" s="51" t="str">
        <f aca="false">Item53!C3</f>
        <v>unidade</v>
      </c>
      <c r="D55" s="51" t="n">
        <f aca="false">Item53!D3</f>
        <v>60</v>
      </c>
      <c r="E55" s="53" t="n">
        <f aca="false">Item53!E3</f>
        <v>367.64</v>
      </c>
      <c r="F55" s="54" t="n">
        <f aca="false">(ROUND(E55,2)*D55)</f>
        <v>22058.4</v>
      </c>
    </row>
    <row r="56" customFormat="false" ht="25.5" hidden="false" customHeight="false" outlineLevel="0" collapsed="false">
      <c r="A56" s="51" t="n">
        <v>54</v>
      </c>
      <c r="B56" s="56" t="str">
        <f aca="false">Item54!B3</f>
        <v> Bacia para caixa acoplada, acionamento Duo, linha Vogue Plus da
Deca ref.P.505.17 + CD 01F.17 ou equivalente técnico</v>
      </c>
      <c r="C56" s="51" t="str">
        <f aca="false">Item54!C3</f>
        <v>unidade</v>
      </c>
      <c r="D56" s="51" t="n">
        <f aca="false">Item54!D3</f>
        <v>35</v>
      </c>
      <c r="E56" s="53" t="n">
        <f aca="false">Item54!E3</f>
        <v>409.44</v>
      </c>
      <c r="F56" s="54" t="n">
        <f aca="false">(ROUND(E56,2)*D56)</f>
        <v>14330.4</v>
      </c>
    </row>
    <row r="57" customFormat="false" ht="38.25" hidden="false" customHeight="false" outlineLevel="0" collapsed="false">
      <c r="A57" s="51" t="n">
        <v>55</v>
      </c>
      <c r="B57" s="56" t="str">
        <f aca="false">Item55!B3</f>
        <v> Bacia para caixa acoplada com saída horizontal, com acionamento
Duo, linha Nuova da Deca ref.P.130.17 + CD 11F.17 ou equivalente
técnico</v>
      </c>
      <c r="C57" s="51" t="str">
        <f aca="false">Item55!C3</f>
        <v>unidade</v>
      </c>
      <c r="D57" s="51" t="n">
        <f aca="false">Item55!D3</f>
        <v>30</v>
      </c>
      <c r="E57" s="53" t="n">
        <f aca="false">Item55!E3</f>
        <v>817.2</v>
      </c>
      <c r="F57" s="54" t="n">
        <f aca="false">(ROUND(E57,2)*D57)</f>
        <v>24516</v>
      </c>
    </row>
    <row r="58" customFormat="false" ht="25.5" hidden="false" customHeight="false" outlineLevel="0" collapsed="false">
      <c r="A58" s="51" t="n">
        <v>56</v>
      </c>
      <c r="B58" s="56" t="str">
        <f aca="false">Item56!B3</f>
        <v>Bacia para caixa acoplada, acionamento Duo, linha Izy da Deca ref.
P.111.17 + CD 00F.17 ou equivalente técnico</v>
      </c>
      <c r="C58" s="51" t="str">
        <f aca="false">Item56!C3</f>
        <v>unidade</v>
      </c>
      <c r="D58" s="51" t="n">
        <f aca="false">Item56!D3</f>
        <v>20</v>
      </c>
      <c r="E58" s="53" t="n">
        <f aca="false">Item56!E3</f>
        <v>90.45</v>
      </c>
      <c r="F58" s="54" t="n">
        <f aca="false">(ROUND(E58,2)*D58)</f>
        <v>1809</v>
      </c>
    </row>
    <row r="59" customFormat="false" ht="25.5" hidden="false" customHeight="false" outlineLevel="0" collapsed="false">
      <c r="A59" s="51" t="n">
        <v>57</v>
      </c>
      <c r="B59" s="56" t="str">
        <f aca="false">Item57!B3</f>
        <v>Válvula de escoamento universal para lavatório (cuba), em aço
inox, 7/8”, sem ladrão</v>
      </c>
      <c r="C59" s="51" t="str">
        <f aca="false">Item57!C3</f>
        <v>unidade</v>
      </c>
      <c r="D59" s="51" t="n">
        <f aca="false">Item57!D3</f>
        <v>10</v>
      </c>
      <c r="E59" s="53" t="n">
        <f aca="false">Item57!E3</f>
        <v>30.36</v>
      </c>
      <c r="F59" s="54" t="n">
        <f aca="false">(ROUND(E59,2)*D59)</f>
        <v>303.6</v>
      </c>
    </row>
    <row r="60" customFormat="false" ht="12.75" hidden="false" customHeight="false" outlineLevel="0" collapsed="false">
      <c r="A60" s="51" t="n">
        <v>58</v>
      </c>
      <c r="B60" s="56" t="str">
        <f aca="false">Item58!B3</f>
        <v>Arruela de pressão, em aço inox, diâmetro nominal de ½”</v>
      </c>
      <c r="C60" s="51" t="str">
        <f aca="false">Item58!C3</f>
        <v>unidade</v>
      </c>
      <c r="D60" s="51" t="n">
        <f aca="false">Item58!D3</f>
        <v>50</v>
      </c>
      <c r="E60" s="53" t="n">
        <f aca="false">Item58!E3</f>
        <v>0.59</v>
      </c>
      <c r="F60" s="54" t="n">
        <f aca="false">(ROUND(E60,2)*D60)</f>
        <v>29.5</v>
      </c>
    </row>
    <row r="61" customFormat="false" ht="63.75" hidden="false" customHeight="false" outlineLevel="0" collapsed="false">
      <c r="A61" s="51" t="n">
        <v>59</v>
      </c>
      <c r="B61" s="56" t="str">
        <f aca="false">Item59!B3</f>
        <v>Base de fixação do motor da torre de resfriamento do sistema
central de ar condicionado. Modelo de referência da torre 40/3 –
SGC. Ordem de Fabricação E/30.276; Vazão: 59,0 M³/h; Pressão:
4,0 Mca.
Fabricante: Alpina</v>
      </c>
      <c r="C61" s="51" t="str">
        <f aca="false">Item59!C3</f>
        <v>unidade</v>
      </c>
      <c r="D61" s="51" t="n">
        <f aca="false">Item59!D3</f>
        <v>8</v>
      </c>
      <c r="E61" s="53" t="n">
        <f aca="false">Item59!E3</f>
        <v>1390.49</v>
      </c>
      <c r="F61" s="54" t="n">
        <f aca="false">(ROUND(E61,2)*D61)</f>
        <v>11123.92</v>
      </c>
    </row>
    <row r="62" customFormat="false" ht="25.5" hidden="false" customHeight="false" outlineLevel="0" collapsed="false">
      <c r="A62" s="51" t="n">
        <v>60</v>
      </c>
      <c r="B62" s="56" t="str">
        <f aca="false">Item60!B3</f>
        <v> Calha de poliestireno expandido bipartida diâmetro de 5”, espessura
de 2½”</v>
      </c>
      <c r="C62" s="51" t="str">
        <f aca="false">Item60!C3</f>
        <v>m</v>
      </c>
      <c r="D62" s="51" t="n">
        <f aca="false">Item60!D3</f>
        <v>20</v>
      </c>
      <c r="E62" s="53" t="n">
        <f aca="false">Item60!E3</f>
        <v>15.08</v>
      </c>
      <c r="F62" s="54" t="n">
        <f aca="false">(ROUND(E62,2)*D62)</f>
        <v>301.6</v>
      </c>
    </row>
    <row r="63" customFormat="false" ht="25.5" hidden="false" customHeight="false" outlineLevel="0" collapsed="false">
      <c r="A63" s="51" t="n">
        <v>61</v>
      </c>
      <c r="B63" s="56" t="str">
        <f aca="false">Item61!B3</f>
        <v>Chapa de alumínio corrugado, espessura de 0,15mm, corrugação
4,8mm</v>
      </c>
      <c r="C63" s="51" t="str">
        <f aca="false">Item61!C3</f>
        <v>m2</v>
      </c>
      <c r="D63" s="51" t="n">
        <f aca="false">Item61!D3</f>
        <v>50</v>
      </c>
      <c r="E63" s="53" t="n">
        <f aca="false">Item61!E3</f>
        <v>18.35</v>
      </c>
      <c r="F63" s="54" t="n">
        <f aca="false">(ROUND(E63,2)*D63)</f>
        <v>917.5</v>
      </c>
    </row>
    <row r="64" customFormat="false" ht="25.5" hidden="false" customHeight="false" outlineLevel="0" collapsed="false">
      <c r="A64" s="51" t="n">
        <v>62</v>
      </c>
      <c r="B64" s="56" t="str">
        <f aca="false">Item62!B3</f>
        <v>Chave de fluxo para tubulação de água fria - modelo: AT 2011 –
marca ITALIAR ou similar</v>
      </c>
      <c r="C64" s="51" t="str">
        <f aca="false">Item62!C3</f>
        <v>unidade</v>
      </c>
      <c r="D64" s="51" t="n">
        <f aca="false">Item62!D3</f>
        <v>10</v>
      </c>
      <c r="E64" s="53" t="n">
        <f aca="false">Item62!E3</f>
        <v>170.57</v>
      </c>
      <c r="F64" s="54" t="n">
        <f aca="false">(ROUND(E64,2)*D64)</f>
        <v>1705.7</v>
      </c>
    </row>
    <row r="65" customFormat="false" ht="12.75" hidden="false" customHeight="false" outlineLevel="0" collapsed="false">
      <c r="A65" s="51" t="n">
        <v>63</v>
      </c>
      <c r="B65" s="56" t="str">
        <f aca="false">Item63!B3</f>
        <v>Chave de fluxo para tubulação de água fria (Ø8’), tipo Palheta, 1”</v>
      </c>
      <c r="C65" s="51" t="str">
        <f aca="false">Item63!C3</f>
        <v>unidade</v>
      </c>
      <c r="D65" s="51" t="n">
        <f aca="false">Item63!D3</f>
        <v>10</v>
      </c>
      <c r="E65" s="53" t="n">
        <f aca="false">Item63!E3</f>
        <v>584.77</v>
      </c>
      <c r="F65" s="54" t="n">
        <f aca="false">(ROUND(E65,2)*D65)</f>
        <v>5847.7</v>
      </c>
    </row>
    <row r="66" customFormat="false" ht="12.75" hidden="false" customHeight="false" outlineLevel="0" collapsed="false">
      <c r="A66" s="51" t="n">
        <v>64</v>
      </c>
      <c r="B66" s="56" t="str">
        <f aca="false">Item64!B3</f>
        <v>Cilindros de gás Freon R-134 A com 13,62 Kg</v>
      </c>
      <c r="C66" s="51" t="str">
        <f aca="false">Item64!C3</f>
        <v>unidade</v>
      </c>
      <c r="D66" s="51" t="n">
        <f aca="false">Item64!D3</f>
        <v>20</v>
      </c>
      <c r="E66" s="53" t="n">
        <f aca="false">Item64!E3</f>
        <v>518.82</v>
      </c>
      <c r="F66" s="54" t="n">
        <f aca="false">(ROUND(E66,2)*D66)</f>
        <v>10376.4</v>
      </c>
    </row>
    <row r="67" customFormat="false" ht="12.75" hidden="false" customHeight="false" outlineLevel="0" collapsed="false">
      <c r="A67" s="51" t="n">
        <v>65</v>
      </c>
      <c r="B67" s="56" t="str">
        <f aca="false">Item65!B3</f>
        <v>Cilindros de gás Freon R-22 com 13,62 Kg</v>
      </c>
      <c r="C67" s="51" t="str">
        <f aca="false">Item65!C3</f>
        <v>unidade</v>
      </c>
      <c r="D67" s="51" t="n">
        <f aca="false">Item65!D3</f>
        <v>20</v>
      </c>
      <c r="E67" s="53" t="n">
        <f aca="false">Item65!E3</f>
        <v>476.51</v>
      </c>
      <c r="F67" s="54" t="n">
        <f aca="false">(ROUND(E67,2)*D67)</f>
        <v>9530.2</v>
      </c>
    </row>
    <row r="68" customFormat="false" ht="12.75" hidden="false" customHeight="false" outlineLevel="0" collapsed="false">
      <c r="A68" s="51" t="n">
        <v>66</v>
      </c>
      <c r="B68" s="56" t="str">
        <f aca="false">Item66!B3</f>
        <v>Fita de aço inox de ½”x 0,5mm</v>
      </c>
      <c r="C68" s="51" t="str">
        <f aca="false">Item66!C3</f>
        <v>unidade</v>
      </c>
      <c r="D68" s="51" t="n">
        <f aca="false">Item66!D3</f>
        <v>20</v>
      </c>
      <c r="E68" s="53" t="n">
        <f aca="false">Item66!E3</f>
        <v>37.02</v>
      </c>
      <c r="F68" s="54" t="n">
        <f aca="false">(ROUND(E68,2)*D68)</f>
        <v>740.4</v>
      </c>
    </row>
    <row r="69" customFormat="false" ht="25.5" hidden="false" customHeight="false" outlineLevel="0" collapsed="false">
      <c r="A69" s="51" t="n">
        <v>67</v>
      </c>
      <c r="B69" s="56" t="str">
        <f aca="false">Item67!B3</f>
        <v>Fita adesiva aluminizada para isolamento térmico, rolo 50mm x
10m</v>
      </c>
      <c r="C69" s="51" t="str">
        <f aca="false">Item67!C3</f>
        <v>unidade</v>
      </c>
      <c r="D69" s="51" t="n">
        <f aca="false">Item67!D3</f>
        <v>20</v>
      </c>
      <c r="E69" s="53" t="n">
        <f aca="false">Item67!E3</f>
        <v>27.54</v>
      </c>
      <c r="F69" s="54" t="n">
        <f aca="false">(ROUND(E69,2)*D69)</f>
        <v>550.8</v>
      </c>
    </row>
    <row r="70" customFormat="false" ht="12.75" hidden="false" customHeight="false" outlineLevel="0" collapsed="false">
      <c r="A70" s="51" t="n">
        <v>68</v>
      </c>
      <c r="B70" s="56" t="str">
        <f aca="false">Item68!B3</f>
        <v>Fita adesiva Silver Tape (preta) 48mm x 50m</v>
      </c>
      <c r="C70" s="51" t="str">
        <f aca="false">Item68!C3</f>
        <v>unidade</v>
      </c>
      <c r="D70" s="51" t="n">
        <f aca="false">Item68!D3</f>
        <v>20</v>
      </c>
      <c r="E70" s="53" t="n">
        <f aca="false">Item68!E3</f>
        <v>12.92</v>
      </c>
      <c r="F70" s="54" t="n">
        <f aca="false">(ROUND(E70,2)*D70)</f>
        <v>258.4</v>
      </c>
    </row>
    <row r="71" customFormat="false" ht="38.25" hidden="false" customHeight="false" outlineLevel="0" collapsed="false">
      <c r="A71" s="51" t="n">
        <v>69</v>
      </c>
      <c r="B71" s="56" t="str">
        <f aca="false">Item69!B3</f>
        <v>Fita adesiva tipo “silver tape”, Cinza, rolo no mínimo com
45mmX50m, marca 3M ou similar técnico. Obs: para ser usada em
áreas externas</v>
      </c>
      <c r="C71" s="51" t="str">
        <f aca="false">Item69!C3</f>
        <v>unidade</v>
      </c>
      <c r="D71" s="51" t="n">
        <f aca="false">Item69!D3</f>
        <v>20</v>
      </c>
      <c r="E71" s="53" t="n">
        <f aca="false">Item69!E3</f>
        <v>48.69</v>
      </c>
      <c r="F71" s="54" t="n">
        <f aca="false">(ROUND(E71,2)*D71)</f>
        <v>973.8</v>
      </c>
    </row>
    <row r="72" customFormat="false" ht="12.75" hidden="false" customHeight="false" outlineLevel="0" collapsed="false">
      <c r="A72" s="51" t="n">
        <v>70</v>
      </c>
      <c r="B72" s="56" t="str">
        <f aca="false">Item70!B3</f>
        <v> Gás refrigerante R410 A, garrafa com 11,350 kg</v>
      </c>
      <c r="C72" s="51" t="str">
        <f aca="false">Item70!C3</f>
        <v>unidade</v>
      </c>
      <c r="D72" s="51" t="n">
        <f aca="false">Item70!D3</f>
        <v>20</v>
      </c>
      <c r="E72" s="53" t="n">
        <f aca="false">Item70!E3</f>
        <v>608.3</v>
      </c>
      <c r="F72" s="54" t="n">
        <f aca="false">(ROUND(E72,2)*D72)</f>
        <v>12166</v>
      </c>
    </row>
    <row r="73" customFormat="false" ht="12.75" hidden="false" customHeight="false" outlineLevel="0" collapsed="false">
      <c r="A73" s="51" t="n">
        <v>71</v>
      </c>
      <c r="B73" s="56" t="str">
        <f aca="false">Item71!B3</f>
        <v>Porca, em aço inox, diâmetro de ½”, para parafuso sextavado acima</v>
      </c>
      <c r="C73" s="51" t="str">
        <f aca="false">Item71!C3</f>
        <v>unidade</v>
      </c>
      <c r="D73" s="51" t="n">
        <f aca="false">Item71!D3</f>
        <v>50</v>
      </c>
      <c r="E73" s="53" t="n">
        <f aca="false">Item71!E3</f>
        <v>0.75</v>
      </c>
      <c r="F73" s="54" t="n">
        <f aca="false">(ROUND(E73,2)*D73)</f>
        <v>37.5</v>
      </c>
    </row>
    <row r="74" customFormat="false" ht="267.75" hidden="false" customHeight="false" outlineLevel="0" collapsed="false">
      <c r="A74" s="51" t="n">
        <v>72</v>
      </c>
      <c r="B74" s="56" t="str">
        <f aca="false">Item72!B3</f>
        <v>Cabo de rede UTP - Categoria 5e
Especificações técnicas:
• Cabo de 4 pares trançados compostos por condutores sólidos de cobre, 24AWG, isolados em polietileno de alta densidade;
• Capa externa em PVC não propagante a chama;
• Marcação sequencial métrica decrescente;
• O cabo deve ser fabricado com material LSZH (Low Smoke, Zero Halogen);
• Acondicionado em caixa de papelão tipo fastbox (305 metros), com nome do fabricante e sistema de rastreabilidade que permita identificar a data de fabricação dos cabos;
• Cor azul;
Normas:
• ANSI/TIA/EIA - 568;
• ISO/IEC  11801
•  UL 444;
•  NBR 14703 e 14705
Garantia do Fabricante:
• 12 meses.
Modelo de referência para cotação:
• Furukawa Cabo Eletrônico Multilan CAT 5e;
</v>
      </c>
      <c r="C74" s="51" t="str">
        <f aca="false">Item72!C3</f>
        <v>cx</v>
      </c>
      <c r="D74" s="51" t="n">
        <f aca="false">Item72!D3</f>
        <v>60</v>
      </c>
      <c r="E74" s="53" t="n">
        <f aca="false">Item72!E3</f>
        <v>621.08</v>
      </c>
      <c r="F74" s="54" t="n">
        <f aca="false">(ROUND(E74,2)*D74)</f>
        <v>37264.8</v>
      </c>
    </row>
    <row r="75" customFormat="false" ht="216.75" hidden="false" customHeight="false" outlineLevel="0" collapsed="false">
      <c r="A75" s="51" t="n">
        <v>73</v>
      </c>
      <c r="B75" s="56" t="str">
        <f aca="false">Item73!B3</f>
        <v>Conector Fêmea RJ-45 CAT 5e
Especificações técnicas:
• Conector fêmea Categoria 5e para cabo UTP sólido ou flexível;
• Tipo de conector RJ-45;
• Fabricado em termoplástico não propagante a chama UL 94V-0;
• Diâmetro do Condutor: 26 a 22 AWG;
• Cor: transparente;
Normas:
• EIA/TIA-568;
• ISO/IEC DIS 11801;
• NBR 14565;
Garantia do Fabricante:
• 12 meses.
Modelo de referência para cotação:
• Furukawa plug RJ-45 GigaLan CAT5e;
   Panduit plug RJ-45 CAT 5e
</v>
      </c>
      <c r="C75" s="51" t="str">
        <f aca="false">Item73!C3</f>
        <v>unidade</v>
      </c>
      <c r="D75" s="51" t="n">
        <f aca="false">Item73!D3</f>
        <v>1000</v>
      </c>
      <c r="E75" s="53" t="n">
        <f aca="false">Item73!E3</f>
        <v>8.3</v>
      </c>
      <c r="F75" s="54" t="n">
        <f aca="false">(ROUND(E75,2)*D75)</f>
        <v>8300</v>
      </c>
    </row>
    <row r="76" customFormat="false" ht="216.75" hidden="false" customHeight="false" outlineLevel="0" collapsed="false">
      <c r="A76" s="51" t="n">
        <v>74</v>
      </c>
      <c r="B76" s="56" t="str">
        <f aca="false">Item74!B3</f>
        <v>Conector Macho RJ-45 CAT 5e
Especificações técnicas:
• Conector macho Categoria 5e para cabo UTP sólido ou flexível;
• Tipo de conector RJ-45;
• Fabricado em termoplástico não propagante a chama UL 94V-0;
• Diâmetro do Condutor: 26 a 22 AWG;
• Cor: transparente;
Normas:
• EIA/TIA-568;
• ISO/IEC DIS 11801;
• NBR 14565;
Garantia do Fabricante:
• 12 meses.
Modelo de referência 
• Furukawa plug RJ-45 GigaLan CAT5e;
Panduit plug RJ-45 CAT 5e;
</v>
      </c>
      <c r="C76" s="51" t="str">
        <f aca="false">Item74!C3</f>
        <v>unidade</v>
      </c>
      <c r="D76" s="51" t="n">
        <f aca="false">Item74!D3</f>
        <v>1000</v>
      </c>
      <c r="E76" s="53" t="n">
        <f aca="false">Item74!E3</f>
        <v>1.13</v>
      </c>
      <c r="F76" s="54" t="n">
        <f aca="false">(ROUND(E76,2)*D76)</f>
        <v>1130</v>
      </c>
    </row>
    <row r="77" customFormat="false" ht="255" hidden="false" customHeight="false" outlineLevel="0" collapsed="false">
      <c r="A77" s="51" t="n">
        <v>75</v>
      </c>
      <c r="B77" s="56" t="str">
        <f aca="false">Item75!B3</f>
        <v>Patch Panel Categoria 5e
Especificações técnicas:
• O produto deve atender os requisitos estabelecidos nas normas para Categoria 5e/ Classe D;
• 24 posições RJ-45;
• Corpo fabricado em termoplástico de alto impacto não propagante a chama (UL 94 V-0);
• Painel frontal em plástico com porta etiquetas para identificação;
• Possibilidade de crimpagem T568A ou T568B;
• Deve possuir uma guia traseira feita em termoplástico para organizar os cabos;
• Instalação em rack 19";
Normas:
• ANSI/TIA-568-C
• ISO/IEC DIS 11801;
• NBR 14565;
• ANSI/TIA-606.
Garantia do Fabricante:
• 12 meses.
Modelo de referência:
• Furukawa Patch Panel MultiLan CAT5E 24P;
</v>
      </c>
      <c r="C77" s="51" t="str">
        <f aca="false">Item75!C3</f>
        <v>unidade</v>
      </c>
      <c r="D77" s="51" t="n">
        <f aca="false">Item75!D3</f>
        <v>50</v>
      </c>
      <c r="E77" s="53" t="n">
        <f aca="false">Item75!E3</f>
        <v>382.98</v>
      </c>
      <c r="F77" s="54" t="n">
        <f aca="false">(ROUND(E77,2)*D77)</f>
        <v>19149</v>
      </c>
    </row>
    <row r="78" customFormat="false" ht="25.5" hidden="false" customHeight="false" outlineLevel="0" collapsed="false">
      <c r="A78" s="51" t="n">
        <v>76</v>
      </c>
      <c r="B78" s="56" t="str">
        <f aca="false">Item76!B3</f>
        <v>Dispensador para Sabão Líquido DECA DECAMATIC 2015. C,
acabamento cromado ou equivalente técnico</v>
      </c>
      <c r="C78" s="51" t="str">
        <f aca="false">Item76!C3</f>
        <v>unidade</v>
      </c>
      <c r="D78" s="51" t="n">
        <f aca="false">Item76!D3</f>
        <v>50</v>
      </c>
      <c r="E78" s="53" t="n">
        <f aca="false">Item76!E3</f>
        <v>347.47</v>
      </c>
      <c r="F78" s="54" t="n">
        <f aca="false">(ROUND(E78,2)*D78)</f>
        <v>17373.5</v>
      </c>
    </row>
    <row r="79" customFormat="false" ht="25.5" hidden="false" customHeight="false" outlineLevel="0" collapsed="false">
      <c r="A79" s="51" t="n">
        <v>77</v>
      </c>
      <c r="B79" s="56" t="str">
        <f aca="false">Item77!B3</f>
        <v>Cabide acabamento TARGA 2060.C40.CR Deca ou equivalente
Técnico</v>
      </c>
      <c r="C79" s="51" t="str">
        <f aca="false">Item77!C3</f>
        <v>unidade</v>
      </c>
      <c r="D79" s="51" t="n">
        <f aca="false">Item77!D3</f>
        <v>50</v>
      </c>
      <c r="E79" s="53" t="n">
        <f aca="false">Item77!E3</f>
        <v>99.88</v>
      </c>
      <c r="F79" s="54" t="n">
        <f aca="false">(ROUND(E79,2)*D79)</f>
        <v>4994</v>
      </c>
    </row>
    <row r="80" customFormat="false" ht="38.25" hidden="false" customHeight="false" outlineLevel="0" collapsed="false">
      <c r="A80" s="51" t="n">
        <v>78</v>
      </c>
      <c r="B80" s="56" t="str">
        <f aca="false">Item78!B3</f>
        <v>Dispenser para papel higiênico interfolhado do tipo Cai-Cai em
plástico ABS na cor Branca Ref NOBRE CITY 32776 ou
equivalente Técnico</v>
      </c>
      <c r="C80" s="51" t="str">
        <f aca="false">Item78!C3</f>
        <v>unidade</v>
      </c>
      <c r="D80" s="51" t="n">
        <f aca="false">Item78!D3</f>
        <v>70</v>
      </c>
      <c r="E80" s="53" t="n">
        <f aca="false">Item78!E3</f>
        <v>27.23</v>
      </c>
      <c r="F80" s="54" t="n">
        <f aca="false">(ROUND(E80,2)*D80)</f>
        <v>1906.1</v>
      </c>
    </row>
    <row r="81" customFormat="false" ht="38.25" hidden="false" customHeight="false" outlineLevel="0" collapsed="false">
      <c r="A81" s="51" t="n">
        <v>79</v>
      </c>
      <c r="B81" s="56" t="str">
        <f aca="false">Item79!B3</f>
        <v>Ducha Higiênica com registro e derivação técnica DECA linha
TARGA 1984.40.ACT.AR acabamento cromado ou equivalente
técnico</v>
      </c>
      <c r="C81" s="51" t="str">
        <f aca="false">Item79!C3</f>
        <v>unidade</v>
      </c>
      <c r="D81" s="51" t="n">
        <f aca="false">Item79!D3</f>
        <v>50</v>
      </c>
      <c r="E81" s="53" t="n">
        <f aca="false">Item79!E3</f>
        <v>224.76</v>
      </c>
      <c r="F81" s="54" t="n">
        <f aca="false">(ROUND(E81,2)*D81)</f>
        <v>11238</v>
      </c>
    </row>
    <row r="82" customFormat="false" ht="25.5" hidden="false" customHeight="false" outlineLevel="0" collapsed="false">
      <c r="A82" s="51" t="n">
        <v>80</v>
      </c>
      <c r="B82" s="56" t="str">
        <f aca="false">Item80!B3</f>
        <v> Dispenser para sabonete líquido sistema spray com refil em plástico
ABS cor Branca Ref: NOBRE CITY 32319 ou equivalente técnico</v>
      </c>
      <c r="C82" s="51" t="str">
        <f aca="false">Item80!C3</f>
        <v>unidade</v>
      </c>
      <c r="D82" s="51" t="n">
        <f aca="false">Item80!D3</f>
        <v>70</v>
      </c>
      <c r="E82" s="53" t="n">
        <f aca="false">Item80!E3</f>
        <v>27.26</v>
      </c>
      <c r="F82" s="54" t="n">
        <f aca="false">(ROUND(E82,2)*D82)</f>
        <v>1908.2</v>
      </c>
    </row>
    <row r="83" customFormat="false" ht="12.75" hidden="false" customHeight="false" outlineLevel="0" collapsed="false">
      <c r="A83" s="51" t="n">
        <v>81</v>
      </c>
      <c r="B83" s="56" t="str">
        <f aca="false">Item81!B3</f>
        <v>Dobradiça Extraforte 80 com anéis – 4 x 3 - Latão</v>
      </c>
      <c r="C83" s="51" t="str">
        <f aca="false">Item81!C3</f>
        <v>unidade</v>
      </c>
      <c r="D83" s="51" t="n">
        <f aca="false">Item81!D3</f>
        <v>70</v>
      </c>
      <c r="E83" s="53" t="n">
        <f aca="false">Item81!E3</f>
        <v>15.6</v>
      </c>
      <c r="F83" s="54" t="n">
        <f aca="false">(ROUND(E83,2)*D83)</f>
        <v>1092</v>
      </c>
    </row>
    <row r="84" customFormat="false" ht="12.75" hidden="false" customHeight="false" outlineLevel="0" collapsed="false">
      <c r="A84" s="51" t="n">
        <v>82</v>
      </c>
      <c r="B84" s="56" t="str">
        <f aca="false">Item82!B3</f>
        <v>Torneira Bebedouro de Garrafão, corpo em PVC, diâmetro 1,2 pol</v>
      </c>
      <c r="C84" s="51" t="str">
        <f aca="false">Item82!C3</f>
        <v>unidade</v>
      </c>
      <c r="D84" s="51" t="n">
        <f aca="false">Item82!D3</f>
        <v>200</v>
      </c>
      <c r="E84" s="53" t="n">
        <f aca="false">Item82!E3</f>
        <v>7.04</v>
      </c>
      <c r="F84" s="54" t="n">
        <f aca="false">(ROUND(E84,2)*D84)</f>
        <v>1408</v>
      </c>
    </row>
    <row r="85" customFormat="false" ht="29.25" hidden="false" customHeight="true" outlineLevel="0" collapsed="false">
      <c r="A85" s="57"/>
      <c r="B85" s="57"/>
      <c r="C85" s="58" t="s">
        <v>409</v>
      </c>
      <c r="D85" s="58"/>
      <c r="E85" s="58"/>
      <c r="F85" s="59" t="n">
        <f aca="false">SUM(F3:F84)</f>
        <v>497941.97</v>
      </c>
    </row>
  </sheetData>
  <mergeCells count="2">
    <mergeCell ref="A1:F1"/>
    <mergeCell ref="C85:E85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F167"/>
  <sheetViews>
    <sheetView showFormulas="false" showGridLines="true" showRowColHeaders="true" showZeros="true" rightToLeft="false" tabSelected="false" showOutlineSymbols="true" defaultGridColor="true" view="pageBreakPreview" topLeftCell="A153" colorId="64" zoomScale="100" zoomScaleNormal="100" zoomScalePageLayoutView="100" workbookViewId="0">
      <selection pane="topLeft" activeCell="C166" activeCellId="0" sqref="C166"/>
    </sheetView>
  </sheetViews>
  <sheetFormatPr defaultColWidth="9.15625" defaultRowHeight="12.75" zeroHeight="false" outlineLevelRow="0" outlineLevelCol="0"/>
  <cols>
    <col collapsed="false" customWidth="false" hidden="false" outlineLevel="0" max="1" min="1" style="45" width="9.14"/>
    <col collapsed="false" customWidth="true" hidden="false" outlineLevel="0" max="2" min="2" style="45" width="86.85"/>
    <col collapsed="false" customWidth="true" hidden="false" outlineLevel="0" max="4" min="3" style="60" width="13.29"/>
    <col collapsed="false" customWidth="true" hidden="false" outlineLevel="0" max="5" min="5" style="46" width="13.29"/>
    <col collapsed="false" customWidth="true" hidden="false" outlineLevel="0" max="6" min="6" style="45" width="15.57"/>
    <col collapsed="false" customWidth="false" hidden="false" outlineLevel="0" max="14" min="7" style="47" width="9.14"/>
    <col collapsed="false" customWidth="false" hidden="false" outlineLevel="0" max="1024" min="15" style="45" width="9.14"/>
  </cols>
  <sheetData>
    <row r="1" s="47" customFormat="true" ht="15.75" hidden="false" customHeight="true" outlineLevel="0" collapsed="false">
      <c r="A1" s="48" t="s">
        <v>410</v>
      </c>
      <c r="B1" s="48"/>
      <c r="C1" s="48"/>
      <c r="D1" s="48"/>
      <c r="E1" s="48"/>
      <c r="F1" s="48"/>
    </row>
    <row r="2" s="47" customFormat="true" ht="25.5" hidden="false" customHeight="false" outlineLevel="0" collapsed="false">
      <c r="A2" s="49" t="s">
        <v>403</v>
      </c>
      <c r="B2" s="49" t="s">
        <v>404</v>
      </c>
      <c r="C2" s="49" t="s">
        <v>405</v>
      </c>
      <c r="D2" s="49" t="s">
        <v>406</v>
      </c>
      <c r="E2" s="50" t="s">
        <v>407</v>
      </c>
      <c r="F2" s="49" t="s">
        <v>408</v>
      </c>
    </row>
    <row r="3" s="47" customFormat="true" ht="17.25" hidden="false" customHeight="false" outlineLevel="0" collapsed="false">
      <c r="A3" s="61" t="s">
        <v>411</v>
      </c>
      <c r="B3" s="62" t="str">
        <f aca="false">Item1!G20</f>
        <v>Megaporte</v>
      </c>
      <c r="C3" s="62"/>
      <c r="D3" s="62"/>
      <c r="E3" s="62"/>
      <c r="F3" s="62"/>
    </row>
    <row r="4" s="47" customFormat="true" ht="12.75" hidden="false" customHeight="false" outlineLevel="0" collapsed="false">
      <c r="A4" s="51" t="n">
        <v>1</v>
      </c>
      <c r="B4" s="52" t="str">
        <f aca="false">Item1!B3</f>
        <v>Adaptador Multiplicador De Linha Telefone RJ11 com 3 saídas</v>
      </c>
      <c r="C4" s="51" t="str">
        <f aca="false">Item1!C3</f>
        <v>unidade</v>
      </c>
      <c r="D4" s="51" t="n">
        <f aca="false">Item1!D3</f>
        <v>50</v>
      </c>
      <c r="E4" s="53" t="n">
        <f aca="false">Item1!F3</f>
        <v>2.7709559</v>
      </c>
      <c r="F4" s="54" t="n">
        <f aca="false">(ROUND(E4,2)*D4)</f>
        <v>138.5</v>
      </c>
    </row>
    <row r="5" s="47" customFormat="true" ht="17.25" hidden="false" customHeight="false" outlineLevel="0" collapsed="false">
      <c r="A5" s="61" t="s">
        <v>411</v>
      </c>
      <c r="B5" s="62" t="str">
        <f aca="false">Item2!G20</f>
        <v>Macro virtual.com</v>
      </c>
      <c r="C5" s="62"/>
      <c r="D5" s="62"/>
      <c r="E5" s="62"/>
      <c r="F5" s="62"/>
    </row>
    <row r="6" customFormat="false" ht="12.75" hidden="false" customHeight="false" outlineLevel="0" collapsed="false">
      <c r="A6" s="51" t="n">
        <v>2</v>
      </c>
      <c r="B6" s="52" t="str">
        <f aca="false">Item2!B3</f>
        <v>Adaptador Multiplicador De Linha Telefone RJ11 com 5 saídas</v>
      </c>
      <c r="C6" s="51" t="str">
        <f aca="false">Item2!C3</f>
        <v>unidade</v>
      </c>
      <c r="D6" s="51" t="n">
        <f aca="false">Item2!D3</f>
        <v>50</v>
      </c>
      <c r="E6" s="53" t="n">
        <f aca="false">Item2!F3</f>
        <v>6.391357</v>
      </c>
      <c r="F6" s="54" t="n">
        <f aca="false">(ROUND(E6,2)*D6)</f>
        <v>319.5</v>
      </c>
    </row>
    <row r="7" customFormat="false" ht="17.25" hidden="false" customHeight="false" outlineLevel="0" collapsed="false">
      <c r="A7" s="61" t="s">
        <v>411</v>
      </c>
      <c r="B7" s="62" t="str">
        <f aca="false">Item3!G20</f>
        <v>Lokarista</v>
      </c>
      <c r="C7" s="62"/>
      <c r="D7" s="62"/>
      <c r="E7" s="62"/>
      <c r="F7" s="62"/>
    </row>
    <row r="8" customFormat="false" ht="153" hidden="false" customHeight="false" outlineLevel="0" collapsed="false">
      <c r="A8" s="51" t="n">
        <v>3</v>
      </c>
      <c r="B8" s="52" t="str">
        <f aca="false">Item3!B3</f>
        <v>Cabo de rede UTP - Categoria 6
Especificações técnicas:
·  Cabo de 4 pares trançados compostos por condutores sólidos de cobre, 23AWG, isolados em polietileno de alta densidade;
·  Capa externa em PVC não propagante a chama;
·  Cor azul;
·  Acondicionado em caixa de papelão tipo fastbox (305 metros), com nome do fabricante e sistema de rastreamento que permita identificar a data de fabricação dos cabos;
·  O cabo deve ser fabricado com material LSZH (Low Smoke, Zero Halogen);
·  Marcação sequencial métrica decrescente;
</v>
      </c>
      <c r="C8" s="51" t="str">
        <f aca="false">Item3!C3</f>
        <v>caixa</v>
      </c>
      <c r="D8" s="51" t="n">
        <f aca="false">Item3!D3</f>
        <v>60</v>
      </c>
      <c r="E8" s="53" t="n">
        <f aca="false">Item3!F3</f>
        <v>1239</v>
      </c>
      <c r="F8" s="54" t="n">
        <f aca="false">(ROUND(E8,2)*D8)</f>
        <v>74340</v>
      </c>
    </row>
    <row r="9" customFormat="false" ht="12.75" hidden="false" customHeight="true" outlineLevel="0" collapsed="false">
      <c r="A9" s="61" t="s">
        <v>411</v>
      </c>
      <c r="B9" s="62" t="str">
        <f aca="false">Item4!G20</f>
        <v>CNPJ 22.356.205/0001-47 (PE n. 48/2017)</v>
      </c>
      <c r="C9" s="62"/>
      <c r="D9" s="62"/>
      <c r="E9" s="62"/>
      <c r="F9" s="62"/>
    </row>
    <row r="10" customFormat="false" ht="25.5" hidden="false" customHeight="false" outlineLevel="0" collapsed="false">
      <c r="A10" s="51" t="n">
        <v>4</v>
      </c>
      <c r="B10" s="52" t="str">
        <f aca="false">Item4!B3</f>
        <v> Cabo em cobre, tipo PP, 3 x 2,50 mm² (três vias com bitola de 2,50
mm²). Cabo do tipo flexível e capa de PVC. Rolo com 100m</v>
      </c>
      <c r="C10" s="51" t="str">
        <f aca="false">Item4!C3</f>
        <v>rl</v>
      </c>
      <c r="D10" s="51" t="n">
        <f aca="false">Item4!D3</f>
        <v>10</v>
      </c>
      <c r="E10" s="53" t="n">
        <f aca="false">Item4!F3</f>
        <v>286.2240482</v>
      </c>
      <c r="F10" s="54" t="n">
        <f aca="false">(ROUND(E10,2)*D10)</f>
        <v>2862.2</v>
      </c>
    </row>
    <row r="11" customFormat="false" ht="17.25" hidden="false" customHeight="false" outlineLevel="0" collapsed="false">
      <c r="A11" s="61" t="s">
        <v>411</v>
      </c>
      <c r="B11" s="62" t="str">
        <f aca="false">Item5!G20</f>
        <v>CNPJ 22.356.205/0001-47(PE n. 48/2017)</v>
      </c>
      <c r="C11" s="62"/>
      <c r="D11" s="62"/>
      <c r="E11" s="62"/>
      <c r="F11" s="62"/>
    </row>
    <row r="12" customFormat="false" ht="25.5" hidden="false" customHeight="false" outlineLevel="0" collapsed="false">
      <c r="A12" s="51" t="n">
        <v>5</v>
      </c>
      <c r="B12" s="52" t="str">
        <f aca="false">Item5!B3</f>
        <v>Cabo em cobre, tipo PP, 3 x 4,00 mm² (três vias com bitola de 4,00
mm²). Cabo do tipo flexível e capa de PVC. Rolo com 100m</v>
      </c>
      <c r="C12" s="51" t="str">
        <f aca="false">Item5!C3</f>
        <v>rl</v>
      </c>
      <c r="D12" s="51" t="n">
        <f aca="false">Item5!D3</f>
        <v>10</v>
      </c>
      <c r="E12" s="53" t="n">
        <f aca="false">Item5!F3</f>
        <v>488.0667955</v>
      </c>
      <c r="F12" s="54" t="n">
        <f aca="false">(ROUND(E12,2)*D12)</f>
        <v>4880.7</v>
      </c>
    </row>
    <row r="13" customFormat="false" ht="17.25" hidden="false" customHeight="false" outlineLevel="0" collapsed="false">
      <c r="A13" s="61" t="s">
        <v>411</v>
      </c>
      <c r="B13" s="62" t="str">
        <f aca="false">Item6!G20</f>
        <v>CNPJ 24.616.322/0001-28(PE n. 48/2017)</v>
      </c>
      <c r="C13" s="62"/>
      <c r="D13" s="62"/>
      <c r="E13" s="62"/>
      <c r="F13" s="62"/>
    </row>
    <row r="14" customFormat="false" ht="25.5" hidden="false" customHeight="false" outlineLevel="0" collapsed="false">
      <c r="A14" s="51" t="n">
        <v>6</v>
      </c>
      <c r="B14" s="52" t="str">
        <f aca="false">Item6!B3</f>
        <v>Cabo em cobre, tipo PP, 3 x 6,00 mm² (três vias com bitola de 6,00
mm²). Cabo do tipo flexível e capa de PVC. Rolo com 100m</v>
      </c>
      <c r="C14" s="51" t="str">
        <f aca="false">Item6!C3</f>
        <v>rl</v>
      </c>
      <c r="D14" s="51" t="n">
        <f aca="false">Item6!D3</f>
        <v>10</v>
      </c>
      <c r="E14" s="53" t="n">
        <f aca="false">Item6!F3</f>
        <v>672.446673</v>
      </c>
      <c r="F14" s="54" t="n">
        <f aca="false">(ROUND(E14,2)*D14)</f>
        <v>6724.5</v>
      </c>
    </row>
    <row r="15" customFormat="false" ht="17.25" hidden="false" customHeight="false" outlineLevel="0" collapsed="false">
      <c r="A15" s="61" t="s">
        <v>411</v>
      </c>
      <c r="B15" s="62" t="str">
        <f aca="false">Item7!G20</f>
        <v>Olist.com</v>
      </c>
      <c r="C15" s="62"/>
      <c r="D15" s="62"/>
      <c r="E15" s="62"/>
      <c r="F15" s="62"/>
    </row>
    <row r="16" customFormat="false" ht="25.5" hidden="false" customHeight="false" outlineLevel="0" collapsed="false">
      <c r="A16" s="51" t="n">
        <v>7</v>
      </c>
      <c r="B16" s="52" t="str">
        <f aca="false">Item7!B3</f>
        <v> Cabo em cobre, tipo PP, 4 x 2,50 mm² (quatro vias com bitola de
2,50 mm²). Cabo do tipo flexível e capa de PVC. Rolo com 100m</v>
      </c>
      <c r="C16" s="51" t="str">
        <f aca="false">Item7!C3</f>
        <v>rl</v>
      </c>
      <c r="D16" s="51" t="n">
        <f aca="false">Item7!D3</f>
        <v>10</v>
      </c>
      <c r="E16" s="53" t="n">
        <f aca="false">Item7!F3</f>
        <v>498.99776</v>
      </c>
      <c r="F16" s="54" t="n">
        <f aca="false">(ROUND(E16,2)*D16)</f>
        <v>4990</v>
      </c>
    </row>
    <row r="17" customFormat="false" ht="17.25" hidden="false" customHeight="false" outlineLevel="0" collapsed="false">
      <c r="A17" s="61" t="s">
        <v>411</v>
      </c>
      <c r="B17" s="62" t="str">
        <f aca="false">Item8!G20</f>
        <v>CNPJ 24.616.322/0001-28 (PE n. 48/2017)</v>
      </c>
      <c r="C17" s="62"/>
      <c r="D17" s="62"/>
      <c r="E17" s="62"/>
      <c r="F17" s="62"/>
    </row>
    <row r="18" customFormat="false" ht="25.5" hidden="false" customHeight="false" outlineLevel="0" collapsed="false">
      <c r="A18" s="51" t="n">
        <v>8</v>
      </c>
      <c r="B18" s="52" t="str">
        <f aca="false">Item8!B3</f>
        <v>Cabo em cobre, tipo PP, 4 x 4,00 mm² (quatro vias com bitola de
4,00 mm²). Cabo do tipo flexível e capa de PVC. Rolo com 100m</v>
      </c>
      <c r="C18" s="51" t="str">
        <f aca="false">Item8!C3</f>
        <v>rl</v>
      </c>
      <c r="D18" s="51" t="n">
        <f aca="false">Item8!D3</f>
        <v>10</v>
      </c>
      <c r="E18" s="53" t="n">
        <f aca="false">Item8!F3</f>
        <v>638.8248523</v>
      </c>
      <c r="F18" s="54" t="n">
        <f aca="false">(ROUND(E18,2)*D18)</f>
        <v>6388.2</v>
      </c>
    </row>
    <row r="19" customFormat="false" ht="17.25" hidden="false" customHeight="false" outlineLevel="0" collapsed="false">
      <c r="A19" s="61" t="s">
        <v>411</v>
      </c>
      <c r="B19" s="62" t="str">
        <f aca="false">Item9!G20</f>
        <v>CNPJ 22.356.205/0001-47(PE n. 48/2017)</v>
      </c>
      <c r="C19" s="62"/>
      <c r="D19" s="62"/>
      <c r="E19" s="62"/>
      <c r="F19" s="62"/>
    </row>
    <row r="20" customFormat="false" ht="25.5" hidden="false" customHeight="false" outlineLevel="0" collapsed="false">
      <c r="A20" s="51" t="n">
        <v>9</v>
      </c>
      <c r="B20" s="52" t="str">
        <f aca="false">Item9!B3</f>
        <v> Cabo em cobre, tipo PP, 4 x 6,00 mm² (quatro vias com bitola de
6,00 mm²). Cabo do tipo flexível e capa de PVC. Rolo com 100m</v>
      </c>
      <c r="C20" s="51" t="str">
        <f aca="false">Item9!C3</f>
        <v>rl</v>
      </c>
      <c r="D20" s="51" t="n">
        <f aca="false">Item9!D3</f>
        <v>10</v>
      </c>
      <c r="E20" s="53" t="n">
        <f aca="false">Item9!F3</f>
        <v>813.4443172</v>
      </c>
      <c r="F20" s="54" t="n">
        <f aca="false">(ROUND(E20,2)*D20)</f>
        <v>8134.4</v>
      </c>
    </row>
    <row r="21" customFormat="false" ht="17.25" hidden="false" customHeight="false" outlineLevel="0" collapsed="false">
      <c r="A21" s="61" t="s">
        <v>411</v>
      </c>
      <c r="B21" s="62" t="str">
        <f aca="false">Item10!G20</f>
        <v>CNPJ 22.356.205/0001-47(PE n. 48/2017)</v>
      </c>
      <c r="C21" s="62"/>
      <c r="D21" s="62"/>
      <c r="E21" s="62"/>
      <c r="F21" s="62"/>
    </row>
    <row r="22" customFormat="false" ht="38.25" hidden="false" customHeight="false" outlineLevel="0" collapsed="false">
      <c r="A22" s="51" t="n">
        <v>10</v>
      </c>
      <c r="B22" s="52" t="str">
        <f aca="false">Item10!B3</f>
        <v> Cabo flexível em cobre com bitola de 2,50 mm², classe de
isolamento 0,75kV isolamento em PVC, fornecido em embalagens
fechadas lacradas pelo fabricante, na cor amarela. Rolo com 100m</v>
      </c>
      <c r="C22" s="51" t="str">
        <f aca="false">Item10!C3</f>
        <v>rl</v>
      </c>
      <c r="D22" s="51" t="n">
        <f aca="false">Item10!D3</f>
        <v>20</v>
      </c>
      <c r="E22" s="53" t="n">
        <f aca="false">Item10!F3</f>
        <v>70.4988221</v>
      </c>
      <c r="F22" s="54" t="n">
        <f aca="false">(ROUND(E22,2)*D22)</f>
        <v>1410</v>
      </c>
    </row>
    <row r="23" customFormat="false" ht="17.25" hidden="false" customHeight="false" outlineLevel="0" collapsed="false">
      <c r="A23" s="61" t="s">
        <v>411</v>
      </c>
      <c r="B23" s="62" t="str">
        <f aca="false">Item11!G20</f>
        <v>CNPJ 16.866.828/0001-67(PE n. 48/2017)</v>
      </c>
      <c r="C23" s="62"/>
      <c r="D23" s="62"/>
      <c r="E23" s="62"/>
      <c r="F23" s="62"/>
    </row>
    <row r="24" customFormat="false" ht="38.25" hidden="false" customHeight="false" outlineLevel="0" collapsed="false">
      <c r="A24" s="51" t="n">
        <v>11</v>
      </c>
      <c r="B24" s="52" t="str">
        <f aca="false">Item11!B3</f>
        <v>Cabo flexível em cobre com bitola de 2,50 mm², classe de
isolamento 0,75kV, isolamento em PVC, fornecido em embalagens
fechadas lacradas pelo fabricante, na cor azul. Rolo com 100m</v>
      </c>
      <c r="C24" s="51" t="str">
        <f aca="false">Item11!C3</f>
        <v>rl</v>
      </c>
      <c r="D24" s="51" t="n">
        <f aca="false">Item11!D3</f>
        <v>20</v>
      </c>
      <c r="E24" s="53" t="n">
        <f aca="false">Item11!F3</f>
        <v>80.0858576</v>
      </c>
      <c r="F24" s="54" t="n">
        <f aca="false">(ROUND(E24,2)*D24)</f>
        <v>1601.8</v>
      </c>
    </row>
    <row r="25" customFormat="false" ht="17.25" hidden="false" customHeight="false" outlineLevel="0" collapsed="false">
      <c r="A25" s="61" t="s">
        <v>411</v>
      </c>
      <c r="B25" s="62" t="str">
        <f aca="false">Item12!G20</f>
        <v>CNPJ 22.356.205/0001-47(PE n. 48/2018)</v>
      </c>
      <c r="C25" s="62"/>
      <c r="D25" s="62"/>
      <c r="E25" s="62"/>
      <c r="F25" s="62"/>
    </row>
    <row r="26" customFormat="false" ht="38.25" hidden="false" customHeight="false" outlineLevel="0" collapsed="false">
      <c r="A26" s="51" t="n">
        <v>12</v>
      </c>
      <c r="B26" s="52" t="str">
        <f aca="false">Item12!B3</f>
        <v>Cabo flexível em cobre com bitola de 2,50 mm², classe de
isolamento 0,75kV, isolamento em PVC, fornecido em embalagens
fechadas lacradas pelo fabricante, na cor branca. Rolo com 100m</v>
      </c>
      <c r="C26" s="51" t="str">
        <f aca="false">Item12!C3</f>
        <v>rl</v>
      </c>
      <c r="D26" s="51" t="n">
        <f aca="false">Item12!$D$3</f>
        <v>20</v>
      </c>
      <c r="E26" s="53" t="n">
        <f aca="false">Item12!F3</f>
        <v>65.0533449</v>
      </c>
      <c r="F26" s="54" t="n">
        <f aca="false">(ROUND(E26,2)*D26)</f>
        <v>1301</v>
      </c>
    </row>
    <row r="27" customFormat="false" ht="17.25" hidden="false" customHeight="false" outlineLevel="0" collapsed="false">
      <c r="A27" s="61" t="s">
        <v>411</v>
      </c>
      <c r="B27" s="62" t="str">
        <f aca="false">Item13!G20</f>
        <v>CNPJ 16.866.828/0001-67(PE n. 48/2018)</v>
      </c>
      <c r="C27" s="62"/>
      <c r="D27" s="62"/>
      <c r="E27" s="62"/>
      <c r="F27" s="62"/>
    </row>
    <row r="28" customFormat="false" ht="12.75" hidden="false" customHeight="false" outlineLevel="0" collapsed="false">
      <c r="A28" s="51" t="n">
        <v>13</v>
      </c>
      <c r="B28" s="52" t="str">
        <f aca="false">Item13!B3</f>
        <v> Cabo flexível em cobre com bitola de 2,50 mm², classe de
isolamento 0,75kV, isolamento em PVC, fornecido em embalagens
fechadas lacradas pelo fabricante, na cor preta. Rolo com 100m</v>
      </c>
      <c r="C28" s="51" t="str">
        <f aca="false">Item13!C3</f>
        <v>rl</v>
      </c>
      <c r="D28" s="51" t="n">
        <f aca="false">Item13!$D$3</f>
        <v>20</v>
      </c>
      <c r="E28" s="53" t="n">
        <f aca="false">Item13!F3</f>
        <v>79.938128</v>
      </c>
      <c r="F28" s="54" t="n">
        <f aca="false">(ROUND(E28,2)*D28)</f>
        <v>1598.8</v>
      </c>
    </row>
    <row r="29" customFormat="false" ht="17.25" hidden="false" customHeight="false" outlineLevel="0" collapsed="false">
      <c r="A29" s="61" t="s">
        <v>411</v>
      </c>
      <c r="B29" s="62" t="str">
        <f aca="false">Item14!G20</f>
        <v>CNPJ 24.616.322/0001-28(PE n. 48/2017)</v>
      </c>
      <c r="C29" s="62"/>
      <c r="D29" s="62"/>
      <c r="E29" s="62"/>
      <c r="F29" s="62"/>
    </row>
    <row r="30" customFormat="false" ht="38.25" hidden="false" customHeight="false" outlineLevel="0" collapsed="false">
      <c r="A30" s="51" t="n">
        <v>14</v>
      </c>
      <c r="B30" s="52" t="str">
        <f aca="false">Item14!B3</f>
        <v>Cabo flexível em cobre com bitola de 2,50 mm², classe de
isolamento 0,75kV isolamento em PVC, fornecido em embalagens
fechadas lacradas pelo fabricante, na cor verde. Rolo com 100m</v>
      </c>
      <c r="C30" s="51" t="str">
        <f aca="false">Item14!C3</f>
        <v>rl</v>
      </c>
      <c r="D30" s="51" t="n">
        <f aca="false">Item14!D3</f>
        <v>20</v>
      </c>
      <c r="E30" s="53" t="n">
        <f aca="false">Item14!F3</f>
        <v>79.7821912</v>
      </c>
      <c r="F30" s="54" t="n">
        <f aca="false">(ROUND(E30,2)*D30)</f>
        <v>1595.6</v>
      </c>
    </row>
    <row r="31" customFormat="false" ht="17.25" hidden="false" customHeight="false" outlineLevel="0" collapsed="false">
      <c r="A31" s="61" t="s">
        <v>411</v>
      </c>
      <c r="B31" s="62" t="str">
        <f aca="false">Item15!$G$20</f>
        <v>CNPJ 16.866.828/0001-67(PE n. 48/2017)</v>
      </c>
      <c r="C31" s="62"/>
      <c r="D31" s="62"/>
      <c r="E31" s="62"/>
      <c r="F31" s="62"/>
    </row>
    <row r="32" customFormat="false" ht="38.25" hidden="false" customHeight="false" outlineLevel="0" collapsed="false">
      <c r="A32" s="51" t="n">
        <v>15</v>
      </c>
      <c r="B32" s="52" t="str">
        <f aca="false">Item15!$B$3</f>
        <v>Cabo flexível em cobre com bitola de 2,50 mm², classe de
isolamento 0,75kV, isolamento em PVC, fornecido em embalagens
fechadas lacradas pelo fabricante, na cor vermelha. Rolo com 100m</v>
      </c>
      <c r="C32" s="51" t="str">
        <f aca="false">Item15!C3</f>
        <v>rl</v>
      </c>
      <c r="D32" s="51" t="n">
        <f aca="false">Item15!D3</f>
        <v>20</v>
      </c>
      <c r="E32" s="53" t="n">
        <f aca="false">Item15!F3</f>
        <v>80.2602606</v>
      </c>
      <c r="F32" s="54" t="n">
        <f aca="false">(ROUND(E32,2)*D32)</f>
        <v>1605.2</v>
      </c>
    </row>
    <row r="33" customFormat="false" ht="17.25" hidden="false" customHeight="false" outlineLevel="0" collapsed="false">
      <c r="A33" s="61" t="s">
        <v>411</v>
      </c>
      <c r="B33" s="62" t="str">
        <f aca="false">Item16!$G$20</f>
        <v>CNPJ 22.356.205/0001-47(PE n. 48/2017)</v>
      </c>
      <c r="C33" s="62"/>
      <c r="D33" s="62"/>
      <c r="E33" s="62"/>
      <c r="F33" s="62"/>
    </row>
    <row r="34" customFormat="false" ht="38.25" hidden="false" customHeight="false" outlineLevel="0" collapsed="false">
      <c r="A34" s="51" t="n">
        <v>16</v>
      </c>
      <c r="B34" s="52" t="str">
        <f aca="false">Item16!$B$3</f>
        <v>Cabo flexível em cobre com bitola de 4,00 mm², classe de
isolamento 0,75kV, isolamento em PVC, fornecido em embalagens
fechadas lacradas pelo fabricante, na cor azul. Rolo com 100m</v>
      </c>
      <c r="C34" s="51" t="str">
        <f aca="false">Item16!C3</f>
        <v>rl</v>
      </c>
      <c r="D34" s="51" t="n">
        <f aca="false">Item16!D3</f>
        <v>20</v>
      </c>
      <c r="E34" s="53" t="n">
        <f aca="false">Item16!F3</f>
        <v>108.458148</v>
      </c>
      <c r="F34" s="54" t="n">
        <f aca="false">(ROUND(E34,2)*D34)</f>
        <v>2169.2</v>
      </c>
    </row>
    <row r="35" customFormat="false" ht="17.25" hidden="false" customHeight="false" outlineLevel="0" collapsed="false">
      <c r="A35" s="61" t="s">
        <v>411</v>
      </c>
      <c r="B35" s="62" t="str">
        <f aca="false">Item17!$G$20</f>
        <v>CNPJ 16.866.828/0001-67(PE n. 48/2017)</v>
      </c>
      <c r="C35" s="62"/>
      <c r="D35" s="62"/>
      <c r="E35" s="62"/>
      <c r="F35" s="62"/>
    </row>
    <row r="36" customFormat="false" ht="38.25" hidden="false" customHeight="false" outlineLevel="0" collapsed="false">
      <c r="A36" s="51" t="n">
        <v>17</v>
      </c>
      <c r="B36" s="52" t="str">
        <f aca="false">Item17!$B$3</f>
        <v>Cabo flexível em cobre com bitola de 4,00 mm², classe de
isolamento 0,75kV, isolamento em PVC, fornecido em embalagens
fechadas lacradas pelo fabricante, na cor preta. Rolo com 100m</v>
      </c>
      <c r="C36" s="51" t="str">
        <f aca="false">Item17!C3</f>
        <v>rl</v>
      </c>
      <c r="D36" s="51" t="n">
        <f aca="false">Item17!D3</f>
        <v>20</v>
      </c>
      <c r="E36" s="53" t="n">
        <f aca="false">Item17!F3</f>
        <v>128.524752</v>
      </c>
      <c r="F36" s="54" t="n">
        <f aca="false">(ROUND(E36,2)*D36)</f>
        <v>2570.4</v>
      </c>
    </row>
    <row r="37" customFormat="false" ht="17.25" hidden="false" customHeight="false" outlineLevel="0" collapsed="false">
      <c r="A37" s="61" t="s">
        <v>411</v>
      </c>
      <c r="B37" s="62" t="str">
        <f aca="false">Item18!$G$20</f>
        <v>CNPJ 16.866.828/0001-67(PE n. 48/2017)</v>
      </c>
      <c r="C37" s="62"/>
      <c r="D37" s="62"/>
      <c r="E37" s="62"/>
      <c r="F37" s="62"/>
    </row>
    <row r="38" customFormat="false" ht="38.25" hidden="false" customHeight="false" outlineLevel="0" collapsed="false">
      <c r="A38" s="51" t="n">
        <v>18</v>
      </c>
      <c r="B38" s="52" t="str">
        <f aca="false">Item18!$B$3</f>
        <v>Cabo flexível em cobre com bitola de 4,00 mm², classe de
isolamento 0,75kV isolamento em PVC, fornecido em embalagens
fechadas lacradas pelo fabricante, na cor verde. Rolo com 100m</v>
      </c>
      <c r="C38" s="51" t="str">
        <f aca="false">Item18!C3</f>
        <v>rl</v>
      </c>
      <c r="D38" s="51" t="n">
        <f aca="false">Item18!D3</f>
        <v>20</v>
      </c>
      <c r="E38" s="53" t="n">
        <f aca="false">Item18!F3</f>
        <v>129.283918</v>
      </c>
      <c r="F38" s="54" t="n">
        <f aca="false">(ROUND(E38,2)*D38)</f>
        <v>2585.6</v>
      </c>
    </row>
    <row r="39" customFormat="false" ht="17.25" hidden="false" customHeight="false" outlineLevel="0" collapsed="false">
      <c r="A39" s="61" t="s">
        <v>411</v>
      </c>
      <c r="B39" s="62" t="str">
        <f aca="false">Item19!$G$20</f>
        <v>CNPJ 16.866.828/0001-67(PE n. 48/2017)</v>
      </c>
      <c r="C39" s="62"/>
      <c r="D39" s="62"/>
      <c r="E39" s="62"/>
      <c r="F39" s="62"/>
    </row>
    <row r="40" customFormat="false" ht="38.25" hidden="false" customHeight="false" outlineLevel="0" collapsed="false">
      <c r="A40" s="51" t="n">
        <v>19</v>
      </c>
      <c r="B40" s="52" t="str">
        <f aca="false">Item19!$B$3</f>
        <v>Cabo flexível em cobre com bitola de 4,00 mm², classe de
isolamento 0,75kV isolamento em PVC, fornecido em embalagens
fechadas lacradas pelo fabricante, na cor vermelha. Rolo com 100m</v>
      </c>
      <c r="C40" s="51" t="str">
        <f aca="false">Item19!C3</f>
        <v>rl</v>
      </c>
      <c r="D40" s="51" t="n">
        <f aca="false">Item19!D3</f>
        <v>20</v>
      </c>
      <c r="E40" s="53" t="n">
        <f aca="false">Item19!F3</f>
        <v>128.85304</v>
      </c>
      <c r="F40" s="54" t="n">
        <f aca="false">(ROUND(E40,2)*D40)</f>
        <v>2577</v>
      </c>
    </row>
    <row r="41" customFormat="false" ht="17.25" hidden="false" customHeight="false" outlineLevel="0" collapsed="false">
      <c r="A41" s="61" t="s">
        <v>411</v>
      </c>
      <c r="B41" s="62" t="str">
        <f aca="false">Item20!$G$20</f>
        <v>CNPJ 16.866.828/0001-67(PE n. 48/2017)</v>
      </c>
      <c r="C41" s="62"/>
      <c r="D41" s="62"/>
      <c r="E41" s="62"/>
      <c r="F41" s="62"/>
    </row>
    <row r="42" customFormat="false" ht="38.25" hidden="false" customHeight="false" outlineLevel="0" collapsed="false">
      <c r="A42" s="51" t="n">
        <v>20</v>
      </c>
      <c r="B42" s="52" t="str">
        <f aca="false">Item20!$B$3</f>
        <v>Cabo flexível em cobre com bitola de 4,00 mm², classe de
isolamento 0,75kV, isolamento em PVC, fornecido em embalagens
fechadas lacradas pelo fabricante, na cor branca. Rolo com 100m</v>
      </c>
      <c r="C42" s="51" t="str">
        <f aca="false">Item20!C3</f>
        <v>rl</v>
      </c>
      <c r="D42" s="51" t="n">
        <f aca="false">Item20!D3</f>
        <v>20</v>
      </c>
      <c r="E42" s="53" t="n">
        <f aca="false">Item20!F3</f>
        <v>127.9820509</v>
      </c>
      <c r="F42" s="54" t="n">
        <f aca="false">(ROUND(E42,2)*D42)</f>
        <v>2559.6</v>
      </c>
    </row>
    <row r="43" customFormat="false" ht="17.25" hidden="false" customHeight="false" outlineLevel="0" collapsed="false">
      <c r="A43" s="61" t="s">
        <v>411</v>
      </c>
      <c r="B43" s="62" t="str">
        <f aca="false">Item21!$G$20</f>
        <v>CNPJ 16.866.828/0001-67(PE n. 48/2017)</v>
      </c>
      <c r="C43" s="62"/>
      <c r="D43" s="62"/>
      <c r="E43" s="62"/>
      <c r="F43" s="62"/>
    </row>
    <row r="44" customFormat="false" ht="38.25" hidden="false" customHeight="false" outlineLevel="0" collapsed="false">
      <c r="A44" s="51" t="n">
        <v>21</v>
      </c>
      <c r="B44" s="52" t="str">
        <f aca="false">Item21!$B$3</f>
        <v>Cabo flexível em cobre com bitola de 6,00 mm², classe de
isolamento 0,75kV isolamento em PVC, fornecido em embalagens
fechadas lacradas pelo fabricante, na cor verde. Rolo com 100m</v>
      </c>
      <c r="C44" s="51" t="str">
        <f aca="false">Item21!C3</f>
        <v>rl</v>
      </c>
      <c r="D44" s="51" t="n">
        <f aca="false">Item21!D3</f>
        <v>10</v>
      </c>
      <c r="E44" s="53" t="n">
        <f aca="false">Item21!F3</f>
        <v>175.71</v>
      </c>
      <c r="F44" s="54" t="n">
        <f aca="false">(ROUND(E44,2)*D44)</f>
        <v>1757.1</v>
      </c>
    </row>
    <row r="45" customFormat="false" ht="17.25" hidden="false" customHeight="false" outlineLevel="0" collapsed="false">
      <c r="A45" s="61" t="s">
        <v>411</v>
      </c>
      <c r="B45" s="62" t="str">
        <f aca="false">Item22!$G$20</f>
        <v>CNPJ 16.866.828/0001-67(PE n. 48/2017)</v>
      </c>
      <c r="C45" s="62"/>
      <c r="D45" s="62"/>
      <c r="E45" s="62"/>
      <c r="F45" s="62"/>
    </row>
    <row r="46" customFormat="false" ht="38.25" hidden="false" customHeight="false" outlineLevel="0" collapsed="false">
      <c r="A46" s="51" t="n">
        <v>22</v>
      </c>
      <c r="B46" s="52" t="str">
        <f aca="false">Item22!$B$3</f>
        <v>Cabo flexível em cobre com bitola de 6,00 mm², classe de
isolamento 0,75kV isolamento em PVC, fornecido em embalagens
fechadas lacradas pelo fabricante, na cor vermelha. Rolo com 100m</v>
      </c>
      <c r="C46" s="51" t="str">
        <f aca="false">Item22!C3</f>
        <v>rl</v>
      </c>
      <c r="D46" s="51" t="n">
        <f aca="false">Item22!D3</f>
        <v>10</v>
      </c>
      <c r="E46" s="53" t="n">
        <f aca="false">Item22!F3</f>
        <v>161.599768</v>
      </c>
      <c r="F46" s="54" t="n">
        <f aca="false">(ROUND(E46,2)*D46)</f>
        <v>1616</v>
      </c>
    </row>
    <row r="47" customFormat="false" ht="17.25" hidden="false" customHeight="false" outlineLevel="0" collapsed="false">
      <c r="A47" s="61" t="s">
        <v>411</v>
      </c>
      <c r="B47" s="62" t="str">
        <f aca="false">Item23!G20</f>
        <v>CNPJ 16.866.828/0001-67(PE n. 48/2017)</v>
      </c>
      <c r="C47" s="62"/>
      <c r="D47" s="62"/>
      <c r="E47" s="62"/>
      <c r="F47" s="62"/>
    </row>
    <row r="48" customFormat="false" ht="38.25" hidden="false" customHeight="false" outlineLevel="0" collapsed="false">
      <c r="A48" s="51" t="n">
        <v>23</v>
      </c>
      <c r="B48" s="52" t="str">
        <f aca="false">Item23!B3</f>
        <v>Cabo flexível em cobre com bitola de 6,00 mm², classe de
isolamento 0,75kV, isolamento em PVC, fornecido em embalagens
fechadas lacradas pelo fabricante, na cor azul. Rolo com 100m</v>
      </c>
      <c r="C48" s="51" t="str">
        <f aca="false">Item23!C3</f>
        <v>rl</v>
      </c>
      <c r="D48" s="51" t="n">
        <f aca="false">Item23!D3</f>
        <v>10</v>
      </c>
      <c r="E48" s="53" t="n">
        <f aca="false">Item23!F3</f>
        <v>146.41</v>
      </c>
      <c r="F48" s="54" t="n">
        <f aca="false">(ROUND(E48,2)*D48)</f>
        <v>1464.1</v>
      </c>
    </row>
    <row r="49" customFormat="false" ht="17.25" hidden="false" customHeight="false" outlineLevel="0" collapsed="false">
      <c r="A49" s="61" t="s">
        <v>411</v>
      </c>
      <c r="B49" s="62" t="str">
        <f aca="false">Item24!G20</f>
        <v>CNPJ 22.356.205/0001-47(PE n. 48/2017)</v>
      </c>
      <c r="C49" s="62"/>
      <c r="D49" s="62"/>
      <c r="E49" s="62"/>
      <c r="F49" s="62"/>
    </row>
    <row r="50" customFormat="false" ht="38.25" hidden="false" customHeight="false" outlineLevel="0" collapsed="false">
      <c r="A50" s="51" t="n">
        <v>24</v>
      </c>
      <c r="B50" s="52" t="str">
        <f aca="false">Item24!B3</f>
        <v>Cabo flexível em cobre com bitola de 6,00 mm², classe de
isolamento 0,75kV, isolamento em PVC, fornecido em embalagens
fechadas lacradas pelo fabricante, na cor preta. Rolo com 100m</v>
      </c>
      <c r="C50" s="51" t="str">
        <f aca="false">Item24!C3</f>
        <v>rl</v>
      </c>
      <c r="D50" s="51" t="n">
        <f aca="false">Item24!D3</f>
        <v>10</v>
      </c>
      <c r="E50" s="53" t="n">
        <f aca="false">Item24!F3</f>
        <v>161.6038716</v>
      </c>
      <c r="F50" s="54" t="n">
        <f aca="false">(ROUND(E50,2)*D50)</f>
        <v>1616</v>
      </c>
    </row>
    <row r="51" customFormat="false" ht="17.25" hidden="false" customHeight="false" outlineLevel="0" collapsed="false">
      <c r="A51" s="61" t="s">
        <v>411</v>
      </c>
      <c r="B51" s="62" t="str">
        <f aca="false">Item25!G20</f>
        <v>CNPJ 10.752.963/0001-03(PE n. 48/2017)</v>
      </c>
      <c r="C51" s="62"/>
      <c r="D51" s="62"/>
      <c r="E51" s="62"/>
      <c r="F51" s="62"/>
    </row>
    <row r="52" customFormat="false" ht="38.25" hidden="false" customHeight="false" outlineLevel="0" collapsed="false">
      <c r="A52" s="51" t="n">
        <v>25</v>
      </c>
      <c r="B52" s="52" t="str">
        <f aca="false">Item25!B3</f>
        <v>Cabo flexível em cobre com bitola de 6,00 mm², classe de
isolamento 0,75kV, isolamento em PVC, fornecido em embalagens
fechadas lacradas pelo fabricante, na cor branca. Rolo com 100m</v>
      </c>
      <c r="C52" s="51" t="str">
        <f aca="false">Item25!C3</f>
        <v>rl</v>
      </c>
      <c r="D52" s="51" t="n">
        <f aca="false">Item25!D3</f>
        <v>10</v>
      </c>
      <c r="E52" s="53" t="n">
        <f aca="false">Item25!F3</f>
        <v>194.1423419</v>
      </c>
      <c r="F52" s="54" t="n">
        <f aca="false">(ROUND(E52,2)*D52)</f>
        <v>1941.4</v>
      </c>
    </row>
    <row r="53" customFormat="false" ht="17.25" hidden="false" customHeight="false" outlineLevel="0" collapsed="false">
      <c r="A53" s="61" t="s">
        <v>411</v>
      </c>
      <c r="B53" s="62" t="str">
        <f aca="false">Item26!G20</f>
        <v>CNPJ 26.032.320/0001-17(PE n. 48/2017)</v>
      </c>
      <c r="C53" s="62"/>
      <c r="D53" s="62"/>
      <c r="E53" s="62"/>
      <c r="F53" s="62"/>
    </row>
    <row r="54" customFormat="false" ht="51" hidden="false" customHeight="false" outlineLevel="0" collapsed="false">
      <c r="A54" s="51" t="n">
        <v>26</v>
      </c>
      <c r="B54" s="52" t="str">
        <f aca="false">Item26!B3</f>
        <v> Caixa de tomada de piso em latão, redonda (circular – tanto a
moldura como o receptáculo da tomada), diâmetro 2” – completa,
inclusive tomada (2P+T padrão novo, corrente nominal 10 A e
tensão nominal 127/220V)</v>
      </c>
      <c r="C54" s="51" t="str">
        <f aca="false">Item26!C3</f>
        <v>unidade</v>
      </c>
      <c r="D54" s="51" t="n">
        <f aca="false">Item26!D3</f>
        <v>100</v>
      </c>
      <c r="E54" s="53" t="n">
        <f aca="false">Item26!F3</f>
        <v>62.1469702</v>
      </c>
      <c r="F54" s="54" t="n">
        <f aca="false">(ROUND(E54,2)*D54)</f>
        <v>6215</v>
      </c>
    </row>
    <row r="55" customFormat="false" ht="17.25" hidden="false" customHeight="false" outlineLevel="0" collapsed="false">
      <c r="A55" s="61" t="s">
        <v>411</v>
      </c>
      <c r="B55" s="62" t="str">
        <f aca="false">Item27!G20</f>
        <v>CNPJ 16.866.828/0001-67(PE n. 48/2017)</v>
      </c>
      <c r="C55" s="62"/>
      <c r="D55" s="62"/>
      <c r="E55" s="62"/>
      <c r="F55" s="62"/>
    </row>
    <row r="56" customFormat="false" ht="12.75" hidden="false" customHeight="false" outlineLevel="0" collapsed="false">
      <c r="A56" s="51" t="n">
        <v>27</v>
      </c>
      <c r="B56" s="52" t="str">
        <f aca="false">Item27!B3</f>
        <v>Caixa de tomada de piso em latão, redonda (circular – tanto a
moldura como o receptáculo da tomada), diâmetro 2” – completa,
inclusive tomada (RJ45)</v>
      </c>
      <c r="C56" s="51" t="str">
        <f aca="false">Item27!C3</f>
        <v>unidade</v>
      </c>
      <c r="D56" s="51" t="n">
        <f aca="false">Item27!D3</f>
        <v>100</v>
      </c>
      <c r="E56" s="53" t="n">
        <f aca="false">Item27!F3</f>
        <v>61.7027555</v>
      </c>
      <c r="F56" s="54" t="n">
        <f aca="false">(ROUND(E56,2)*D56)</f>
        <v>6170</v>
      </c>
    </row>
    <row r="57" customFormat="false" ht="17.25" hidden="false" customHeight="false" outlineLevel="0" collapsed="false">
      <c r="A57" s="61" t="s">
        <v>411</v>
      </c>
      <c r="B57" s="62" t="str">
        <f aca="false">Item28!G20</f>
        <v>Elétrica Santana</v>
      </c>
      <c r="C57" s="62"/>
      <c r="D57" s="62"/>
      <c r="E57" s="62"/>
      <c r="F57" s="62"/>
    </row>
    <row r="58" customFormat="false" ht="216.75" hidden="false" customHeight="false" outlineLevel="0" collapsed="false">
      <c r="A58" s="51" t="n">
        <v>28</v>
      </c>
      <c r="B58" s="52" t="str">
        <f aca="false">Item28!B3</f>
        <v>Conector Fêmea RJ-45 CAT 6
Especificações técnicas:
Conector fêmea Categoria 6 para cabo UTP sólido ou flexível;
Tipo de conector RJ-45;
Fabricado em termoplástico não propagante a chama UL 94V-0;
Diâmetro do Condutor: 26 a 22 AWG;
Cor: transparente;
Normas:
ANSI/TIA-568-2-D;
ISO/IEC DIS 11801;
NBR 14565
Garantia do Fabricante:
12 meses.
Referências:
Furukawa Conector Fêmea RJ-45 GigaLan CAT6;
Panduit plug RJ-45 CAT 6
</v>
      </c>
      <c r="C58" s="51" t="str">
        <f aca="false">Item28!C3</f>
        <v>unidade</v>
      </c>
      <c r="D58" s="51" t="n">
        <f aca="false">Item28!D3</f>
        <v>1000</v>
      </c>
      <c r="E58" s="53" t="n">
        <f aca="false">Item28!F3</f>
        <v>30.9</v>
      </c>
      <c r="F58" s="54" t="n">
        <f aca="false">(ROUND(E58,2)*D58)</f>
        <v>30900</v>
      </c>
    </row>
    <row r="59" customFormat="false" ht="17.25" hidden="false" customHeight="false" outlineLevel="0" collapsed="false">
      <c r="A59" s="61" t="s">
        <v>411</v>
      </c>
      <c r="B59" s="62" t="str">
        <f aca="false">Item29!G20</f>
        <v>PCI</v>
      </c>
      <c r="C59" s="62"/>
      <c r="D59" s="62"/>
      <c r="E59" s="62"/>
      <c r="F59" s="62"/>
    </row>
    <row r="60" customFormat="false" ht="216.75" hidden="false" customHeight="false" outlineLevel="0" collapsed="false">
      <c r="A60" s="51" t="n">
        <v>29</v>
      </c>
      <c r="B60" s="52" t="str">
        <f aca="false">Item29!B3</f>
        <v>Conector Macho RJ-45 CAT 6
Especificações técnicas:
Conector fêmea Categoria 6 para cabo UTP sólido ou flexível;
Tipo de conector RJ-45;
Fabricado em termoplástico não propagante a chama UL 94V-0;
Diâmetro do Condutor: 26 a 22 AWG;
Cor: transparente;
Normas:
ANSI/TIA-568-2-D;
ISO/IEC DIS 11801;
NBR 14565
Garantia do Fabricante:
12 meses.
Referências:
Furukawa Conector Fêmea RJ-45 GigaLan CAT6;
Panduit plug RJ-45 CAT 6
</v>
      </c>
      <c r="C60" s="51" t="str">
        <f aca="false">Item29!C3</f>
        <v>unidade</v>
      </c>
      <c r="D60" s="51" t="n">
        <f aca="false">Item29!D3</f>
        <v>1000</v>
      </c>
      <c r="E60" s="53" t="n">
        <f aca="false">Item29!F3</f>
        <v>5.3</v>
      </c>
      <c r="F60" s="54" t="n">
        <f aca="false">(ROUND(E60,2)*D60)</f>
        <v>5300</v>
      </c>
    </row>
    <row r="61" customFormat="false" ht="17.25" hidden="false" customHeight="false" outlineLevel="0" collapsed="false">
      <c r="A61" s="61" t="s">
        <v>411</v>
      </c>
      <c r="B61" s="62" t="str">
        <f aca="false">Item30!G20</f>
        <v>Piu Shop</v>
      </c>
      <c r="C61" s="62"/>
      <c r="D61" s="62"/>
      <c r="E61" s="62"/>
      <c r="F61" s="62"/>
    </row>
    <row r="62" customFormat="false" ht="12.75" hidden="false" customHeight="false" outlineLevel="0" collapsed="false">
      <c r="A62" s="51" t="n">
        <v>30</v>
      </c>
      <c r="B62" s="52" t="str">
        <f aca="false">Item30!B3</f>
        <v>Filtro de linha com plug 2P+T e 5 tomadas 2P+T</v>
      </c>
      <c r="C62" s="51" t="str">
        <f aca="false">Item30!C3</f>
        <v>unidade</v>
      </c>
      <c r="D62" s="51" t="n">
        <f aca="false">Item30!D3</f>
        <v>60</v>
      </c>
      <c r="E62" s="53" t="n">
        <f aca="false">Item30!F3</f>
        <v>15.5536699</v>
      </c>
      <c r="F62" s="54" t="n">
        <f aca="false">(ROUND(E62,2)*D62)</f>
        <v>933</v>
      </c>
    </row>
    <row r="63" customFormat="false" ht="17.25" hidden="false" customHeight="false" outlineLevel="0" collapsed="false">
      <c r="A63" s="61" t="s">
        <v>411</v>
      </c>
      <c r="B63" s="62" t="str">
        <f aca="false">Item31!G20</f>
        <v>Magazine Luiza</v>
      </c>
      <c r="C63" s="62"/>
      <c r="D63" s="62"/>
      <c r="E63" s="62"/>
      <c r="F63" s="62"/>
    </row>
    <row r="64" customFormat="false" ht="63.75" hidden="false" customHeight="false" outlineLevel="0" collapsed="false">
      <c r="A64" s="51" t="n">
        <v>31</v>
      </c>
      <c r="B64" s="52" t="str">
        <f aca="false">Item31!B3</f>
        <v>Lâmpada LED Tubular Tipo T8, 60 cm, base G13, 127/220V, fluxo
luminoso mínimo de 850lm, potência máxima de 10W, luz branca
(temperatura de cor 6000-6500K), vida útil estimada igual ou maior
que 25.000 horas, compatível com a certificação do Inmetro.
Marca: Osram, Phillips ou similar</v>
      </c>
      <c r="C64" s="51" t="str">
        <f aca="false">Item31!C3</f>
        <v>unidade</v>
      </c>
      <c r="D64" s="51" t="n">
        <f aca="false">Item31!D3</f>
        <v>200</v>
      </c>
      <c r="E64" s="53" t="n">
        <f aca="false">Item31!F3</f>
        <v>15.9</v>
      </c>
      <c r="F64" s="54" t="n">
        <f aca="false">(ROUND(E64,2)*D64)</f>
        <v>3180</v>
      </c>
    </row>
    <row r="65" customFormat="false" ht="17.25" hidden="false" customHeight="false" outlineLevel="0" collapsed="false">
      <c r="A65" s="61" t="s">
        <v>411</v>
      </c>
      <c r="B65" s="62" t="str">
        <f aca="false">Item32!G20</f>
        <v>MadeiraMadeira</v>
      </c>
      <c r="C65" s="62"/>
      <c r="D65" s="62"/>
      <c r="E65" s="62"/>
      <c r="F65" s="62"/>
    </row>
    <row r="66" customFormat="false" ht="51" hidden="false" customHeight="false" outlineLevel="0" collapsed="false">
      <c r="A66" s="51" t="n">
        <v>32</v>
      </c>
      <c r="B66" s="52" t="str">
        <f aca="false">Item32!B3</f>
        <v>Luminária de Emergência LED com fluxo luminoso mínimo de
2.100lm, potência máxima de 28W, Grau de Proteção Mínimo IP20,
autonomia mínima de 2 horas, vida útil estimada igual ou maior que
200 ciclos.</v>
      </c>
      <c r="C66" s="51" t="str">
        <f aca="false">Item32!C3</f>
        <v>unidade</v>
      </c>
      <c r="D66" s="51" t="n">
        <f aca="false">Item32!D3</f>
        <v>10</v>
      </c>
      <c r="E66" s="53" t="n">
        <f aca="false">Item32!F3</f>
        <v>134</v>
      </c>
      <c r="F66" s="54" t="n">
        <f aca="false">(ROUND(E66,2)*D66)</f>
        <v>1340</v>
      </c>
    </row>
    <row r="67" customFormat="false" ht="17.25" hidden="false" customHeight="false" outlineLevel="0" collapsed="false">
      <c r="A67" s="61" t="s">
        <v>411</v>
      </c>
      <c r="B67" s="62" t="str">
        <f aca="false">Item33!G20</f>
        <v>RCA Lâmpadas</v>
      </c>
      <c r="C67" s="62"/>
      <c r="D67" s="62"/>
      <c r="E67" s="62"/>
      <c r="F67" s="62"/>
    </row>
    <row r="68" customFormat="false" ht="51" hidden="false" customHeight="false" outlineLevel="0" collapsed="false">
      <c r="A68" s="51" t="n">
        <v>33</v>
      </c>
      <c r="B68" s="52" t="str">
        <f aca="false">Item33!B3</f>
        <v>Luminária/Painel LED de embutir, Quadrado (22cm x 22cm),
127/220V, fluxo luminoso mínimo de 1.100lm, potência máxima de
18W, luz branca (temperatura de cor 6000-6500K), vida útil
estimada igual ou maior que 25.000 horas</v>
      </c>
      <c r="C68" s="51" t="str">
        <f aca="false">Item33!C3</f>
        <v>unidade</v>
      </c>
      <c r="D68" s="51" t="n">
        <f aca="false">Item33!D3</f>
        <v>50</v>
      </c>
      <c r="E68" s="53" t="n">
        <f aca="false">Item33!F3</f>
        <v>15</v>
      </c>
      <c r="F68" s="54" t="n">
        <f aca="false">(ROUND(E68,2)*D68)</f>
        <v>750</v>
      </c>
    </row>
    <row r="69" customFormat="false" ht="17.25" hidden="false" customHeight="false" outlineLevel="0" collapsed="false">
      <c r="A69" s="61" t="s">
        <v>411</v>
      </c>
      <c r="B69" s="62" t="str">
        <f aca="false">Item34!G20</f>
        <v>CNPJ 27.411.182/0001-40(PE n. 48/2017)</v>
      </c>
      <c r="C69" s="62"/>
      <c r="D69" s="62"/>
      <c r="E69" s="62"/>
      <c r="F69" s="62"/>
    </row>
    <row r="70" customFormat="false" ht="38.25" hidden="false" customHeight="false" outlineLevel="0" collapsed="false">
      <c r="A70" s="51" t="n">
        <v>34</v>
      </c>
      <c r="B70" s="52" t="str">
        <f aca="false">Item34!B3</f>
        <v>Espelho de tomada de piso em latão escovado com molas e eixos
em aço inox 4x4" (espessura 2mm, comprimento 110mm e largura
110mm) com 2 tomadas 2P+T,10V com parafusos (referencia olivo, vacofer, marcai ou similar)</v>
      </c>
      <c r="C70" s="51" t="str">
        <f aca="false">Item34!C3</f>
        <v>unidade</v>
      </c>
      <c r="D70" s="51" t="n">
        <f aca="false">Item34!D3</f>
        <v>100</v>
      </c>
      <c r="E70" s="53" t="n">
        <f aca="false">Item34!F3</f>
        <v>29.52</v>
      </c>
      <c r="F70" s="54" t="n">
        <f aca="false">(ROUND(E70,2)*D70)</f>
        <v>2952</v>
      </c>
    </row>
    <row r="71" customFormat="false" ht="17.25" hidden="false" customHeight="false" outlineLevel="0" collapsed="false">
      <c r="A71" s="61" t="s">
        <v>411</v>
      </c>
      <c r="B71" s="62" t="str">
        <f aca="false">Item35!G20</f>
        <v>CNPJ 16.597.435/0001-03(PE n. 48/2017)</v>
      </c>
      <c r="C71" s="62"/>
      <c r="D71" s="62"/>
      <c r="E71" s="62"/>
      <c r="F71" s="62"/>
    </row>
    <row r="72" customFormat="false" ht="51" hidden="false" customHeight="false" outlineLevel="0" collapsed="false">
      <c r="A72" s="51" t="n">
        <v>35</v>
      </c>
      <c r="B72" s="52" t="str">
        <f aca="false">Item35!B3</f>
        <v>Espelho de tomada de piso em latão escovado com molas e eixos
em aço inox 4x4" (espessura 2mm, comprimento 110mm e largura
110mm) com 3 saídas para rj45, com parafusos (referencia olivo,
vacofer, marcai ou similar)</v>
      </c>
      <c r="C72" s="51" t="str">
        <f aca="false">Item35!C3</f>
        <v>unidade</v>
      </c>
      <c r="D72" s="51" t="n">
        <f aca="false">Item35!D3</f>
        <v>100</v>
      </c>
      <c r="E72" s="53" t="n">
        <f aca="false">Item35!F3</f>
        <v>25.38</v>
      </c>
      <c r="F72" s="54" t="n">
        <f aca="false">(ROUND(E72,2)*D72)</f>
        <v>2538</v>
      </c>
    </row>
    <row r="73" customFormat="false" ht="17.25" hidden="false" customHeight="false" outlineLevel="0" collapsed="false">
      <c r="A73" s="61" t="s">
        <v>411</v>
      </c>
      <c r="B73" s="62" t="str">
        <f aca="false">Item36!G20</f>
        <v>Net Computadores</v>
      </c>
      <c r="C73" s="62"/>
      <c r="D73" s="62"/>
      <c r="E73" s="62"/>
      <c r="F73" s="62"/>
    </row>
    <row r="74" customFormat="false" ht="255" hidden="false" customHeight="false" outlineLevel="0" collapsed="false">
      <c r="A74" s="51" t="n">
        <v>36</v>
      </c>
      <c r="B74" s="52" t="str">
        <f aca="false">Item36!B3</f>
        <v>Patch Panel Categoria 6
Especificações técnicas:
O produto deve atender os requisitos estabelecidos nas normas para Categoria 6/ Classe E;
24 posições RJ-45;
Corpo fabricado em termoplástico de alto impacto não propagante a chama (UL 94 V-0);
Painel frontal em plástico com porta etiquetas para identificação;
Possibilidade de crimpagem T568A ou T568B;
Deve possuir uma guia traseira feita em termoplástico para organizar os cabos;
Instalação em rack 19";
·  Normas:
·  EIA/TIA-569;
·  ISO/IEC 11801;
·  NBR 14565;
·  ANSI/TIA-606.
Garantia do Fabricante:
 12 meses.
Modelo de referência
  Furukawa Patch Panel Gigalan CAT6 24P
</v>
      </c>
      <c r="C74" s="51" t="str">
        <f aca="false">Item36!C3</f>
        <v>unidade</v>
      </c>
      <c r="D74" s="51" t="n">
        <f aca="false">Item36!D3</f>
        <v>15</v>
      </c>
      <c r="E74" s="53" t="n">
        <f aca="false">Item36!F3</f>
        <v>698.86</v>
      </c>
      <c r="F74" s="54" t="n">
        <f aca="false">(ROUND(E74,2)*D74)</f>
        <v>10482.9</v>
      </c>
    </row>
    <row r="75" customFormat="false" ht="17.25" hidden="false" customHeight="false" outlineLevel="0" collapsed="false">
      <c r="A75" s="61" t="s">
        <v>411</v>
      </c>
      <c r="B75" s="62" t="str">
        <f aca="false">Item37!G20</f>
        <v>Casa Mimosa</v>
      </c>
      <c r="C75" s="62"/>
      <c r="D75" s="62"/>
      <c r="E75" s="62"/>
      <c r="F75" s="62"/>
    </row>
    <row r="76" customFormat="false" ht="25.5" hidden="false" customHeight="false" outlineLevel="0" collapsed="false">
      <c r="A76" s="51" t="n">
        <v>37</v>
      </c>
      <c r="B76" s="52" t="str">
        <f aca="false">Item37!B3</f>
        <v>Espelho redondo diâmetro 40cm com moldura em alumínio, para
banheiro</v>
      </c>
      <c r="C76" s="51" t="str">
        <f aca="false">Item37!C3</f>
        <v>unidade</v>
      </c>
      <c r="D76" s="51" t="n">
        <f aca="false">Item37!D3</f>
        <v>15</v>
      </c>
      <c r="E76" s="53" t="n">
        <f aca="false">Item37!F3</f>
        <v>86.64</v>
      </c>
      <c r="F76" s="54" t="n">
        <f aca="false">(ROUND(E76,2)*D76)</f>
        <v>1299.6</v>
      </c>
    </row>
    <row r="77" customFormat="false" ht="17.25" hidden="false" customHeight="false" outlineLevel="0" collapsed="false">
      <c r="A77" s="61" t="s">
        <v>411</v>
      </c>
      <c r="B77" s="62" t="str">
        <f aca="false">Item38!G20</f>
        <v>Drive Store</v>
      </c>
      <c r="C77" s="62"/>
      <c r="D77" s="62"/>
      <c r="E77" s="62"/>
      <c r="F77" s="62"/>
    </row>
    <row r="78" customFormat="false" ht="12.75" hidden="false" customHeight="false" outlineLevel="0" collapsed="false">
      <c r="A78" s="51" t="n">
        <v>38</v>
      </c>
      <c r="B78" s="52" t="str">
        <f aca="false">Item38!B3</f>
        <v>Fechadura livre ocupado para porta de sanitário</v>
      </c>
      <c r="C78" s="51" t="str">
        <f aca="false">Item38!C3</f>
        <v>unidade</v>
      </c>
      <c r="D78" s="51" t="n">
        <f aca="false">Item38!D3</f>
        <v>10</v>
      </c>
      <c r="E78" s="53" t="n">
        <f aca="false">Item38!F3</f>
        <v>23.86</v>
      </c>
      <c r="F78" s="54" t="n">
        <f aca="false">(ROUND(E78,2)*D78)</f>
        <v>238.6</v>
      </c>
    </row>
    <row r="79" customFormat="false" ht="17.25" hidden="false" customHeight="false" outlineLevel="0" collapsed="false">
      <c r="A79" s="61" t="s">
        <v>411</v>
      </c>
      <c r="B79" s="62" t="str">
        <f aca="false">Item39!G20</f>
        <v>CNPJ 22.818.385/0001-31(PE n. 44/2017)</v>
      </c>
      <c r="C79" s="62"/>
      <c r="D79" s="62"/>
      <c r="E79" s="62"/>
      <c r="F79" s="62"/>
    </row>
    <row r="80" customFormat="false" ht="12.75" hidden="false" customHeight="false" outlineLevel="0" collapsed="false">
      <c r="A80" s="51" t="n">
        <v>39</v>
      </c>
      <c r="B80" s="52" t="str">
        <f aca="false">Item39!B3</f>
        <v>Fechadura tipo fenda lingueta reta 35 mm, acabamento preto</v>
      </c>
      <c r="C80" s="51" t="str">
        <f aca="false">Item39!C3</f>
        <v>unidade</v>
      </c>
      <c r="D80" s="51" t="n">
        <f aca="false">Item39!D3</f>
        <v>100</v>
      </c>
      <c r="E80" s="53" t="n">
        <f aca="false">Item39!F3</f>
        <v>13.55</v>
      </c>
      <c r="F80" s="54" t="n">
        <f aca="false">(ROUND(E80,2)*D80)</f>
        <v>1355</v>
      </c>
    </row>
    <row r="81" customFormat="false" ht="17.25" hidden="false" customHeight="false" outlineLevel="0" collapsed="false">
      <c r="A81" s="61" t="s">
        <v>411</v>
      </c>
      <c r="B81" s="62" t="str">
        <f aca="false">Item40!G20</f>
        <v>UNESPUMA</v>
      </c>
      <c r="C81" s="62"/>
      <c r="D81" s="62"/>
      <c r="E81" s="62"/>
      <c r="F81" s="62"/>
    </row>
    <row r="82" customFormat="false" ht="63.75" hidden="false" customHeight="false" outlineLevel="0" collapsed="false">
      <c r="A82" s="51" t="n">
        <v>40</v>
      </c>
      <c r="B82" s="52" t="str">
        <f aca="false">Item40!B3</f>
        <v>Fechamento de ondas de telha com 1 metro (m), em polietileno
expandido, adesivado na base, para telha ondulada em alumínio liso.
altura da telha = 17,00mm, raio da ondulação = 20,00mm,
comprimento da telha = 1345mm (comprimento útil da telha =
1216mm – recobrimento duplo). peça com 1216mm.</v>
      </c>
      <c r="C82" s="51" t="str">
        <f aca="false">Item40!C3</f>
        <v>unidade</v>
      </c>
      <c r="D82" s="51" t="n">
        <f aca="false">Item40!D3</f>
        <v>200</v>
      </c>
      <c r="E82" s="53" t="n">
        <f aca="false">Item40!F3</f>
        <v>3.87</v>
      </c>
      <c r="F82" s="54" t="n">
        <f aca="false">(ROUND(E82,2)*D82)</f>
        <v>774</v>
      </c>
    </row>
    <row r="83" customFormat="false" ht="17.25" hidden="false" customHeight="false" outlineLevel="0" collapsed="false">
      <c r="A83" s="61" t="s">
        <v>411</v>
      </c>
      <c r="B83" s="62" t="str">
        <f aca="false">Item41!G20</f>
        <v>CNPJ 26.469.541/0001-57(PE n. 44/2017)</v>
      </c>
      <c r="C83" s="62"/>
      <c r="D83" s="62"/>
      <c r="E83" s="62"/>
      <c r="F83" s="62"/>
    </row>
    <row r="84" customFormat="false" ht="25.5" hidden="false" customHeight="false" outlineLevel="0" collapsed="false">
      <c r="A84" s="51" t="n">
        <v>41</v>
      </c>
      <c r="B84" s="52" t="str">
        <f aca="false">Item41!B3</f>
        <v>Fita sinalização, material plástico, comprimento 200m, largura 7,
cor preta e amarela, aplicação demarcação e isolamento</v>
      </c>
      <c r="C84" s="51" t="str">
        <f aca="false">Item41!C3</f>
        <v>unidade</v>
      </c>
      <c r="D84" s="51" t="n">
        <f aca="false">Item41!D3</f>
        <v>200</v>
      </c>
      <c r="E84" s="53" t="n">
        <f aca="false">Item41!F3</f>
        <v>6.48</v>
      </c>
      <c r="F84" s="54" t="n">
        <f aca="false">(ROUND(E84,2)*D84)</f>
        <v>1296</v>
      </c>
    </row>
    <row r="85" customFormat="false" ht="17.25" hidden="false" customHeight="false" outlineLevel="0" collapsed="false">
      <c r="A85" s="61" t="s">
        <v>411</v>
      </c>
      <c r="B85" s="62" t="str">
        <f aca="false">Item42!G20</f>
        <v>CNPJ 22.818.385/0001-31(PE n. 44/2017)</v>
      </c>
      <c r="C85" s="62"/>
      <c r="D85" s="62"/>
      <c r="E85" s="62"/>
      <c r="F85" s="62"/>
    </row>
    <row r="86" customFormat="false" ht="25.5" hidden="false" customHeight="false" outlineLevel="0" collapsed="false">
      <c r="A86" s="51" t="n">
        <v>42</v>
      </c>
      <c r="B86" s="52" t="str">
        <f aca="false">Item42!B3</f>
        <v>Gesso acartonado – placa de 120 cm x 180 cm – espessura de
12,5mm</v>
      </c>
      <c r="C86" s="51" t="str">
        <f aca="false">Item42!C3</f>
        <v>unidade</v>
      </c>
      <c r="D86" s="51" t="n">
        <f aca="false">Item42!D3</f>
        <v>100</v>
      </c>
      <c r="E86" s="53" t="n">
        <f aca="false">Item42!F3</f>
        <v>20.29</v>
      </c>
      <c r="F86" s="54" t="n">
        <f aca="false">(ROUND(E86,2)*D86)</f>
        <v>2029</v>
      </c>
    </row>
    <row r="87" customFormat="false" ht="17.25" hidden="false" customHeight="false" outlineLevel="0" collapsed="false">
      <c r="A87" s="61" t="s">
        <v>411</v>
      </c>
      <c r="B87" s="62" t="str">
        <f aca="false">Item43!G20</f>
        <v>Breithaupt.com</v>
      </c>
      <c r="C87" s="62"/>
      <c r="D87" s="62"/>
      <c r="E87" s="62"/>
      <c r="F87" s="62"/>
    </row>
    <row r="88" customFormat="false" ht="51" hidden="false" customHeight="false" outlineLevel="0" collapsed="false">
      <c r="A88" s="51" t="n">
        <v>43</v>
      </c>
      <c r="B88" s="52" t="str">
        <f aca="false">Item43!B3</f>
        <v>Gesso em pó em embalagem de 1Kg.Obs.: É obrigação da
Contratada, entregar materiais com intervalo de tempo decorrido
entre a data de entrega e a data final de validade, equivalente a no
mínimo 75% do total do prazo de validade</v>
      </c>
      <c r="C88" s="51" t="str">
        <f aca="false">Item43!C3</f>
        <v>Kg</v>
      </c>
      <c r="D88" s="51" t="n">
        <f aca="false">Item43!D3</f>
        <v>50</v>
      </c>
      <c r="E88" s="53" t="n">
        <f aca="false">Item43!F3</f>
        <v>2.99</v>
      </c>
      <c r="F88" s="54" t="n">
        <f aca="false">(ROUND(E88,2)*D88)</f>
        <v>149.5</v>
      </c>
    </row>
    <row r="89" customFormat="false" ht="17.25" hidden="false" customHeight="false" outlineLevel="0" collapsed="false">
      <c r="A89" s="61" t="s">
        <v>411</v>
      </c>
      <c r="B89" s="62" t="str">
        <f aca="false">Item44!G20</f>
        <v>CNPJ 22.818.385/0001-31 (PE n.44/2017)</v>
      </c>
      <c r="C89" s="62"/>
      <c r="D89" s="62"/>
      <c r="E89" s="62"/>
      <c r="F89" s="62"/>
    </row>
    <row r="90" customFormat="false" ht="12.75" hidden="false" customHeight="false" outlineLevel="0" collapsed="false">
      <c r="A90" s="51" t="n">
        <v>44</v>
      </c>
      <c r="B90" s="52" t="str">
        <f aca="false">Item44!B3</f>
        <v>Gonzo em aço carbono polido 5/8”</v>
      </c>
      <c r="C90" s="51" t="str">
        <f aca="false">Item44!C3</f>
        <v>unidade</v>
      </c>
      <c r="D90" s="51" t="n">
        <f aca="false">Item44!D3</f>
        <v>50</v>
      </c>
      <c r="E90" s="53" t="n">
        <f aca="false">Item44!F3</f>
        <v>2.72</v>
      </c>
      <c r="F90" s="54" t="n">
        <f aca="false">(ROUND(E90,2)*D90)</f>
        <v>136</v>
      </c>
    </row>
    <row r="91" customFormat="false" ht="17.25" hidden="false" customHeight="false" outlineLevel="0" collapsed="false">
      <c r="A91" s="61" t="s">
        <v>411</v>
      </c>
      <c r="B91" s="62" t="str">
        <f aca="false">Item45!G20</f>
        <v>Olist</v>
      </c>
      <c r="C91" s="62"/>
      <c r="D91" s="62"/>
      <c r="E91" s="62"/>
      <c r="F91" s="62"/>
    </row>
    <row r="92" customFormat="false" ht="12.75" hidden="false" customHeight="false" outlineLevel="0" collapsed="false">
      <c r="A92" s="51" t="n">
        <v>45</v>
      </c>
      <c r="B92" s="52" t="str">
        <f aca="false">Item45!B3</f>
        <v>Grampo tipo C sargento, nº 4</v>
      </c>
      <c r="C92" s="51" t="str">
        <f aca="false">Item45!C3</f>
        <v>unidade</v>
      </c>
      <c r="D92" s="51" t="n">
        <f aca="false">Item45!D3</f>
        <v>200</v>
      </c>
      <c r="E92" s="53" t="n">
        <f aca="false">Item45!F3</f>
        <v>23.76</v>
      </c>
      <c r="F92" s="54" t="n">
        <f aca="false">(ROUND(E92,2)*D92)</f>
        <v>4752</v>
      </c>
    </row>
    <row r="93" customFormat="false" ht="17.25" hidden="false" customHeight="false" outlineLevel="0" collapsed="false">
      <c r="A93" s="61" t="s">
        <v>411</v>
      </c>
      <c r="B93" s="62" t="str">
        <f aca="false">Item46!G20</f>
        <v>CNPJ 26.469.541/0001-57(PE n. 44/2017)</v>
      </c>
      <c r="C93" s="62"/>
      <c r="D93" s="62"/>
      <c r="E93" s="62"/>
      <c r="F93" s="62"/>
    </row>
    <row r="94" customFormat="false" ht="51" hidden="false" customHeight="false" outlineLevel="0" collapsed="false">
      <c r="A94" s="51" t="n">
        <v>46</v>
      </c>
      <c r="B94" s="52" t="str">
        <f aca="false">Item46!B3</f>
        <v>Kit de reparo para válvula de descarga acoplada com acionamento
lateral. referência do caixa de descarga acoplada existente: marca
celite, modelo 299050498 (a peça deverá ser totalmente compatível
com o equipamento de referência)</v>
      </c>
      <c r="C94" s="51" t="str">
        <f aca="false">Item46!C3</f>
        <v>unidade</v>
      </c>
      <c r="D94" s="51" t="n">
        <f aca="false">Item46!D3</f>
        <v>50</v>
      </c>
      <c r="E94" s="53" t="n">
        <f aca="false">Item46!F3</f>
        <v>16.04</v>
      </c>
      <c r="F94" s="54" t="n">
        <f aca="false">(ROUND(E94,2)*D94)</f>
        <v>802</v>
      </c>
    </row>
    <row r="95" customFormat="false" ht="17.25" hidden="false" customHeight="false" outlineLevel="0" collapsed="false">
      <c r="A95" s="61" t="s">
        <v>411</v>
      </c>
      <c r="B95" s="62" t="str">
        <f aca="false">Item47!G20</f>
        <v>Casa das Torneiras</v>
      </c>
      <c r="C95" s="62"/>
      <c r="D95" s="62"/>
      <c r="E95" s="62"/>
      <c r="F95" s="62"/>
    </row>
    <row r="96" customFormat="false" ht="12.75" hidden="false" customHeight="false" outlineLevel="0" collapsed="false">
      <c r="A96" s="51" t="n">
        <v>47</v>
      </c>
      <c r="B96" s="52" t="str">
        <f aca="false">Item47!B3</f>
        <v>Kit universal para caixa acoplada com acionamento superior</v>
      </c>
      <c r="C96" s="51" t="str">
        <f aca="false">Item47!C3</f>
        <v>unidade</v>
      </c>
      <c r="D96" s="51" t="n">
        <f aca="false">Item47!D3</f>
        <v>50</v>
      </c>
      <c r="E96" s="53" t="n">
        <f aca="false">Item47!F3</f>
        <v>72.61</v>
      </c>
      <c r="F96" s="54" t="n">
        <f aca="false">(ROUND(E96,2)*D96)</f>
        <v>3630.5</v>
      </c>
    </row>
    <row r="97" customFormat="false" ht="17.25" hidden="false" customHeight="false" outlineLevel="0" collapsed="false">
      <c r="A97" s="61" t="s">
        <v>411</v>
      </c>
      <c r="B97" s="62" t="str">
        <f aca="false">Item48!G20</f>
        <v>Lizot Ferragens ( Americanas.com)</v>
      </c>
      <c r="C97" s="62"/>
      <c r="D97" s="62"/>
      <c r="E97" s="62"/>
      <c r="F97" s="62"/>
    </row>
    <row r="98" customFormat="false" ht="12.75" hidden="false" customHeight="false" outlineLevel="0" collapsed="false">
      <c r="A98" s="51" t="n">
        <v>48</v>
      </c>
      <c r="B98" s="52" t="str">
        <f aca="false">Item48!B3</f>
        <v> Pino em aço carbono, ¾”, para dobradiça tipo gonzo</v>
      </c>
      <c r="C98" s="51" t="str">
        <f aca="false">Item48!C3</f>
        <v>unidade</v>
      </c>
      <c r="D98" s="51" t="n">
        <f aca="false">Item48!D3</f>
        <v>50</v>
      </c>
      <c r="E98" s="53" t="n">
        <f aca="false">Item48!F3</f>
        <v>4.25</v>
      </c>
      <c r="F98" s="54" t="n">
        <f aca="false">(ROUND(E98,2)*D98)</f>
        <v>212.5</v>
      </c>
    </row>
    <row r="99" customFormat="false" ht="17.25" hidden="false" customHeight="false" outlineLevel="0" collapsed="false">
      <c r="A99" s="61" t="s">
        <v>411</v>
      </c>
      <c r="B99" s="62" t="str">
        <f aca="false">Item49!G20</f>
        <v>CNPJ 05.255.236/0001-92(PE n. 44/2017)</v>
      </c>
      <c r="C99" s="62"/>
      <c r="D99" s="62"/>
      <c r="E99" s="62"/>
      <c r="F99" s="62"/>
    </row>
    <row r="100" customFormat="false" ht="12.75" hidden="false" customHeight="false" outlineLevel="0" collapsed="false">
      <c r="A100" s="51" t="n">
        <v>49</v>
      </c>
      <c r="B100" s="52" t="str">
        <f aca="false">Item49!B3</f>
        <v>Refil (elemento filtrante) para filtro 3m aqualar ap200, de torneira</v>
      </c>
      <c r="C100" s="51" t="str">
        <f aca="false">Item49!C3</f>
        <v>unidade</v>
      </c>
      <c r="D100" s="51" t="n">
        <f aca="false">Item49!D3</f>
        <v>20</v>
      </c>
      <c r="E100" s="53" t="n">
        <f aca="false">Item49!F3</f>
        <v>22.81</v>
      </c>
      <c r="F100" s="54" t="n">
        <f aca="false">(ROUND(E100,2)*D100)</f>
        <v>456.2</v>
      </c>
    </row>
    <row r="101" customFormat="false" ht="17.25" hidden="false" customHeight="false" outlineLevel="0" collapsed="false">
      <c r="A101" s="61" t="s">
        <v>411</v>
      </c>
      <c r="B101" s="62" t="str">
        <f aca="false">Item50!G20</f>
        <v>Advanced Vacumm</v>
      </c>
      <c r="C101" s="62"/>
      <c r="D101" s="62"/>
      <c r="E101" s="62"/>
      <c r="F101" s="62"/>
    </row>
    <row r="102" customFormat="false" ht="63.75" hidden="false" customHeight="false" outlineLevel="0" collapsed="false">
      <c r="A102" s="51" t="n">
        <v>50</v>
      </c>
      <c r="B102" s="52" t="str">
        <f aca="false">Item50!B3</f>
        <v>Resina de laminação para fibra de vidro em poliéster com
respectivo catalizador Obs.: É obrigação da Contratada, entregar
materiais com intervalo de tempo decorrido entre a data de entrega e
a data final de validade, equivalente a no mínimo 75% do total do
prazo de validade</v>
      </c>
      <c r="C102" s="51" t="str">
        <f aca="false">Item50!C3</f>
        <v>Kg</v>
      </c>
      <c r="D102" s="51" t="n">
        <f aca="false">Item50!D3</f>
        <v>10</v>
      </c>
      <c r="E102" s="53" t="n">
        <f aca="false">Item50!F3</f>
        <v>27.91</v>
      </c>
      <c r="F102" s="54" t="n">
        <f aca="false">(ROUND(E102,2)*D102)</f>
        <v>279.1</v>
      </c>
    </row>
    <row r="103" customFormat="false" ht="17.25" hidden="false" customHeight="false" outlineLevel="0" collapsed="false">
      <c r="A103" s="61" t="s">
        <v>411</v>
      </c>
      <c r="B103" s="62" t="str">
        <f aca="false">Item51!G20</f>
        <v>CNPJ 18.641.075/0001-17(PE n. 44/2017)</v>
      </c>
      <c r="C103" s="62"/>
      <c r="D103" s="62"/>
      <c r="E103" s="62"/>
      <c r="F103" s="62"/>
    </row>
    <row r="104" customFormat="false" ht="12.75" hidden="false" customHeight="false" outlineLevel="0" collapsed="false">
      <c r="A104" s="51" t="n">
        <v>51</v>
      </c>
      <c r="B104" s="52" t="str">
        <f aca="false">Item51!B3</f>
        <v> Sifão rígido com copo para lavatório, em metal cromado e saída 40”</v>
      </c>
      <c r="C104" s="51" t="str">
        <f aca="false">Item51!C3</f>
        <v>unidade</v>
      </c>
      <c r="D104" s="51" t="n">
        <f aca="false">Item51!D3</f>
        <v>60</v>
      </c>
      <c r="E104" s="53" t="n">
        <f aca="false">Item51!F3</f>
        <v>74.11</v>
      </c>
      <c r="F104" s="54" t="n">
        <f aca="false">(ROUND(E104,2)*D104)</f>
        <v>4446.6</v>
      </c>
    </row>
    <row r="105" customFormat="false" ht="17.25" hidden="false" customHeight="false" outlineLevel="0" collapsed="false">
      <c r="A105" s="61" t="s">
        <v>411</v>
      </c>
      <c r="B105" s="62" t="str">
        <f aca="false">Item52!G20</f>
        <v>Lojas Guapore</v>
      </c>
      <c r="C105" s="62"/>
      <c r="D105" s="62"/>
      <c r="E105" s="62"/>
      <c r="F105" s="62"/>
    </row>
    <row r="106" customFormat="false" ht="25.5" hidden="false" customHeight="false" outlineLevel="0" collapsed="false">
      <c r="A106" s="51" t="n">
        <v>52</v>
      </c>
      <c r="B106" s="52" t="str">
        <f aca="false">Item52!B3</f>
        <v>Torneira de mesa para lavatório com fechamento automático linha
Decamatic da Deca ref. 1173.C ou equivalente técnico</v>
      </c>
      <c r="C106" s="51" t="str">
        <f aca="false">Item52!C3</f>
        <v>unidade</v>
      </c>
      <c r="D106" s="51" t="n">
        <f aca="false">Item52!D3</f>
        <v>40</v>
      </c>
      <c r="E106" s="53" t="n">
        <f aca="false">Item52!F3</f>
        <v>282.24</v>
      </c>
      <c r="F106" s="54" t="n">
        <f aca="false">(ROUND(E106,2)*D106)</f>
        <v>11289.6</v>
      </c>
    </row>
    <row r="107" customFormat="false" ht="17.25" hidden="false" customHeight="false" outlineLevel="0" collapsed="false">
      <c r="A107" s="61" t="s">
        <v>411</v>
      </c>
      <c r="B107" s="62" t="str">
        <f aca="false">Item53!G20</f>
        <v>Lojas Guapore</v>
      </c>
      <c r="C107" s="62"/>
      <c r="D107" s="62"/>
      <c r="E107" s="62"/>
      <c r="F107" s="62"/>
    </row>
    <row r="108" customFormat="false" ht="25.5" hidden="false" customHeight="false" outlineLevel="0" collapsed="false">
      <c r="A108" s="51" t="n">
        <v>53</v>
      </c>
      <c r="B108" s="52" t="str">
        <f aca="false">Item53!B3</f>
        <v>Torneira de mesa para lavatório com fechamento automático linha
Decamatic da Deca ref. 1172.C.LNK ou equivalente técnico</v>
      </c>
      <c r="C108" s="51" t="str">
        <f aca="false">Item53!C3</f>
        <v>unidade</v>
      </c>
      <c r="D108" s="51" t="n">
        <f aca="false">Item53!D3</f>
        <v>60</v>
      </c>
      <c r="E108" s="53" t="n">
        <f aca="false">Item53!F3</f>
        <v>136.18</v>
      </c>
      <c r="F108" s="54" t="n">
        <f aca="false">(ROUND(E108,2)*D108)</f>
        <v>8170.8</v>
      </c>
    </row>
    <row r="109" customFormat="false" ht="17.25" hidden="false" customHeight="false" outlineLevel="0" collapsed="false">
      <c r="A109" s="61" t="s">
        <v>411</v>
      </c>
      <c r="B109" s="62" t="str">
        <f aca="false">Item54!G20</f>
        <v>Lojas Guaporé</v>
      </c>
      <c r="C109" s="62"/>
      <c r="D109" s="62"/>
      <c r="E109" s="62"/>
      <c r="F109" s="62"/>
    </row>
    <row r="110" customFormat="false" ht="25.5" hidden="false" customHeight="false" outlineLevel="0" collapsed="false">
      <c r="A110" s="51" t="n">
        <v>54</v>
      </c>
      <c r="B110" s="52" t="str">
        <f aca="false">Item54!B3</f>
        <v> Bacia para caixa acoplada, acionamento Duo, linha Vogue Plus da
Deca ref.P.505.17 + CD 01F.17 ou equivalente técnico</v>
      </c>
      <c r="C110" s="51" t="str">
        <f aca="false">Item54!C3</f>
        <v>unidade</v>
      </c>
      <c r="D110" s="51" t="n">
        <f aca="false">Item54!D3</f>
        <v>35</v>
      </c>
      <c r="E110" s="53" t="n">
        <f aca="false">Item54!F3</f>
        <v>386.01</v>
      </c>
      <c r="F110" s="54" t="n">
        <f aca="false">(ROUND(E110,2)*D110)</f>
        <v>13510.35</v>
      </c>
    </row>
    <row r="111" customFormat="false" ht="17.25" hidden="false" customHeight="false" outlineLevel="0" collapsed="false">
      <c r="A111" s="61" t="s">
        <v>411</v>
      </c>
      <c r="B111" s="62" t="str">
        <f aca="false">Item55!G20</f>
        <v>Lojas Guaporé</v>
      </c>
      <c r="C111" s="62"/>
      <c r="D111" s="62"/>
      <c r="E111" s="62"/>
      <c r="F111" s="62"/>
    </row>
    <row r="112" customFormat="false" ht="38.25" hidden="false" customHeight="false" outlineLevel="0" collapsed="false">
      <c r="A112" s="51" t="n">
        <v>55</v>
      </c>
      <c r="B112" s="52" t="str">
        <f aca="false">Item55!B3</f>
        <v> Bacia para caixa acoplada com saída horizontal, com acionamento
Duo, linha Nuova da Deca ref.P.130.17 + CD 11F.17 ou equivalente
técnico</v>
      </c>
      <c r="C112" s="51" t="str">
        <f aca="false">Item55!C3</f>
        <v>unidade</v>
      </c>
      <c r="D112" s="51" t="n">
        <f aca="false">Item55!D3</f>
        <v>30</v>
      </c>
      <c r="E112" s="63" t="n">
        <f aca="false">Item55!F3</f>
        <v>796.91</v>
      </c>
      <c r="F112" s="54" t="n">
        <f aca="false">(ROUND(E112,2)*D112)</f>
        <v>23907.3</v>
      </c>
    </row>
    <row r="113" customFormat="false" ht="17.25" hidden="false" customHeight="false" outlineLevel="0" collapsed="false">
      <c r="A113" s="61" t="s">
        <v>411</v>
      </c>
      <c r="B113" s="62" t="str">
        <f aca="false">Item56!G20</f>
        <v>Casa e Construção</v>
      </c>
      <c r="C113" s="62"/>
      <c r="D113" s="62"/>
      <c r="E113" s="62"/>
      <c r="F113" s="62"/>
    </row>
    <row r="114" customFormat="false" ht="25.5" hidden="false" customHeight="false" outlineLevel="0" collapsed="false">
      <c r="A114" s="51" t="n">
        <v>56</v>
      </c>
      <c r="B114" s="52" t="str">
        <f aca="false">Item56!B3</f>
        <v>Bacia para caixa acoplada, acionamento Duo, linha Izy da Deca ref.
P.111.17 + CD 00F.17 ou equivalente técnico</v>
      </c>
      <c r="C114" s="51" t="str">
        <f aca="false">Item56!C3</f>
        <v>unidade</v>
      </c>
      <c r="D114" s="51" t="n">
        <f aca="false">Item56!D3</f>
        <v>20</v>
      </c>
      <c r="E114" s="63" t="n">
        <f aca="false">Item56!F3</f>
        <v>72.62</v>
      </c>
      <c r="F114" s="54" t="n">
        <f aca="false">(ROUND(E114,2)*D114)</f>
        <v>1452.4</v>
      </c>
    </row>
    <row r="115" customFormat="false" ht="17.25" hidden="false" customHeight="false" outlineLevel="0" collapsed="false">
      <c r="A115" s="61" t="s">
        <v>411</v>
      </c>
      <c r="B115" s="62" t="str">
        <f aca="false">Item57!G20</f>
        <v>Casa Mimosa</v>
      </c>
      <c r="C115" s="62"/>
      <c r="D115" s="62"/>
      <c r="E115" s="62"/>
      <c r="F115" s="62"/>
    </row>
    <row r="116" customFormat="false" ht="25.5" hidden="false" customHeight="false" outlineLevel="0" collapsed="false">
      <c r="A116" s="51" t="n">
        <v>57</v>
      </c>
      <c r="B116" s="52" t="str">
        <f aca="false">Item57!B3</f>
        <v>Válvula de escoamento universal para lavatório (cuba), em aço
inox, 7/8”, sem ladrão</v>
      </c>
      <c r="C116" s="51" t="str">
        <f aca="false">Item57!C3</f>
        <v>unidade</v>
      </c>
      <c r="D116" s="51" t="n">
        <f aca="false">Item57!D3</f>
        <v>10</v>
      </c>
      <c r="E116" s="63" t="n">
        <f aca="false">Item57!F3</f>
        <v>13.43</v>
      </c>
      <c r="F116" s="54" t="n">
        <f aca="false">(ROUND(E116,2)*D116)</f>
        <v>134.3</v>
      </c>
    </row>
    <row r="117" customFormat="false" ht="17.25" hidden="false" customHeight="false" outlineLevel="0" collapsed="false">
      <c r="A117" s="61" t="s">
        <v>411</v>
      </c>
      <c r="B117" s="62" t="str">
        <f aca="false">Item58!G20</f>
        <v>A MEGALOJA</v>
      </c>
      <c r="C117" s="62"/>
      <c r="D117" s="62"/>
      <c r="E117" s="62"/>
      <c r="F117" s="62"/>
    </row>
    <row r="118" customFormat="false" ht="12.75" hidden="false" customHeight="false" outlineLevel="0" collapsed="false">
      <c r="A118" s="51" t="n">
        <v>58</v>
      </c>
      <c r="B118" s="52" t="str">
        <f aca="false">Item58!B3</f>
        <v>Arruela de pressão, em aço inox, diâmetro nominal de ½”</v>
      </c>
      <c r="C118" s="51" t="str">
        <f aca="false">Item58!C3</f>
        <v>unidade</v>
      </c>
      <c r="D118" s="51" t="n">
        <f aca="false">Item58!D3</f>
        <v>50</v>
      </c>
      <c r="E118" s="63" t="n">
        <f aca="false">Item58!F3</f>
        <v>0.25</v>
      </c>
      <c r="F118" s="54" t="n">
        <f aca="false">(ROUND(E118,2)*D118)</f>
        <v>12.5</v>
      </c>
    </row>
    <row r="119" customFormat="false" ht="17.25" hidden="false" customHeight="false" outlineLevel="0" collapsed="false">
      <c r="A119" s="61" t="s">
        <v>411</v>
      </c>
      <c r="B119" s="62" t="str">
        <f aca="false">Item59!G20</f>
        <v>Alpina Equipamentos</v>
      </c>
      <c r="C119" s="62"/>
      <c r="D119" s="62"/>
      <c r="E119" s="62"/>
      <c r="F119" s="62"/>
    </row>
    <row r="120" customFormat="false" ht="63.75" hidden="false" customHeight="false" outlineLevel="0" collapsed="false">
      <c r="A120" s="51" t="n">
        <v>59</v>
      </c>
      <c r="B120" s="52" t="str">
        <f aca="false">Item59!B3</f>
        <v>Base de fixação do motor da torre de resfriamento do sistema
central de ar condicionado. Modelo de referência da torre 40/3 –
SGC. Ordem de Fabricação E/30.276; Vazão: 59,0 M³/h; Pressão:
4,0 Mca.
Fabricante: Alpina</v>
      </c>
      <c r="C120" s="51" t="str">
        <f aca="false">Item59!C3</f>
        <v>unidade</v>
      </c>
      <c r="D120" s="51" t="n">
        <f aca="false">Item59!D3</f>
        <v>8</v>
      </c>
      <c r="E120" s="63" t="n">
        <f aca="false">Item59!F3</f>
        <v>1390.49</v>
      </c>
      <c r="F120" s="54" t="n">
        <f aca="false">(ROUND(E120,2)*D120)</f>
        <v>11123.92</v>
      </c>
    </row>
    <row r="121" customFormat="false" ht="17.25" hidden="false" customHeight="false" outlineLevel="0" collapsed="false">
      <c r="A121" s="61" t="s">
        <v>411</v>
      </c>
      <c r="B121" s="62" t="str">
        <f aca="false">Item60!G20</f>
        <v>POLY CALHA</v>
      </c>
      <c r="C121" s="62"/>
      <c r="D121" s="62"/>
      <c r="E121" s="62"/>
      <c r="F121" s="62"/>
    </row>
    <row r="122" customFormat="false" ht="25.5" hidden="false" customHeight="false" outlineLevel="0" collapsed="false">
      <c r="A122" s="51" t="n">
        <v>60</v>
      </c>
      <c r="B122" s="52" t="str">
        <f aca="false">Item60!B3</f>
        <v> Calha de poliestireno expandido bipartida diâmetro de 5”, espessura
de 2½”</v>
      </c>
      <c r="C122" s="51" t="str">
        <f aca="false">Item60!C3</f>
        <v>m</v>
      </c>
      <c r="D122" s="51" t="n">
        <f aca="false">Item60!D3</f>
        <v>20</v>
      </c>
      <c r="E122" s="63" t="n">
        <f aca="false">Item60!F3</f>
        <v>15.08</v>
      </c>
      <c r="F122" s="54" t="n">
        <f aca="false">(ROUND(E122,2)*D122)</f>
        <v>301.6</v>
      </c>
    </row>
    <row r="123" customFormat="false" ht="17.25" hidden="false" customHeight="false" outlineLevel="0" collapsed="false">
      <c r="A123" s="61" t="s">
        <v>411</v>
      </c>
      <c r="B123" s="62" t="str">
        <f aca="false">Item61!G20</f>
        <v>TERRAC FORROS </v>
      </c>
      <c r="C123" s="62"/>
      <c r="D123" s="62"/>
      <c r="E123" s="62"/>
      <c r="F123" s="62"/>
    </row>
    <row r="124" customFormat="false" ht="25.5" hidden="false" customHeight="false" outlineLevel="0" collapsed="false">
      <c r="A124" s="51" t="n">
        <v>61</v>
      </c>
      <c r="B124" s="52" t="str">
        <f aca="false">Item61!B3</f>
        <v>Chapa de alumínio corrugado, espessura de 0,15mm, corrugação
4,8mm</v>
      </c>
      <c r="C124" s="51" t="str">
        <f aca="false">Item61!C3</f>
        <v>m2</v>
      </c>
      <c r="D124" s="51" t="n">
        <f aca="false">Item61!D3</f>
        <v>50</v>
      </c>
      <c r="E124" s="63" t="n">
        <f aca="false">Item61!F3</f>
        <v>17.33</v>
      </c>
      <c r="F124" s="54" t="n">
        <f aca="false">(ROUND(E124,2)*D124)</f>
        <v>866.5</v>
      </c>
    </row>
    <row r="125" customFormat="false" ht="17.25" hidden="false" customHeight="false" outlineLevel="0" collapsed="false">
      <c r="A125" s="61" t="s">
        <v>411</v>
      </c>
      <c r="B125" s="62" t="str">
        <f aca="false">Item62!G20</f>
        <v>FRIO SHOPING</v>
      </c>
      <c r="C125" s="62"/>
      <c r="D125" s="62"/>
      <c r="E125" s="62"/>
      <c r="F125" s="62"/>
    </row>
    <row r="126" customFormat="false" ht="25.5" hidden="false" customHeight="false" outlineLevel="0" collapsed="false">
      <c r="A126" s="51" t="n">
        <v>62</v>
      </c>
      <c r="B126" s="52" t="str">
        <f aca="false">Item62!B3</f>
        <v>Chave de fluxo para tubulação de água fria - modelo: AT 2011 –
marca ITALIAR ou similar</v>
      </c>
      <c r="C126" s="51" t="str">
        <f aca="false">Item62!C3</f>
        <v>unidade</v>
      </c>
      <c r="D126" s="51" t="n">
        <f aca="false">Item62!D3</f>
        <v>10</v>
      </c>
      <c r="E126" s="63" t="n">
        <f aca="false">Item62!F3</f>
        <v>151.39</v>
      </c>
      <c r="F126" s="54" t="n">
        <f aca="false">(ROUND(E126,2)*D126)</f>
        <v>1513.9</v>
      </c>
    </row>
    <row r="127" customFormat="false" ht="17.25" hidden="false" customHeight="false" outlineLevel="0" collapsed="false">
      <c r="A127" s="61" t="s">
        <v>411</v>
      </c>
      <c r="B127" s="62" t="str">
        <f aca="false">Item63!G20</f>
        <v>WERME</v>
      </c>
      <c r="C127" s="62"/>
      <c r="D127" s="62"/>
      <c r="E127" s="62"/>
      <c r="F127" s="62"/>
    </row>
    <row r="128" customFormat="false" ht="12.75" hidden="false" customHeight="false" outlineLevel="0" collapsed="false">
      <c r="A128" s="51" t="n">
        <v>63</v>
      </c>
      <c r="B128" s="52" t="str">
        <f aca="false">Item63!B3</f>
        <v>Chave de fluxo para tubulação de água fria (Ø8’), tipo Palheta, 1”</v>
      </c>
      <c r="C128" s="51" t="str">
        <f aca="false">Item63!C3</f>
        <v>unidade</v>
      </c>
      <c r="D128" s="51" t="n">
        <f aca="false">Item63!D3</f>
        <v>10</v>
      </c>
      <c r="E128" s="63" t="n">
        <f aca="false">Item63!F3</f>
        <v>584.77</v>
      </c>
      <c r="F128" s="54" t="n">
        <f aca="false">(ROUND(E128,2)*D128)</f>
        <v>5847.7</v>
      </c>
    </row>
    <row r="129" customFormat="false" ht="17.25" hidden="false" customHeight="false" outlineLevel="0" collapsed="false">
      <c r="A129" s="61" t="s">
        <v>411</v>
      </c>
      <c r="B129" s="62" t="str">
        <f aca="false">Item64!G20</f>
        <v>SGA REFRIGERAÇÃO</v>
      </c>
      <c r="C129" s="62"/>
      <c r="D129" s="62"/>
      <c r="E129" s="62"/>
      <c r="F129" s="62"/>
    </row>
    <row r="130" customFormat="false" ht="12.75" hidden="false" customHeight="false" outlineLevel="0" collapsed="false">
      <c r="A130" s="51" t="n">
        <v>64</v>
      </c>
      <c r="B130" s="52" t="str">
        <f aca="false">Item64!B3</f>
        <v>Cilindros de gás Freon R-134 A com 13,62 Kg</v>
      </c>
      <c r="C130" s="51" t="str">
        <f aca="false">Item64!C3</f>
        <v>unidade</v>
      </c>
      <c r="D130" s="51" t="n">
        <f aca="false">Item64!D3</f>
        <v>20</v>
      </c>
      <c r="E130" s="63" t="n">
        <f aca="false">Item64!F3</f>
        <v>467.37</v>
      </c>
      <c r="F130" s="54" t="n">
        <f aca="false">(ROUND(E130,2)*D130)</f>
        <v>9347.4</v>
      </c>
    </row>
    <row r="131" customFormat="false" ht="17.25" hidden="false" customHeight="false" outlineLevel="0" collapsed="false">
      <c r="A131" s="61" t="s">
        <v>411</v>
      </c>
      <c r="B131" s="62" t="str">
        <f aca="false">Item65!G20</f>
        <v>EMBRAR</v>
      </c>
      <c r="C131" s="62"/>
      <c r="D131" s="62"/>
      <c r="E131" s="62"/>
      <c r="F131" s="62"/>
    </row>
    <row r="132" customFormat="false" ht="12.75" hidden="false" customHeight="false" outlineLevel="0" collapsed="false">
      <c r="A132" s="51" t="n">
        <v>65</v>
      </c>
      <c r="B132" s="52" t="str">
        <f aca="false">Item65!B3</f>
        <v>Cilindros de gás Freon R-22 com 13,62 Kg</v>
      </c>
      <c r="C132" s="51" t="str">
        <f aca="false">Item65!C3</f>
        <v>unidade</v>
      </c>
      <c r="D132" s="51" t="n">
        <f aca="false">Item65!D3</f>
        <v>20</v>
      </c>
      <c r="E132" s="63" t="n">
        <f aca="false">Item65!F3</f>
        <v>423.668</v>
      </c>
      <c r="F132" s="54" t="n">
        <f aca="false">(ROUND(E132,2)*D132)</f>
        <v>8473.4</v>
      </c>
    </row>
    <row r="133" customFormat="false" ht="17.25" hidden="false" customHeight="false" outlineLevel="0" collapsed="false">
      <c r="A133" s="61" t="s">
        <v>411</v>
      </c>
      <c r="B133" s="62" t="str">
        <f aca="false">Item66!G20</f>
        <v>Rei da Rede</v>
      </c>
      <c r="C133" s="62"/>
      <c r="D133" s="62"/>
      <c r="E133" s="62"/>
      <c r="F133" s="62"/>
    </row>
    <row r="134" customFormat="false" ht="12.75" hidden="false" customHeight="false" outlineLevel="0" collapsed="false">
      <c r="A134" s="51" t="n">
        <v>66</v>
      </c>
      <c r="B134" s="52" t="str">
        <f aca="false">Item66!B3</f>
        <v>Fita de aço inox de ½”x 0,5mm</v>
      </c>
      <c r="C134" s="51" t="str">
        <f aca="false">Item66!C3</f>
        <v>unidade</v>
      </c>
      <c r="D134" s="51" t="n">
        <f aca="false">Item66!D3</f>
        <v>20</v>
      </c>
      <c r="E134" s="63" t="n">
        <f aca="false">Item66!F3</f>
        <v>35.23</v>
      </c>
      <c r="F134" s="54" t="n">
        <f aca="false">(ROUND(E134,2)*D134)</f>
        <v>704.6</v>
      </c>
    </row>
    <row r="135" customFormat="false" ht="17.25" hidden="false" customHeight="false" outlineLevel="0" collapsed="false">
      <c r="A135" s="61" t="s">
        <v>411</v>
      </c>
      <c r="B135" s="62" t="str">
        <f aca="false">Item67!G20</f>
        <v>Ferramentas Gerais</v>
      </c>
      <c r="C135" s="62"/>
      <c r="D135" s="62"/>
      <c r="E135" s="62"/>
      <c r="F135" s="62"/>
    </row>
    <row r="136" customFormat="false" ht="25.5" hidden="false" customHeight="false" outlineLevel="0" collapsed="false">
      <c r="A136" s="51" t="n">
        <v>67</v>
      </c>
      <c r="B136" s="52" t="str">
        <f aca="false">Item67!B3</f>
        <v>Fita adesiva aluminizada para isolamento térmico, rolo 50mm x
10m</v>
      </c>
      <c r="C136" s="51" t="str">
        <f aca="false">Item67!C3</f>
        <v>unidade</v>
      </c>
      <c r="D136" s="51" t="n">
        <f aca="false">Item67!D3</f>
        <v>20</v>
      </c>
      <c r="E136" s="63" t="n">
        <f aca="false">Item67!F3</f>
        <v>20.92</v>
      </c>
      <c r="F136" s="54" t="n">
        <f aca="false">(ROUND(E136,2)*D136)</f>
        <v>418.4</v>
      </c>
    </row>
    <row r="137" customFormat="false" ht="17.25" hidden="false" customHeight="false" outlineLevel="0" collapsed="false">
      <c r="A137" s="61" t="s">
        <v>411</v>
      </c>
      <c r="B137" s="62" t="str">
        <f aca="false">Item68!G20</f>
        <v>RS som e luz.com </v>
      </c>
      <c r="C137" s="62"/>
      <c r="D137" s="62"/>
      <c r="E137" s="62"/>
      <c r="F137" s="62"/>
    </row>
    <row r="138" customFormat="false" ht="12.75" hidden="false" customHeight="false" outlineLevel="0" collapsed="false">
      <c r="A138" s="51" t="n">
        <v>68</v>
      </c>
      <c r="B138" s="52" t="str">
        <f aca="false">Item68!B3</f>
        <v>Fita adesiva Silver Tape (preta) 48mm x 50m</v>
      </c>
      <c r="C138" s="51" t="str">
        <f aca="false">Item68!C3</f>
        <v>unidade</v>
      </c>
      <c r="D138" s="51" t="n">
        <f aca="false">Item68!D3</f>
        <v>20</v>
      </c>
      <c r="E138" s="63" t="n">
        <f aca="false">Item68!F3</f>
        <v>12.45</v>
      </c>
      <c r="F138" s="54" t="n">
        <f aca="false">(ROUND(E138,2)*D138)</f>
        <v>249</v>
      </c>
    </row>
    <row r="139" customFormat="false" ht="17.25" hidden="false" customHeight="false" outlineLevel="0" collapsed="false">
      <c r="A139" s="61" t="s">
        <v>411</v>
      </c>
      <c r="B139" s="62" t="str">
        <f aca="false">Item69!G20</f>
        <v>Telha Norte</v>
      </c>
      <c r="C139" s="62"/>
      <c r="D139" s="62"/>
      <c r="E139" s="62"/>
      <c r="F139" s="62"/>
    </row>
    <row r="140" customFormat="false" ht="38.25" hidden="false" customHeight="false" outlineLevel="0" collapsed="false">
      <c r="A140" s="51" t="n">
        <v>69</v>
      </c>
      <c r="B140" s="52" t="str">
        <f aca="false">Item69!B3</f>
        <v>Fita adesiva tipo “silver tape”, Cinza, rolo no mínimo com
45mmX50m, marca 3M ou similar técnico. Obs: para ser usada em
áreas externas</v>
      </c>
      <c r="C140" s="51" t="str">
        <f aca="false">Item69!C3</f>
        <v>unidade</v>
      </c>
      <c r="D140" s="51" t="n">
        <f aca="false">Item69!D3</f>
        <v>20</v>
      </c>
      <c r="E140" s="63" t="n">
        <f aca="false">Item69!F3</f>
        <v>29.99</v>
      </c>
      <c r="F140" s="54" t="n">
        <f aca="false">(ROUND(E140,2)*D140)</f>
        <v>599.8</v>
      </c>
    </row>
    <row r="141" customFormat="false" ht="17.25" hidden="false" customHeight="false" outlineLevel="0" collapsed="false">
      <c r="A141" s="61" t="s">
        <v>411</v>
      </c>
      <c r="B141" s="62" t="str">
        <f aca="false">Item70!G20</f>
        <v>GRUPO RODRIGUEZ</v>
      </c>
      <c r="C141" s="62"/>
      <c r="D141" s="62"/>
      <c r="E141" s="62"/>
      <c r="F141" s="62"/>
    </row>
    <row r="142" customFormat="false" ht="12.75" hidden="false" customHeight="false" outlineLevel="0" collapsed="false">
      <c r="A142" s="51" t="n">
        <v>70</v>
      </c>
      <c r="B142" s="52" t="str">
        <f aca="false">Item70!B3</f>
        <v> Gás refrigerante R410 A, garrafa com 11,350 kg</v>
      </c>
      <c r="C142" s="51" t="str">
        <f aca="false">Item70!C3</f>
        <v>unidade</v>
      </c>
      <c r="D142" s="51" t="n">
        <f aca="false">Item70!D3</f>
        <v>20</v>
      </c>
      <c r="E142" s="63" t="n">
        <f aca="false">Item70!F3</f>
        <v>569.99</v>
      </c>
      <c r="F142" s="54" t="n">
        <f aca="false">(ROUND(E142,2)*D142)</f>
        <v>11399.8</v>
      </c>
    </row>
    <row r="143" customFormat="false" ht="17.25" hidden="false" customHeight="false" outlineLevel="0" collapsed="false">
      <c r="A143" s="61" t="s">
        <v>411</v>
      </c>
      <c r="B143" s="62" t="str">
        <f aca="false">Item71!G20</f>
        <v>Tamoyo</v>
      </c>
      <c r="C143" s="62"/>
      <c r="D143" s="62"/>
      <c r="E143" s="62"/>
      <c r="F143" s="62"/>
    </row>
    <row r="144" customFormat="false" ht="12.75" hidden="false" customHeight="false" outlineLevel="0" collapsed="false">
      <c r="A144" s="51" t="n">
        <v>71</v>
      </c>
      <c r="B144" s="52" t="str">
        <f aca="false">Item71!B3</f>
        <v>Porca, em aço inox, diâmetro de ½”, para parafuso sextavado acima</v>
      </c>
      <c r="C144" s="51" t="str">
        <f aca="false">Item71!C3</f>
        <v>unidade</v>
      </c>
      <c r="D144" s="51" t="n">
        <f aca="false">Item71!D3</f>
        <v>50</v>
      </c>
      <c r="E144" s="63" t="n">
        <f aca="false">Item71!F3</f>
        <v>0.41</v>
      </c>
      <c r="F144" s="54" t="n">
        <f aca="false">(ROUND(E144,2)*D144)</f>
        <v>20.5</v>
      </c>
    </row>
    <row r="145" customFormat="false" ht="17.25" hidden="false" customHeight="false" outlineLevel="0" collapsed="false">
      <c r="A145" s="61" t="s">
        <v>411</v>
      </c>
      <c r="B145" s="62" t="str">
        <f aca="false">Item72!G20</f>
        <v>Extra</v>
      </c>
      <c r="C145" s="62"/>
      <c r="D145" s="62"/>
      <c r="E145" s="62"/>
      <c r="F145" s="62"/>
    </row>
    <row r="146" customFormat="false" ht="267.75" hidden="false" customHeight="false" outlineLevel="0" collapsed="false">
      <c r="A146" s="51" t="n">
        <v>72</v>
      </c>
      <c r="B146" s="52" t="str">
        <f aca="false">Item72!B3</f>
        <v>Cabo de rede UTP - Categoria 5e
Especificações técnicas:
• Cabo de 4 pares trançados compostos por condutores sólidos de cobre, 24AWG, isolados em polietileno de alta densidade;
• Capa externa em PVC não propagante a chama;
• Marcação sequencial métrica decrescente;
• O cabo deve ser fabricado com material LSZH (Low Smoke, Zero Halogen);
• Acondicionado em caixa de papelão tipo fastbox (305 metros), com nome do fabricante e sistema de rastreabilidade que permita identificar a data de fabricação dos cabos;
• Cor azul;
Normas:
• ANSI/TIA/EIA - 568;
• ISO/IEC  11801
•  UL 444;
•  NBR 14703 e 14705
Garantia do Fabricante:
• 12 meses.
Modelo de referência para cotação:
• Furukawa Cabo Eletrônico Multilan CAT 5e;
</v>
      </c>
      <c r="C146" s="51" t="str">
        <f aca="false">Item72!C3</f>
        <v>cx</v>
      </c>
      <c r="D146" s="51" t="n">
        <f aca="false">Item72!D3</f>
        <v>60</v>
      </c>
      <c r="E146" s="63" t="n">
        <f aca="false">Item72!F3</f>
        <v>502.59</v>
      </c>
      <c r="F146" s="54" t="n">
        <f aca="false">(ROUND(E146,2)*D146)</f>
        <v>30155.4</v>
      </c>
    </row>
    <row r="147" customFormat="false" ht="17.25" hidden="false" customHeight="false" outlineLevel="0" collapsed="false">
      <c r="A147" s="61" t="s">
        <v>411</v>
      </c>
      <c r="B147" s="62" t="str">
        <f aca="false">Item73!G20</f>
        <v>Dimensional</v>
      </c>
      <c r="C147" s="62"/>
      <c r="D147" s="62"/>
      <c r="E147" s="62"/>
      <c r="F147" s="62"/>
    </row>
    <row r="148" customFormat="false" ht="216.75" hidden="false" customHeight="false" outlineLevel="0" collapsed="false">
      <c r="A148" s="51" t="n">
        <v>73</v>
      </c>
      <c r="B148" s="52" t="str">
        <f aca="false">Item73!B3</f>
        <v>Conector Fêmea RJ-45 CAT 5e
Especificações técnicas:
• Conector fêmea Categoria 5e para cabo UTP sólido ou flexível;
• Tipo de conector RJ-45;
• Fabricado em termoplástico não propagante a chama UL 94V-0;
• Diâmetro do Condutor: 26 a 22 AWG;
• Cor: transparente;
Normas:
• EIA/TIA-568;
• ISO/IEC DIS 11801;
• NBR 14565;
Garantia do Fabricante:
• 12 meses.
Modelo de referência para cotação:
• Furukawa plug RJ-45 GigaLan CAT5e;
   Panduit plug RJ-45 CAT 5e
</v>
      </c>
      <c r="C148" s="51" t="str">
        <f aca="false">Item73!C3</f>
        <v>unidade</v>
      </c>
      <c r="D148" s="51" t="n">
        <f aca="false">Item73!D3</f>
        <v>1000</v>
      </c>
      <c r="E148" s="63" t="n">
        <f aca="false">Item73!F3</f>
        <v>5.89</v>
      </c>
      <c r="F148" s="54" t="n">
        <f aca="false">(ROUND(E148,2)*D148)</f>
        <v>5890</v>
      </c>
    </row>
    <row r="149" customFormat="false" ht="17.25" hidden="false" customHeight="false" outlineLevel="0" collapsed="false">
      <c r="A149" s="61" t="s">
        <v>411</v>
      </c>
      <c r="B149" s="62" t="str">
        <f aca="false">Item74!G20</f>
        <v>Net Computadores</v>
      </c>
      <c r="C149" s="62"/>
      <c r="D149" s="62"/>
      <c r="E149" s="62"/>
      <c r="F149" s="62"/>
    </row>
    <row r="150" customFormat="false" ht="216.75" hidden="false" customHeight="false" outlineLevel="0" collapsed="false">
      <c r="A150" s="51" t="n">
        <v>74</v>
      </c>
      <c r="B150" s="52" t="str">
        <f aca="false">Item74!B3</f>
        <v>Conector Macho RJ-45 CAT 5e
Especificações técnicas:
• Conector macho Categoria 5e para cabo UTP sólido ou flexível;
• Tipo de conector RJ-45;
• Fabricado em termoplástico não propagante a chama UL 94V-0;
• Diâmetro do Condutor: 26 a 22 AWG;
• Cor: transparente;
Normas:
• EIA/TIA-568;
• ISO/IEC DIS 11801;
• NBR 14565;
Garantia do Fabricante:
• 12 meses.
Modelo de referência 
• Furukawa plug RJ-45 GigaLan CAT5e;
Panduit plug RJ-45 CAT 5e;
</v>
      </c>
      <c r="C150" s="51" t="str">
        <f aca="false">Item74!C3</f>
        <v>unidade</v>
      </c>
      <c r="D150" s="51" t="n">
        <f aca="false">Item74!D3</f>
        <v>1000</v>
      </c>
      <c r="E150" s="63" t="n">
        <f aca="false">Item74!F3</f>
        <v>0.95646</v>
      </c>
      <c r="F150" s="54" t="n">
        <f aca="false">(ROUND(E150,2)*D150)</f>
        <v>960</v>
      </c>
    </row>
    <row r="151" customFormat="false" ht="17.25" hidden="false" customHeight="false" outlineLevel="0" collapsed="false">
      <c r="A151" s="61" t="s">
        <v>411</v>
      </c>
      <c r="B151" s="62" t="str">
        <f aca="false">Item75!G20</f>
        <v>Dream Shop</v>
      </c>
      <c r="C151" s="62"/>
      <c r="D151" s="62"/>
      <c r="E151" s="62"/>
      <c r="F151" s="62"/>
    </row>
    <row r="152" customFormat="false" ht="255" hidden="false" customHeight="false" outlineLevel="0" collapsed="false">
      <c r="A152" s="51" t="n">
        <v>75</v>
      </c>
      <c r="B152" s="52" t="str">
        <f aca="false">Item75!B3</f>
        <v>Patch Panel Categoria 5e
Especificações técnicas:
• O produto deve atender os requisitos estabelecidos nas normas para Categoria 5e/ Classe D;
• 24 posições RJ-45;
• Corpo fabricado em termoplástico de alto impacto não propagante a chama (UL 94 V-0);
• Painel frontal em plástico com porta etiquetas para identificação;
• Possibilidade de crimpagem T568A ou T568B;
• Deve possuir uma guia traseira feita em termoplástico para organizar os cabos;
• Instalação em rack 19";
Normas:
• ANSI/TIA-568-C
• ISO/IEC DIS 11801;
• NBR 14565;
• ANSI/TIA-606.
Garantia do Fabricante:
• 12 meses.
Modelo de referência:
• Furukawa Patch Panel MultiLan CAT5E 24P;
</v>
      </c>
      <c r="C152" s="51" t="str">
        <f aca="false">Item75!C3</f>
        <v>unidade</v>
      </c>
      <c r="D152" s="51" t="n">
        <f aca="false">Item75!D3</f>
        <v>50</v>
      </c>
      <c r="E152" s="63" t="n">
        <f aca="false">Item75!F3</f>
        <v>337.9</v>
      </c>
      <c r="F152" s="54" t="n">
        <f aca="false">(ROUND(E152,2)*D152)</f>
        <v>16895</v>
      </c>
    </row>
    <row r="153" customFormat="false" ht="17.25" hidden="false" customHeight="false" outlineLevel="0" collapsed="false">
      <c r="A153" s="61" t="s">
        <v>411</v>
      </c>
      <c r="B153" s="62" t="str">
        <f aca="false">Item76!G20</f>
        <v>LOJAS GUAPORÉ</v>
      </c>
      <c r="C153" s="62"/>
      <c r="D153" s="62"/>
      <c r="E153" s="62"/>
      <c r="F153" s="62"/>
    </row>
    <row r="154" customFormat="false" ht="25.5" hidden="false" customHeight="false" outlineLevel="0" collapsed="false">
      <c r="A154" s="51" t="n">
        <v>76</v>
      </c>
      <c r="B154" s="52" t="str">
        <f aca="false">Item76!B3</f>
        <v>Dispensador para Sabão Líquido DECA DECAMATIC 2015. C,
acabamento cromado ou equivalente técnico</v>
      </c>
      <c r="C154" s="51" t="str">
        <f aca="false">Item76!C3</f>
        <v>unidade</v>
      </c>
      <c r="D154" s="51" t="n">
        <f aca="false">Item76!D3</f>
        <v>50</v>
      </c>
      <c r="E154" s="63" t="n">
        <f aca="false">Item76!F3</f>
        <v>343.31</v>
      </c>
      <c r="F154" s="54" t="n">
        <f aca="false">(ROUND(E154,2)*D154)</f>
        <v>17165.5</v>
      </c>
    </row>
    <row r="155" customFormat="false" ht="17.25" hidden="false" customHeight="false" outlineLevel="0" collapsed="false">
      <c r="A155" s="61" t="s">
        <v>411</v>
      </c>
      <c r="B155" s="62" t="str">
        <f aca="false">Item77!G20</f>
        <v>PONTO DO ENCANADOR</v>
      </c>
      <c r="C155" s="62"/>
      <c r="D155" s="62"/>
      <c r="E155" s="62"/>
      <c r="F155" s="62"/>
    </row>
    <row r="156" customFormat="false" ht="25.5" hidden="false" customHeight="false" outlineLevel="0" collapsed="false">
      <c r="A156" s="51" t="n">
        <v>77</v>
      </c>
      <c r="B156" s="52" t="str">
        <f aca="false">Item77!B3</f>
        <v>Cabide acabamento TARGA 2060.C40.CR Deca ou equivalente
Técnico</v>
      </c>
      <c r="C156" s="51" t="str">
        <f aca="false">Item77!C3</f>
        <v>unidade</v>
      </c>
      <c r="D156" s="51" t="n">
        <f aca="false">Item77!D3</f>
        <v>50</v>
      </c>
      <c r="E156" s="63" t="n">
        <f aca="false">Item77!F3</f>
        <v>74.85</v>
      </c>
      <c r="F156" s="54" t="n">
        <f aca="false">(ROUND(E156,2)*D156)</f>
        <v>3742.5</v>
      </c>
    </row>
    <row r="157" customFormat="false" ht="17.25" hidden="false" customHeight="false" outlineLevel="0" collapsed="false">
      <c r="A157" s="61" t="s">
        <v>411</v>
      </c>
      <c r="B157" s="62" t="str">
        <f aca="false">Item78!G20</f>
        <v>PAPE LEX</v>
      </c>
      <c r="C157" s="62"/>
      <c r="D157" s="62"/>
      <c r="E157" s="62"/>
      <c r="F157" s="62"/>
    </row>
    <row r="158" customFormat="false" ht="38.25" hidden="false" customHeight="false" outlineLevel="0" collapsed="false">
      <c r="A158" s="51" t="n">
        <v>78</v>
      </c>
      <c r="B158" s="52" t="str">
        <f aca="false">Item78!B3</f>
        <v>Dispenser para papel higiênico interfolhado do tipo Cai-Cai em
plástico ABS na cor Branca Ref NOBRE CITY 32776 ou
equivalente Técnico</v>
      </c>
      <c r="C158" s="51" t="str">
        <f aca="false">Item78!C3</f>
        <v>unidade</v>
      </c>
      <c r="D158" s="51" t="n">
        <f aca="false">Item78!D3</f>
        <v>70</v>
      </c>
      <c r="E158" s="63" t="n">
        <f aca="false">Item78!F3</f>
        <v>21.71</v>
      </c>
      <c r="F158" s="54" t="n">
        <f aca="false">(ROUND(E158,2)*D158)</f>
        <v>1519.7</v>
      </c>
    </row>
    <row r="159" customFormat="false" ht="17.25" hidden="false" customHeight="false" outlineLevel="0" collapsed="false">
      <c r="A159" s="61" t="s">
        <v>411</v>
      </c>
      <c r="B159" s="62" t="str">
        <f aca="false">Item79!G20</f>
        <v>LOJAS GUAPORÉ</v>
      </c>
      <c r="C159" s="62"/>
      <c r="D159" s="62"/>
      <c r="E159" s="62"/>
      <c r="F159" s="62"/>
    </row>
    <row r="160" customFormat="false" ht="38.25" hidden="false" customHeight="false" outlineLevel="0" collapsed="false">
      <c r="A160" s="51" t="n">
        <v>79</v>
      </c>
      <c r="B160" s="52" t="str">
        <f aca="false">Item79!B3</f>
        <v>Ducha Higiênica com registro e derivação técnica DECA linha
TARGA 1984.40.ACT.AR acabamento cromado ou equivalente
técnico</v>
      </c>
      <c r="C160" s="51" t="str">
        <f aca="false">Item79!C3</f>
        <v>unidade</v>
      </c>
      <c r="D160" s="51" t="n">
        <f aca="false">Item79!D3</f>
        <v>50</v>
      </c>
      <c r="E160" s="63" t="n">
        <f aca="false">Item79!F3</f>
        <v>179.28</v>
      </c>
      <c r="F160" s="54" t="n">
        <f aca="false">(ROUND(E160,2)*D160)</f>
        <v>8964</v>
      </c>
    </row>
    <row r="161" customFormat="false" ht="17.25" hidden="false" customHeight="false" outlineLevel="0" collapsed="false">
      <c r="A161" s="61" t="s">
        <v>411</v>
      </c>
      <c r="B161" s="62" t="str">
        <f aca="false">Item80!G20</f>
        <v>PAPELEX</v>
      </c>
      <c r="C161" s="62"/>
      <c r="D161" s="62"/>
      <c r="E161" s="62"/>
      <c r="F161" s="62"/>
    </row>
    <row r="162" customFormat="false" ht="25.5" hidden="false" customHeight="false" outlineLevel="0" collapsed="false">
      <c r="A162" s="51" t="n">
        <v>80</v>
      </c>
      <c r="B162" s="52" t="str">
        <f aca="false">Item80!B3</f>
        <v> Dispenser para sabonete líquido sistema spray com refil em plástico
ABS cor Branca Ref: NOBRE CITY 32319 ou equivalente técnico</v>
      </c>
      <c r="C162" s="51" t="str">
        <f aca="false">Item80!C3</f>
        <v>unidade</v>
      </c>
      <c r="D162" s="51" t="n">
        <f aca="false">Item80!D3</f>
        <v>70</v>
      </c>
      <c r="E162" s="63" t="n">
        <f aca="false">Item80!F3</f>
        <v>18.43</v>
      </c>
      <c r="F162" s="54" t="n">
        <f aca="false">(ROUND(E162,2)*D162)</f>
        <v>1290.1</v>
      </c>
    </row>
    <row r="163" customFormat="false" ht="17.25" hidden="false" customHeight="false" outlineLevel="0" collapsed="false">
      <c r="A163" s="61" t="s">
        <v>411</v>
      </c>
      <c r="B163" s="62" t="str">
        <f aca="false">Item81!G20</f>
        <v>MADEIRA MADEIRA</v>
      </c>
      <c r="C163" s="62"/>
      <c r="D163" s="62"/>
      <c r="E163" s="62"/>
      <c r="F163" s="62"/>
    </row>
    <row r="164" customFormat="false" ht="12.75" hidden="false" customHeight="false" outlineLevel="0" collapsed="false">
      <c r="A164" s="51" t="n">
        <v>81</v>
      </c>
      <c r="B164" s="52" t="str">
        <f aca="false">Item81!B3</f>
        <v>Dobradiça Extraforte 80 com anéis – 4 x 3 - Latão</v>
      </c>
      <c r="C164" s="51" t="str">
        <f aca="false">Item81!C3</f>
        <v>unidade</v>
      </c>
      <c r="D164" s="51" t="n">
        <f aca="false">Item81!D3</f>
        <v>70</v>
      </c>
      <c r="E164" s="63" t="n">
        <f aca="false">Item81!F3</f>
        <v>12.99</v>
      </c>
      <c r="F164" s="54" t="n">
        <f aca="false">(ROUND(E164,2)*D164)</f>
        <v>909.3</v>
      </c>
    </row>
    <row r="165" customFormat="false" ht="17.25" hidden="false" customHeight="false" outlineLevel="0" collapsed="false">
      <c r="A165" s="61" t="s">
        <v>411</v>
      </c>
      <c r="B165" s="62" t="str">
        <f aca="false">Item82!G20</f>
        <v>AR BRASIL</v>
      </c>
      <c r="C165" s="62"/>
      <c r="D165" s="62"/>
      <c r="E165" s="62"/>
      <c r="F165" s="62"/>
    </row>
    <row r="166" customFormat="false" ht="12.75" hidden="false" customHeight="false" outlineLevel="0" collapsed="false">
      <c r="A166" s="51" t="n">
        <v>82</v>
      </c>
      <c r="B166" s="52" t="str">
        <f aca="false">Item82!B3</f>
        <v>Torneira Bebedouro de Garrafão, corpo em PVC, diâmetro 1,2 pol</v>
      </c>
      <c r="C166" s="51" t="str">
        <f aca="false">Item82!C3</f>
        <v>unidade</v>
      </c>
      <c r="D166" s="51" t="n">
        <f aca="false">Item82!D3</f>
        <v>200</v>
      </c>
      <c r="E166" s="63" t="n">
        <f aca="false">Item82!F3</f>
        <v>4.01</v>
      </c>
      <c r="F166" s="54" t="n">
        <f aca="false">(ROUND(E166,2)*D166)</f>
        <v>802</v>
      </c>
    </row>
    <row r="167" customFormat="false" ht="15.75" hidden="false" customHeight="true" outlineLevel="0" collapsed="false">
      <c r="A167" s="57"/>
      <c r="B167" s="57"/>
      <c r="C167" s="48" t="s">
        <v>412</v>
      </c>
      <c r="D167" s="48"/>
      <c r="E167" s="48"/>
      <c r="F167" s="64" t="n">
        <f aca="false">SUM(F4:F166)</f>
        <v>429001.57</v>
      </c>
    </row>
  </sheetData>
  <mergeCells count="84">
    <mergeCell ref="A1:F1"/>
    <mergeCell ref="B3:F3"/>
    <mergeCell ref="B5:F5"/>
    <mergeCell ref="B7:F7"/>
    <mergeCell ref="B9:F9"/>
    <mergeCell ref="B11:F11"/>
    <mergeCell ref="B13:F13"/>
    <mergeCell ref="B15:F15"/>
    <mergeCell ref="B17:F17"/>
    <mergeCell ref="B19:F19"/>
    <mergeCell ref="B21:F21"/>
    <mergeCell ref="B23:F23"/>
    <mergeCell ref="B25:F25"/>
    <mergeCell ref="B27:F27"/>
    <mergeCell ref="B29:F29"/>
    <mergeCell ref="B31:F31"/>
    <mergeCell ref="B33:F33"/>
    <mergeCell ref="B35:F35"/>
    <mergeCell ref="B37:F37"/>
    <mergeCell ref="B39:F39"/>
    <mergeCell ref="B41:F41"/>
    <mergeCell ref="B43:F43"/>
    <mergeCell ref="B45:F45"/>
    <mergeCell ref="B47:F47"/>
    <mergeCell ref="B49:F49"/>
    <mergeCell ref="B51:F51"/>
    <mergeCell ref="B53:F53"/>
    <mergeCell ref="B55:F55"/>
    <mergeCell ref="B57:F57"/>
    <mergeCell ref="B59:F59"/>
    <mergeCell ref="B61:F61"/>
    <mergeCell ref="B63:F63"/>
    <mergeCell ref="B65:F65"/>
    <mergeCell ref="B67:F67"/>
    <mergeCell ref="B69:F69"/>
    <mergeCell ref="B71:F71"/>
    <mergeCell ref="B73:F73"/>
    <mergeCell ref="B75:F75"/>
    <mergeCell ref="B77:F77"/>
    <mergeCell ref="B79:F79"/>
    <mergeCell ref="B81:F81"/>
    <mergeCell ref="B83:F83"/>
    <mergeCell ref="B85:F85"/>
    <mergeCell ref="B87:F87"/>
    <mergeCell ref="B89:F89"/>
    <mergeCell ref="B91:F91"/>
    <mergeCell ref="B93:F93"/>
    <mergeCell ref="B95:F95"/>
    <mergeCell ref="B97:F97"/>
    <mergeCell ref="B99:F99"/>
    <mergeCell ref="B101:F101"/>
    <mergeCell ref="B103:F103"/>
    <mergeCell ref="B105:F105"/>
    <mergeCell ref="B107:F107"/>
    <mergeCell ref="B109:F109"/>
    <mergeCell ref="B111:F111"/>
    <mergeCell ref="B113:F113"/>
    <mergeCell ref="B115:F115"/>
    <mergeCell ref="B117:F117"/>
    <mergeCell ref="B119:F119"/>
    <mergeCell ref="B121:F121"/>
    <mergeCell ref="B123:F123"/>
    <mergeCell ref="B125:F125"/>
    <mergeCell ref="B127:F127"/>
    <mergeCell ref="B129:F129"/>
    <mergeCell ref="B131:F131"/>
    <mergeCell ref="B133:F133"/>
    <mergeCell ref="B135:F135"/>
    <mergeCell ref="B137:F137"/>
    <mergeCell ref="B139:F139"/>
    <mergeCell ref="B141:F141"/>
    <mergeCell ref="B143:F143"/>
    <mergeCell ref="B145:F145"/>
    <mergeCell ref="B147:F147"/>
    <mergeCell ref="B149:F149"/>
    <mergeCell ref="B151:F151"/>
    <mergeCell ref="B153:F153"/>
    <mergeCell ref="B155:F155"/>
    <mergeCell ref="B157:F157"/>
    <mergeCell ref="B159:F159"/>
    <mergeCell ref="B161:F161"/>
    <mergeCell ref="B163:F163"/>
    <mergeCell ref="B165:F165"/>
    <mergeCell ref="C167:E167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10" activeCellId="0" sqref="H10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66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67</v>
      </c>
      <c r="C3" s="9" t="s">
        <v>47</v>
      </c>
      <c r="D3" s="10" t="n">
        <v>10</v>
      </c>
      <c r="E3" s="11" t="n">
        <f aca="false">IF(C20&lt;=25%,D20,MIN(E20:F20))</f>
        <v>964.98</v>
      </c>
      <c r="F3" s="11" t="n">
        <f aca="false">MIN(H3:H17)</f>
        <v>813.4443172</v>
      </c>
      <c r="G3" s="12" t="s">
        <v>68</v>
      </c>
      <c r="H3" s="13" t="n">
        <f aca="false">2071.757*1.0259</f>
        <v>2125.4155063</v>
      </c>
      <c r="I3" s="14" t="str">
        <f aca="false">IF(H3="","",(IF($C$20&lt;25%,"N/A",IF(H3&lt;=($D$20+$A$20),H3,"Descartado"))))</f>
        <v>Descartado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69</v>
      </c>
      <c r="H4" s="13" t="n">
        <f aca="false">1864.584*1.0259</f>
        <v>1912.8767256</v>
      </c>
      <c r="I4" s="14" t="str">
        <f aca="false">IF(H4="","",(IF($C$20&lt;25%,"N/A",IF(H4&lt;=($D$20+$A$20),H4,"Descartado"))))</f>
        <v>Descartado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55</v>
      </c>
      <c r="H5" s="13" t="n">
        <f aca="false">792.908*1.0259</f>
        <v>813.4443172</v>
      </c>
      <c r="I5" s="14" t="n">
        <f aca="false">IF(H5="","",(IF($C$20&lt;25%,"N/A",IF(H5&lt;=($D$20+$A$20),H5,"Descartado"))))</f>
        <v>813.4443172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50</v>
      </c>
      <c r="H6" s="13" t="n">
        <f aca="false">802.423*1.0259</f>
        <v>823.2057557</v>
      </c>
      <c r="I6" s="14" t="n">
        <f aca="false">IF(H6="","",(IF($C$20&lt;25%,"N/A",IF(H6&lt;=($D$20+$A$20),H6,"Descartado"))))</f>
        <v>823.2057557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70</v>
      </c>
      <c r="H7" s="13" t="n">
        <f aca="false">1004.308*1.0259</f>
        <v>1030.3195772</v>
      </c>
      <c r="I7" s="14" t="n">
        <f aca="false">IF(H7="","",(IF($C$20&lt;25%,"N/A",IF(H7&lt;=($D$20+$A$20),H7,"Descartado"))))</f>
        <v>1030.3195772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51</v>
      </c>
      <c r="H8" s="13" t="n">
        <f aca="false">1162.815*1.0259</f>
        <v>1192.9319085</v>
      </c>
      <c r="I8" s="14" t="n">
        <f aca="false">IF(H8="","",(IF($C$20&lt;25%,"N/A",IF(H8&lt;=($D$20+$A$20),H8,"Descartado"))))</f>
        <v>1192.9319085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566.318271986492</v>
      </c>
      <c r="B20" s="25" t="n">
        <f aca="false">COUNT(H3:H17)</f>
        <v>6</v>
      </c>
      <c r="C20" s="26" t="n">
        <f aca="false">IF(B20&lt;2,"N/A",(A20/D20))</f>
        <v>0.430212077141299</v>
      </c>
      <c r="D20" s="27" t="n">
        <f aca="false">ROUND(AVERAGE(H3:H17),2)</f>
        <v>1316.37</v>
      </c>
      <c r="E20" s="28" t="n">
        <f aca="false">IFERROR(ROUND(IF(B20&lt;2,"N/A",(IF(C20&lt;=25%,"N/A",AVERAGE(I3:I17)))),2),"N/A")</f>
        <v>964.98</v>
      </c>
      <c r="F20" s="28" t="n">
        <f aca="false">ROUND(MEDIAN(H3:H17),2)</f>
        <v>1111.63</v>
      </c>
      <c r="G20" s="29" t="str">
        <f aca="false">INDEX(G3:G17,MATCH(H20,H3:H17,0))</f>
        <v>CNPJ 22.356.205/0001-47(PE n. 48/2017)</v>
      </c>
      <c r="H20" s="30" t="n">
        <f aca="false">MIN(H3:H17)</f>
        <v>813.4443172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964.98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9649.8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LibreOffice/6.4.2.2$Windows_X86_64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2019-01-16T20:04:04Z</dcterms:created>
  <dc:creator>Marconni Rodrigues de AlcGntara Santos</dc:creator>
  <dc:description/>
  <dc:language>pt-BR</dc:language>
  <cp:lastModifiedBy/>
  <cp:lastPrinted>2020-06-16T18:25:23Z</cp:lastPrinted>
  <dcterms:modified xsi:type="dcterms:W3CDTF">2020-06-16T16:04:34Z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