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44.xml" ContentType="application/vnd.openxmlformats-officedocument.spreadsheetml.worksheet+xml"/>
  <Override PartName="/xl/worksheets/sheet1.xml" ContentType="application/vnd.openxmlformats-officedocument.spreadsheetml.worksheet+xml"/>
  <Override PartName="/xl/worksheets/sheet45.xml" ContentType="application/vnd.openxmlformats-officedocument.spreadsheetml.worksheet+xml"/>
  <Override PartName="/xl/worksheets/sheet2.xml" ContentType="application/vnd.openxmlformats-officedocument.spreadsheetml.worksheet+xml"/>
  <Override PartName="/xl/worksheets/sheet46.xml" ContentType="application/vnd.openxmlformats-officedocument.spreadsheetml.worksheet+xml"/>
  <Override PartName="/xl/worksheets/sheet3.xml" ContentType="application/vnd.openxmlformats-officedocument.spreadsheetml.worksheet+xml"/>
  <Override PartName="/xl/worksheets/sheet47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48.xml" ContentType="application/vnd.openxmlformats-officedocument.spreadsheetml.worksheet+xml"/>
  <Override PartName="/xl/worksheets/sheet6.xml" ContentType="application/vnd.openxmlformats-officedocument.spreadsheetml.worksheet+xml"/>
  <Override PartName="/xl/worksheets/sheet49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51.xml.rels" ContentType="application/vnd.openxmlformats-package.relationship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sharedStrings.xml" ContentType="application/vnd.openxmlformats-officedocument.spreadsheetml.sharedStrings+xml"/>
  <Override PartName="/xl/media/image3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9"/>
  </bookViews>
  <sheets>
    <sheet name="Item1" sheetId="1" state="visible" r:id="rId2"/>
    <sheet name="Item2" sheetId="2" state="visible" r:id="rId3"/>
    <sheet name="Item3" sheetId="3" state="visible" r:id="rId4"/>
    <sheet name="Item4" sheetId="4" state="visible" r:id="rId5"/>
    <sheet name="Item5" sheetId="5" state="visible" r:id="rId6"/>
    <sheet name="Item6" sheetId="6" state="visible" r:id="rId7"/>
    <sheet name="Item7" sheetId="7" state="visible" r:id="rId8"/>
    <sheet name="Item8" sheetId="8" state="visible" r:id="rId9"/>
    <sheet name="Item9" sheetId="9" state="visible" r:id="rId10"/>
    <sheet name="Item10" sheetId="10" state="visible" r:id="rId11"/>
    <sheet name="Item11" sheetId="11" state="visible" r:id="rId12"/>
    <sheet name="Item12" sheetId="12" state="visible" r:id="rId13"/>
    <sheet name="Item13" sheetId="13" state="visible" r:id="rId14"/>
    <sheet name="Item14" sheetId="14" state="visible" r:id="rId15"/>
    <sheet name="Item15" sheetId="15" state="visible" r:id="rId16"/>
    <sheet name="Item16" sheetId="16" state="visible" r:id="rId17"/>
    <sheet name="Item17" sheetId="17" state="visible" r:id="rId18"/>
    <sheet name="Item18" sheetId="18" state="visible" r:id="rId19"/>
    <sheet name="Item19" sheetId="19" state="visible" r:id="rId20"/>
    <sheet name="Item20" sheetId="20" state="visible" r:id="rId21"/>
    <sheet name="Item21" sheetId="21" state="visible" r:id="rId22"/>
    <sheet name="Item22" sheetId="22" state="visible" r:id="rId23"/>
    <sheet name="Item23" sheetId="23" state="visible" r:id="rId24"/>
    <sheet name="Item24" sheetId="24" state="visible" r:id="rId25"/>
    <sheet name="Item25" sheetId="25" state="visible" r:id="rId26"/>
    <sheet name="Item26" sheetId="26" state="visible" r:id="rId27"/>
    <sheet name="Item27" sheetId="27" state="visible" r:id="rId28"/>
    <sheet name="Item28" sheetId="28" state="visible" r:id="rId29"/>
    <sheet name="Item29" sheetId="29" state="visible" r:id="rId30"/>
    <sheet name="Item30" sheetId="30" state="visible" r:id="rId31"/>
    <sheet name="Item31" sheetId="31" state="visible" r:id="rId32"/>
    <sheet name="Item32" sheetId="32" state="visible" r:id="rId33"/>
    <sheet name="Item33" sheetId="33" state="visible" r:id="rId34"/>
    <sheet name="Item34" sheetId="34" state="visible" r:id="rId35"/>
    <sheet name="Item35" sheetId="35" state="visible" r:id="rId36"/>
    <sheet name="Item36" sheetId="36" state="visible" r:id="rId37"/>
    <sheet name="Item37" sheetId="37" state="visible" r:id="rId38"/>
    <sheet name="Item38" sheetId="38" state="visible" r:id="rId39"/>
    <sheet name="Item39" sheetId="39" state="visible" r:id="rId40"/>
    <sheet name="Item40" sheetId="40" state="visible" r:id="rId41"/>
    <sheet name="Item41" sheetId="41" state="hidden" r:id="rId42"/>
    <sheet name="Item42" sheetId="42" state="hidden" r:id="rId43"/>
    <sheet name="Item43" sheetId="43" state="hidden" r:id="rId44"/>
    <sheet name="Item44" sheetId="44" state="hidden" r:id="rId45"/>
    <sheet name="Item45" sheetId="45" state="hidden" r:id="rId46"/>
    <sheet name="Item46" sheetId="46" state="hidden" r:id="rId47"/>
    <sheet name="Item47" sheetId="47" state="hidden" r:id="rId48"/>
    <sheet name="Item48" sheetId="48" state="hidden" r:id="rId49"/>
    <sheet name="Item49" sheetId="49" state="hidden" r:id="rId50"/>
    <sheet name="Item50" sheetId="50" state="hidden" r:id="rId51"/>
    <sheet name="TOTAL" sheetId="51" state="visible" r:id="rId52"/>
    <sheet name="menores" sheetId="52" state="visible" r:id="rId53"/>
  </sheets>
  <definedNames>
    <definedName function="false" hidden="false" localSheetId="51" name="_xlnm.Print_Area" vbProcedure="false">menores!$A$1:$F$83</definedName>
    <definedName function="false" hidden="false" localSheetId="50" name="_xlnm.Print_Area" vbProcedure="false">TOTAL!$A$1:$H$50</definedName>
    <definedName function="false" hidden="false" localSheetId="50" name="_xlnm.Print_Titles" vbProcedure="false">TOTAL!$8:$9</definedName>
    <definedName function="false" hidden="false" localSheetId="50" name="_xlnm.Print_Area_0" vbProcedure="false">TOTAL!$A$1:$G$50</definedName>
    <definedName function="false" hidden="false" localSheetId="50" name="_xlnm.Print_Area_0_0" vbProcedure="false">TOTAL!$A$8:$G$50</definedName>
    <definedName function="false" hidden="false" localSheetId="50" name="_xlnm.Print_Area_0_0_0" vbProcedure="false">TOTAL!$B$8:$G$50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<sst xmlns="http://schemas.openxmlformats.org/spreadsheetml/2006/main" count="1857" uniqueCount="228">
  <si>
    <t xml:space="preserve">ESTIMATIVA DO ITEM</t>
  </si>
  <si>
    <t xml:space="preserve">ITEM 1</t>
  </si>
  <si>
    <t xml:space="preserve">MATERIAL OU SERVIÇO</t>
  </si>
  <si>
    <t xml:space="preserve">UNIDADE</t>
  </si>
  <si>
    <t xml:space="preserve">QUANT.</t>
  </si>
  <si>
    <t xml:space="preserve">PREÇO ESTIMADO</t>
  </si>
  <si>
    <t xml:space="preserve">MENOR PREÇO</t>
  </si>
  <si>
    <t xml:space="preserve">FONTE DE PESQUISA</t>
  </si>
  <si>
    <t xml:space="preserve">PREÇOS</t>
  </si>
  <si>
    <t xml:space="preserve">DESCARTE</t>
  </si>
  <si>
    <t xml:space="preserve">LIVRO
Miolo: • dimensões: 15,5 mm X 22,5 mm (fechado); • aproximadamente 800 páginas (400 folhas); • 1 X 1 preta; papel offset 75 g, alta alvura; • acabamento colado; Capa: • dimensões:15,5 mm X 22,5 mm (fechada); • 4 X 0; • papel 250 g, supremo, plastificada, com lombada.</t>
  </si>
  <si>
    <t xml:space="preserve">exemplar</t>
  </si>
  <si>
    <t xml:space="preserve">PANTOGRAF GRAFICA E EDITORA LTDA</t>
  </si>
  <si>
    <t xml:space="preserve">ABE GRAPH EDITORA E SERVICOS GRAFICOS EIRELI</t>
  </si>
  <si>
    <t xml:space="preserve">MARC PRINT GRAFICA E EDITORA LTDA</t>
  </si>
  <si>
    <t xml:space="preserve">FINALIZA EDITORA E INDUSTRIA GRAFICA LTDA</t>
  </si>
  <si>
    <t xml:space="preserve">PIMORE EDITORA E DISTRIBUIDORA DE PAPEIS EIRELI</t>
  </si>
  <si>
    <t xml:space="preserve">CSS EDITORA GRAFICA – EIRELI</t>
  </si>
  <si>
    <t xml:space="preserve">D.G.L SERVICOS E NEGOCIOS COMERCIAIS EIRELI</t>
  </si>
  <si>
    <t xml:space="preserve">GRAFICA EDITORA FORMULARIOS CONTINUOS E ETIQUETAS F &amp; F</t>
  </si>
  <si>
    <t xml:space="preserve">GRAFICA &amp; EDITORA TRIUNFAL LTDA</t>
  </si>
  <si>
    <t xml:space="preserve">GDD EDITORA GRAFICA LTDA</t>
  </si>
  <si>
    <t xml:space="preserve">GRAFICA E EDITORA ALIANCA LTDA</t>
  </si>
  <si>
    <t xml:space="preserve">EMPRESA GRÁFICA DA BAHIA – EGBA</t>
  </si>
  <si>
    <t xml:space="preserve">DESVIO PADRÃO</t>
  </si>
  <si>
    <t xml:space="preserve">QUANTIDADE DE PREÇOS COLETADOS</t>
  </si>
  <si>
    <t xml:space="preserve">COEF.</t>
  </si>
  <si>
    <t xml:space="preserve">MÉDIA</t>
  </si>
  <si>
    <t xml:space="preserve">MÉDIA APÓS DESCARTE</t>
  </si>
  <si>
    <t xml:space="preserve">MEDIANA</t>
  </si>
  <si>
    <t xml:space="preserve">MENOR PREÇO UNITÁRIO COLETADO PARA O ITEM</t>
  </si>
  <si>
    <t xml:space="preserve">VALOR UNITÁRIO ESTIMADO</t>
  </si>
  <si>
    <t xml:space="preserve">VALOR TOTAL</t>
  </si>
  <si>
    <t xml:space="preserve">DESVIO: desvio padrão dos preços pesquisados, calculados por meio da função DESVPAD do editor de planilhas.</t>
  </si>
  <si>
    <t xml:space="preserve">COEF.: relação entre o DESVIO e a MÉDIA, expresso em valor percentual.</t>
  </si>
  <si>
    <t xml:space="preserve">MÉDIA: média aritmética dos preços pesquisados.</t>
  </si>
  <si>
    <t xml:space="preserve">DESCARTE: coluna que exibe os preços considerados, quando COEF. é maior que 25%. São descartados os preços fora do intervalo entre o menor preço e a soma [MÉDIA + DESVIO].</t>
  </si>
  <si>
    <t xml:space="preserve">MÉDIA APÓS DESCARTE: média aritmética dos preços dentro do intervalo acima descrito.</t>
  </si>
  <si>
    <t xml:space="preserve">MEDIANA: valor estatístico que separa a metade maior da metade menor da amostra, calculado pela função MED do editor de planilhas.</t>
  </si>
  <si>
    <t xml:space="preserve">VALOR UNITÁRIO: quando COEF. for menor ou igual a 25%, o valor unitário estimado será a MÉDIA dos preços pesquisados; quando COEF. for maior que 25%, o valor unitário será o menor valor dentre a MÉDIA APÓS DESCARTE e a MEDIANA.</t>
  </si>
  <si>
    <t xml:space="preserve">ITEM 2</t>
  </si>
  <si>
    <t xml:space="preserve">LIVRO
Miolo: • dimensões: 210 mm X 297 mm (fechado); • aproximadamente 60 páginas (30 folhas); • 4 X 4; papel couche 120 g. Capa: • dimensões: 210 mm X 297 mm (fechada); • 4 X 0; • papel reciclato 220 g.</t>
  </si>
  <si>
    <t xml:space="preserve">CALGAN EDITORA GRAFICA LTDA</t>
  </si>
  <si>
    <t xml:space="preserve">MARCELO SIMONI</t>
  </si>
  <si>
    <t xml:space="preserve">ROGER ANDRE BRAUN</t>
  </si>
  <si>
    <t xml:space="preserve">RB COMUNICACAO VISUAL EIRELI</t>
  </si>
  <si>
    <t xml:space="preserve">POLIMPRESSOS SERVICOS GRAFICOS LTDA</t>
  </si>
  <si>
    <t xml:space="preserve">FONTANA &amp; JOAQUIM LTDA</t>
  </si>
  <si>
    <t xml:space="preserve">IVANILDE SALETE DALSASSO AZZOLINI 71887008934</t>
  </si>
  <si>
    <t xml:space="preserve">G.M DE BARROS EIRELI</t>
  </si>
  <si>
    <t xml:space="preserve">ITEM 3</t>
  </si>
  <si>
    <t xml:space="preserve">LIVRO
Miolo: • dimensões: 170 mm X 240 mm (fechado); • aproximadamente 700 páginas (350 folhas); • l X 1 preta; papel offset 75 g, alta alvura; • acabamento costurado e colado. Capa: • dimensões: 175 mm X 245 mm (fechada); • com lombada e com orelha; • 4 X 0 cores (policromia); • cartão supremo 300 g, com guarda; • laminação fosca com verniz localizado.</t>
  </si>
  <si>
    <t xml:space="preserve">GENSA - GRAFICA E EDITORA NOSSA SENHORA APARECIDA LTDA</t>
  </si>
  <si>
    <t xml:space="preserve">TEIXEIRA IMPRESSAO DIGITAL E SOLUCOES GRAFICAS LTDA</t>
  </si>
  <si>
    <t xml:space="preserve">GRAFICA 3 COMUNICACAO E SERVICOS GRAFICOS LTDA</t>
  </si>
  <si>
    <t xml:space="preserve">EDITORA E GRAFICA 2020 LTDA</t>
  </si>
  <si>
    <t xml:space="preserve">TEXGRAF EDITORA LTDA</t>
  </si>
  <si>
    <t xml:space="preserve">GRAFICA E EDITORA QUALIDADE LTDA</t>
  </si>
  <si>
    <t xml:space="preserve">ITEM 4</t>
  </si>
  <si>
    <t xml:space="preserve">LIVRO
Capa: • dimensões: 420 mm X 2l0 mm (aberto); • 1 dobra; • impressão 4X0; • papel reciclato 220 g. Miolo: • dimensões: 297 mm X 2l0 mm; • Aproximadamente 60 páginas (30 folhas); • impressão 4X4; • papel reciclato 120 g.</t>
  </si>
  <si>
    <t xml:space="preserve">ITEM 5</t>
  </si>
  <si>
    <t xml:space="preserve">LIVRO
Miolo: • dimensões: 210 mm X 297 mm; • aproximadamente 32 páginas (16 folhas); • 4 X 4; • papel reciclato 120 g; • acabamento com 2 grampos. Capa: • dimensões: 420 mm X 210 mm (aberta); • 1 dobra; • 4 X 0; • papel reciclato 220 g.</t>
  </si>
  <si>
    <t xml:space="preserve">RIO VINCO GRAFICA E EDITORA LTDA</t>
  </si>
  <si>
    <t xml:space="preserve">ARW EDITORA GRAFICA EIRELI</t>
  </si>
  <si>
    <t xml:space="preserve">EDIGRAFICA GRAFICA E EDITORA LTDA</t>
  </si>
  <si>
    <t xml:space="preserve">AVOHAI EVENTOS LTDA</t>
  </si>
  <si>
    <t xml:space="preserve">VIAMAN EDITORA E IMPRESSORA BRASILEIRA EIRELI </t>
  </si>
  <si>
    <t xml:space="preserve">A VIEIRA SERVICOS</t>
  </si>
  <si>
    <t xml:space="preserve">TOM ARTES GRAFICAS LTDA</t>
  </si>
  <si>
    <t xml:space="preserve">ITEM 6</t>
  </si>
  <si>
    <t xml:space="preserve">LIVRO
Miolo: • dimensões: 155 mm X 215 mm (fechado); • aproximadamente 150 páginas (75 folhas); • l X 1 preta; papel offset 90 g, branco; • acabamento colado. Capa: • dimensões 155 mm X 215 mm (fechada); • 4 X 0 cores (policromia); • papel 180 g, couche liso.</t>
  </si>
  <si>
    <t xml:space="preserve">ITEM 7</t>
  </si>
  <si>
    <t xml:space="preserve">LIVRO
Miolo: • dimensões: 155 mm X 215 mm (fechado); • aproximadamente 150 páginas (75 folhas); • l X 1 preta; papel offset 90 g, branco; • acabamento colado. Capa: • dimensões 155 mm X 215 mm (fechada); • 4 X 0 cores (policromia); • papel 180 g, couche liso, com lombada.</t>
  </si>
  <si>
    <t xml:space="preserve">ITEM 8</t>
  </si>
  <si>
    <t xml:space="preserve">LIVRO
Miolo: • dimensões: 220 mm X 300 mm (fechado); • aproximadamente 120 páginas (60 folhas); • 4 X 4; papel couche fosco 150 g; • acabamento costurado e colado, com fita. Capa: • dimensões: 225 mm X 305 mm (fechada); • 4 X 4 cores (policromia); • Laminação fosca com verniz localizado; • capa dura, com guarda.</t>
  </si>
  <si>
    <t xml:space="preserve">EGF EDITORA GRAFICA FATOR EIRELI</t>
  </si>
  <si>
    <t xml:space="preserve">GRAFICA E EDITORA SANTA CRUZ LTDA</t>
  </si>
  <si>
    <t xml:space="preserve">FORTE GRAFICA E EDITORA LTDA</t>
  </si>
  <si>
    <t xml:space="preserve">AGASSI &amp; BASSANELLI ALTERNATIVA ARTES GRAFICAS E EDITOR</t>
  </si>
  <si>
    <t xml:space="preserve">GL EDITORA GRAFICA LTDA</t>
  </si>
  <si>
    <t xml:space="preserve">ARTES GRAFICAS E EDITORA PONTUAL LTDA</t>
  </si>
  <si>
    <t xml:space="preserve">ITEM 9</t>
  </si>
  <si>
    <t xml:space="preserve">CARTILHA
Capa e Miolo: • papel couche liso l50 gr, branco; • impressão offset 4 X 4; • acabamento com 2 grampos; • dimensões: l80 mm X l80 mm (fechado) e l80 mm X 360 mm (aberto); • aproximadamente 30 páginas.</t>
  </si>
  <si>
    <t xml:space="preserve">CONT - CORT SERVICOS GRAFICOS E IMPRESSAO DIGITAL EIRE</t>
  </si>
  <si>
    <t xml:space="preserve">GRAFICA CS EIRELI</t>
  </si>
  <si>
    <t xml:space="preserve">TOP COMERCIO E SERVICOS EMPRESARIAIS EIRELI</t>
  </si>
  <si>
    <t xml:space="preserve">GRAFICA E EDITORA COMUNICACAO VISUAL EIRELI</t>
  </si>
  <si>
    <t xml:space="preserve">VIVA - GRAFICA E EDITORA LTDA</t>
  </si>
  <si>
    <t xml:space="preserve">ATHALAIA GRAFICA E EDITORA LTDA</t>
  </si>
  <si>
    <t xml:space="preserve">GRAFICA E EDITORA MOVIMENTO LTDA</t>
  </si>
  <si>
    <t xml:space="preserve">ITEM 10</t>
  </si>
  <si>
    <t xml:space="preserve">CARTILHA
Capa: • Impressão 4 X 0; • papel couche liso, 150 g; • envernizada; • dimensões: A4 (aberta); • 1 dobra • Encadernação tipo canoa, com 2 grampos. Miolo: • Impressão 4 X 4; • papel couche liso, 115 g; • dimensões: A4 (aberta); • 1 dobra; • 20 páginas.</t>
  </si>
  <si>
    <t xml:space="preserve">WCA DIGITAL MAQUINAS LTDA</t>
  </si>
  <si>
    <t xml:space="preserve">L &amp; R COMUNICACAO MARKETING E SERVICOS LTDA </t>
  </si>
  <si>
    <t xml:space="preserve">MARIA L CAMINHA DA SILVA</t>
  </si>
  <si>
    <t xml:space="preserve">J.F. GRAFICA E EDICOES EIRELI</t>
  </si>
  <si>
    <t xml:space="preserve">COMSERGRAF COMERCIO E SERVICOS GRAFICOS LTDA </t>
  </si>
  <si>
    <t xml:space="preserve">SPEEDGRAF GRAFICA E EDITORA EIRELI</t>
  </si>
  <si>
    <t xml:space="preserve">GRAFICA E EDITORA VIEIRA EIRELI</t>
  </si>
  <si>
    <t xml:space="preserve">STILL GRAFICA E ENCADERNADORA LTDA</t>
  </si>
  <si>
    <t xml:space="preserve">ITEM 11</t>
  </si>
  <si>
    <t xml:space="preserve">CARTILHA
Miolo: • dimensões: 148,5 mm X 210 mm (fechado); • aproximadamente 20 páginas (10 folhas); • impressão: 1 X 1; • papel offset 90 g, alta alvura; • acabamento com 2 grampos. Capa: • dimensões: 148,5 mm X 210 mm (fechada); • 4 X 0 cores (policromia); • papel couche liso, 130 g.</t>
  </si>
  <si>
    <t xml:space="preserve">unidade</t>
  </si>
  <si>
    <t xml:space="preserve">GRAFICA E EDITORA LUAR EIRELI</t>
  </si>
  <si>
    <t xml:space="preserve">ITEM 12</t>
  </si>
  <si>
    <t xml:space="preserve">CARTILHA
Miolo: • dimensões: 210 mm X 297 mm (fechado); • aproximadamente 80 páginas (40 folhas); • impressão: 4 X 4; • papel offset 90 g, alta alvura; • acabamento com 2 grampos. Capa: • dimensões: 210 mm X 297 mm (fechada); • 4 X 0 cores (policromia); • papel couche liso, 130 g.</t>
  </si>
  <si>
    <t xml:space="preserve">VTPRINT OUTDOOR E GRAFICA EIRELI</t>
  </si>
  <si>
    <t xml:space="preserve">TAVARES &amp; TAVARES EMPREENDIMENTOS COMERCIAIS LTDA</t>
  </si>
  <si>
    <t xml:space="preserve">ITEM 13</t>
  </si>
  <si>
    <t xml:space="preserve">CARTILHA
Miolo: • dimensões: 148,5 mm X 210 mm (fechado); • aproximadamente 100 páginas (50 folhas); • impressão: 4 X 4; • papel offset 90 g, alta alvura; • acabamento com 2 grampos. Capa: • dimensões: 148,5 mm X 210 mm (fechada); • 4 X 0 cores (policromia); • papel couche liso, 130 g.</t>
  </si>
  <si>
    <t xml:space="preserve">ITEM 14</t>
  </si>
  <si>
    <t xml:space="preserve">CARTILHA
Miolo: • dimensões: 190 mm X 260 mm (fechado); • aproximadamente 50 páginas (25 folhas); • impressão: 1 X 1; • papel offset 90 g, alta alvura; • acabamento com 2 grampos. Capa: • dimensões: 190 mm X 260 mm (fechada); • 4 X 0 cores (policromia); • papel 130 g, papel couche liso.</t>
  </si>
  <si>
    <t xml:space="preserve">ITEM 15</t>
  </si>
  <si>
    <t xml:space="preserve">CARTILHA
Miolo: • dimensões:170 mm X 240 mm (fechado); • aproximadamente 70 páginas (35 folhas); • impressão: 1 X 1; • papel offset 90 g, alta alvura; • acabamento com 2 grampos. Capa: • dimensões: 170 mm X 240 mm (fechada); • 4 X 0 cores (policromia); • papel 130 g, papel couche liso;</t>
  </si>
  <si>
    <t xml:space="preserve">ITEM 16</t>
  </si>
  <si>
    <t xml:space="preserve">CARTÃO
• dimensões: 55 mm X 95 mm. • lâmina em 1 X 0 cores em Opaline 180 g.</t>
  </si>
  <si>
    <t xml:space="preserve">ITEM 17</t>
  </si>
  <si>
    <t xml:space="preserve">CARTÃO
• dimensões: 55 mm X 95 mm. • lâmina em 4 X 0 cores em Opaline 180 g. </t>
  </si>
  <si>
    <t xml:space="preserve">L &amp; R COMUNICACAO MARKETING E SERVICOS LTDA</t>
  </si>
  <si>
    <t xml:space="preserve">ITEM 18</t>
  </si>
  <si>
    <t xml:space="preserve">CARTÃO
• dimensões: 102 mm X 152 mm; • lâminas em 4 X 0 cores em couche fosco 240 g</t>
  </si>
  <si>
    <t xml:space="preserve">ITEM 19</t>
  </si>
  <si>
    <t xml:space="preserve">PASTA
• dimensões: 450 mm X 320 mm (aberto); • 1 dobra e bolso interno; • impresso 4 X 0; • cartão supremo 250 g com plastificação.</t>
  </si>
  <si>
    <t xml:space="preserve">CIAN GRAFICA E EDITORA LTDA</t>
  </si>
  <si>
    <t xml:space="preserve">ITEM 20</t>
  </si>
  <si>
    <t xml:space="preserve">PASTA
• dimensões 325 mm X 474 mm (aberto); • lâminas em 1 X 0 cores em OffSet 280 g; • 1 dobra.</t>
  </si>
  <si>
    <t xml:space="preserve">TOP COLOR EIRELI</t>
  </si>
  <si>
    <t xml:space="preserve">GRAFICA ALTA DEFINICAO LTDA</t>
  </si>
  <si>
    <t xml:space="preserve">VINICIUS RONCAGLIO</t>
  </si>
  <si>
    <t xml:space="preserve">FM INDUSTRIA GRAFICA E LOCACAO DE MAQUINAS E EQUIPAMENT</t>
  </si>
  <si>
    <t xml:space="preserve">X PRESS SERVICOS DE COMUNICACAO MULTIMIDIA LTDA</t>
  </si>
  <si>
    <t xml:space="preserve">H M CASTRO EIRELI</t>
  </si>
  <si>
    <t xml:space="preserve">M E T INDUSTRIA, COMERCIO E SERVICOS GRAFICOS LTDA</t>
  </si>
  <si>
    <t xml:space="preserve">I. H. M. MARQUES</t>
  </si>
  <si>
    <t xml:space="preserve">ITEM 21</t>
  </si>
  <si>
    <t xml:space="preserve">CARTAZ
• dimensões: 297 mm X 420 mm; • lâminas em 4 X 0 cores em couche liso 150 g;</t>
  </si>
  <si>
    <t xml:space="preserve">M C FELIPE CAMPOS</t>
  </si>
  <si>
    <t xml:space="preserve">INDUSTRIA GRAFICA POTIGUAR E SERVICOS LTDA</t>
  </si>
  <si>
    <t xml:space="preserve">LM SERVGRAFICA E COPIADORA LTDA</t>
  </si>
  <si>
    <t xml:space="preserve">COMSERGRAF COMERCIO E SERVICOS GRAFICOS LTDA</t>
  </si>
  <si>
    <t xml:space="preserve">ITEM 22</t>
  </si>
  <si>
    <t xml:space="preserve">CARTAZ
• dimensões: 420 mm X 600 mm; • lâminas em 4 X 0 cores em couche liso 150 g;</t>
  </si>
  <si>
    <t xml:space="preserve">ITEM 23</t>
  </si>
  <si>
    <t xml:space="preserve">CARTAZ
• dimensões: 285 mm X 410 mm; • lâminas em 4 X 0 cores em couche liso 150 g;</t>
  </si>
  <si>
    <t xml:space="preserve">ITEM 24</t>
  </si>
  <si>
    <t xml:space="preserve">CARTAZ
• dimensões: 400 mm X 580 mm; • lâminas em 4 X 0 cores em couche liso 150 g.</t>
  </si>
  <si>
    <t xml:space="preserve">ITEM 25</t>
  </si>
  <si>
    <t xml:space="preserve">CARTAZ
• dimensões: 210 mm X 297 mm; • lâminas em 4 X 0 cores em couche liso 150 g.</t>
  </si>
  <si>
    <t xml:space="preserve">ITEM 26</t>
  </si>
  <si>
    <t xml:space="preserve">CONVITE
• dimensões: 287 mm X 410 mm; • 2 dobras; • lâminas em 4 X 4 cores em couche fosco 240 g, com laminação fosca; • com verniz localizado.</t>
  </si>
  <si>
    <t xml:space="preserve">ITEM 27</t>
  </si>
  <si>
    <t xml:space="preserve">CONVITE
• dimensões: 150 mm X 200 mm; • lâminas em 4 X 0 cores em couche liso 240 g.</t>
  </si>
  <si>
    <t xml:space="preserve">EDER CRUZ CASTELO BRANCO</t>
  </si>
  <si>
    <t xml:space="preserve">M E T INDUSTRIA, COMERCIO E SERVICOS GRAFICOS LTDA </t>
  </si>
  <si>
    <t xml:space="preserve">PERSONAL LTDA</t>
  </si>
  <si>
    <t xml:space="preserve">CASTILHO COMERCIO E SERVICOS DE PUBLICIDADE EIRELI </t>
  </si>
  <si>
    <t xml:space="preserve">MANAUS MANUNTENCAO E REPARACAO DE MAQUINAS EIRELI </t>
  </si>
  <si>
    <t xml:space="preserve">X PRESS SERVICOS DE COMUNICACAO MULTIMIDIA LTDA </t>
  </si>
  <si>
    <t xml:space="preserve">ITEM 28</t>
  </si>
  <si>
    <t xml:space="preserve">ENVELOPE
• dimensões: 168 mm X 225 mm; • lâminas em 1 X 0 cores, branco, com brasão em alto relevo 290 g.</t>
  </si>
  <si>
    <t xml:space="preserve">ITEM 29</t>
  </si>
  <si>
    <t xml:space="preserve">ENVELOPE
• dimensões: 105 mm X 158 mm; • lâminas em 1 X 0 cores, branco, 290 g. </t>
  </si>
  <si>
    <t xml:space="preserve">ITEM 30</t>
  </si>
  <si>
    <t xml:space="preserve">FOLDER
• dimensões: 297 mm X 210 mm; • 2 dobras; • lâminas em 4 X 4 cores em offset 240 g.</t>
  </si>
  <si>
    <t xml:space="preserve">DENISE NEVES DA SILVA – EIRELI</t>
  </si>
  <si>
    <t xml:space="preserve">ITEM 31</t>
  </si>
  <si>
    <t xml:space="preserve">FOLDER
• dimensões: 297 mm X 210 mm; • 2 dobras; • lâminas em 4 X 4 cores em couche 180 g.</t>
  </si>
  <si>
    <t xml:space="preserve">MARCOS ANTONIO ANGELICA MENDES EIRELI</t>
  </si>
  <si>
    <t xml:space="preserve">ITEM 32</t>
  </si>
  <si>
    <t xml:space="preserve">FOLDER
• dimensões: 297 mm X 210 mm; • 2 dobras; • lâminas em 4 X 4 cores em reciclato 150 g.</t>
  </si>
  <si>
    <t xml:space="preserve">W . S. SERVICOS E LOCACOES EIRELI</t>
  </si>
  <si>
    <t xml:space="preserve">ITEM 33</t>
  </si>
  <si>
    <t xml:space="preserve">DIVERSOS
Marcador de Livro • dimensões: 50 mm X 190 mm; • lâminas em 4 X 4 cores em offset 240 g.complastificação.</t>
  </si>
  <si>
    <t xml:space="preserve">ITEM 34</t>
  </si>
  <si>
    <t xml:space="preserve">DIVERSOS
Diploma • dimensões: 350 mm X 245 mm; • lâminas em 4 X 0 cores em Opaline 180 g</t>
  </si>
  <si>
    <t xml:space="preserve">QUITERIENSE SERVICOS GRAFICOS E EDITORIAIS LTDA</t>
  </si>
  <si>
    <t xml:space="preserve">AMAZONAS COMERCIO DE ADESIVOS E BRINDES LTDA</t>
  </si>
  <si>
    <t xml:space="preserve">ABBA SERVICOS DE MANUTENCAO E COMERCIO EM GERAL EIRELI</t>
  </si>
  <si>
    <t xml:space="preserve">RT EDITORA E DISTRIBUIDORA DE PAPEIS E SERVICOS EIRELI</t>
  </si>
  <si>
    <t xml:space="preserve">ARCOVERDE SOLUCOES GRAFICAS LTDA.</t>
  </si>
  <si>
    <t xml:space="preserve">SOBRAL-CHAVES E CARIMBOS LTDA</t>
  </si>
  <si>
    <t xml:space="preserve">ITEM 35</t>
  </si>
  <si>
    <t xml:space="preserve">DIVERSOS
Bloco Miolo: • dimensões: 220 mm X 280 mm; • aproximadamente 50 páginas (25 folhas); • páginas em 1 X 0 cores em offset 75. Capa: • dimensões: 220 mm X 280 mm (fechado); • 4 X 0 cores; • cartão supremo 250 g.</t>
  </si>
  <si>
    <t xml:space="preserve">DESFILE BRINDES PROMOCIONAIS LTDA.</t>
  </si>
  <si>
    <t xml:space="preserve">ITEM 36</t>
  </si>
  <si>
    <t xml:space="preserve">DIVERSOS
Bloco Miolo: • dimensões: 160 mm X 220 mm; • aproximadamente 50 páginas (25 folhas); • páginas em 1 X 0 cores em papel reciclato 90. Capa: • dimensões: 160 mm X 220 mm (fechado); • 4 X 0 cores; • papel reciclato 150g.</t>
  </si>
  <si>
    <t xml:space="preserve">PLANET GRAF COMERCIO E IMPRESSAO DE PAPEL LTDA</t>
  </si>
  <si>
    <t xml:space="preserve">W&amp;A SOLUCOES TECNOLOGICAS LTDA</t>
  </si>
  <si>
    <t xml:space="preserve">ITEM 37</t>
  </si>
  <si>
    <t xml:space="preserve">DIVERSOS
Coletânea de votos e pareceres Miolo: • dimensões: 297 mm X 210 mm; • aproximadamente 250 páginas (250 folhas); • páginas em 1 X 0 cores em papel offset 90g. Capa: • dimensões: 300 mm X 215 mm; • capa dura, cor preta e letras douradas, com Brasão da República; • papel: vulcapel. Confecção a partir de clichês (medindo em média 15 cm) com letras em dourado em baixo relevo contendo o Brasão da República e a assinatura do magistrado, conforme modelos em anexo (NÃO SERÁ ACEITA INSCRIÇÃO EM SILK SCREEN). OBS: 1: serão confeccionados 06 clichês com as assinaturas dos magistrados. OBS.: 2: o clichê referente ao Brasão da República será fornecido pelo TRE-BA. OBS. 3: O TRE-BA não se obriga a executar todo o quantitativo de coletâneas/exemplares indicados, sendo este uma estimativa da necessidade do Órgão para o exercício.</t>
  </si>
  <si>
    <t xml:space="preserve">ITEM 38</t>
  </si>
  <si>
    <t xml:space="preserve">DIVERSOS
Agenda Miolo: • papel reciclado, 75g; • dimensões: 120 mm x 160 mm (BxH); • aproximadamente 350 páginas (175 folhas), sendo 12 folhas (24 páginas) 4 x 0 cores e 163 folhas (326 páginas) 1 x 1; • Impressão em Offset. Capa: • papelão espessura 1.1/nº 30 revestido externamente com papel reciclado 120 g; • impressão 4 x 0 cores, e internamente com papel reciclado 90 g, 0 x 0 cores; • dimensões: 125 mm x 165 mm (BxH); • impressão em Offset; • encadernação em espiral verde escuro.</t>
  </si>
  <si>
    <t xml:space="preserve">ITEM 39</t>
  </si>
  <si>
    <t xml:space="preserve">DIVERSOS
Calendário Base: • dimensões: 350 mm X 210 mm; • corte/vinco, duas dobras; • Impressão 4X0 em cartão supremo de 350 g. Páginas • aproximadamente 7 folhas (14 páginas): • dimensões: 130mm X 210 mm; • lâminas em 4 X 4 cores em papel couche de 115 g; • acabamento em wire-o branca.</t>
  </si>
  <si>
    <t xml:space="preserve">ITEM 40</t>
  </si>
  <si>
    <t xml:space="preserve">DIVERSOS
Crachá • dimensões 110 mm X 150 mm; • lâminas em 4 X 0 cores em Couche fosco 300g. • plastificado; • cordão branco.</t>
  </si>
  <si>
    <t xml:space="preserve">CLICK DIGITAL SERVICOS LTDA</t>
  </si>
  <si>
    <t xml:space="preserve">IDCONTROLL IDENTIFICACAO E TECNOLOGIA LTDA </t>
  </si>
  <si>
    <t xml:space="preserve">ART CARD LTDA</t>
  </si>
  <si>
    <t xml:space="preserve">ITEM 41</t>
  </si>
  <si>
    <t xml:space="preserve">ITEM 42</t>
  </si>
  <si>
    <t xml:space="preserve">ITEM 43</t>
  </si>
  <si>
    <t xml:space="preserve">ITEM 44</t>
  </si>
  <si>
    <t xml:space="preserve">ITEM 45</t>
  </si>
  <si>
    <t xml:space="preserve">ITEM 46</t>
  </si>
  <si>
    <t xml:space="preserve">ITEM 47</t>
  </si>
  <si>
    <t xml:space="preserve">ITEM 48</t>
  </si>
  <si>
    <t xml:space="preserve">ITEM 49</t>
  </si>
  <si>
    <t xml:space="preserve">ITEM 50</t>
  </si>
  <si>
    <t xml:space="preserve">TRIBUNAL REGIONAL ELEITORAL DA BAHIA</t>
  </si>
  <si>
    <t xml:space="preserve">Seção de Análise e Aquisições</t>
  </si>
  <si>
    <t xml:space="preserve">RESULTADO DA ESTIMATIVA</t>
  </si>
  <si>
    <t xml:space="preserve">Item</t>
  </si>
  <si>
    <t xml:space="preserve">Descrição</t>
  </si>
  <si>
    <t xml:space="preserve">Unidade de Fornecimento</t>
  </si>
  <si>
    <t xml:space="preserve">Quantidade</t>
  </si>
  <si>
    <t xml:space="preserve">Valor Unitário</t>
  </si>
  <si>
    <t xml:space="preserve">Valor Total</t>
  </si>
  <si>
    <t xml:space="preserve">LOTE 1 (itens 1 a 15)</t>
  </si>
  <si>
    <t xml:space="preserve">TOTAL LOTE 1:</t>
  </si>
  <si>
    <t xml:space="preserve">LOTE 2 (itens 16 a 37)</t>
  </si>
  <si>
    <t xml:space="preserve">TOTAL LOTE 2:</t>
  </si>
  <si>
    <t xml:space="preserve">LOTE 3 (itens 38 a 40)</t>
  </si>
  <si>
    <t xml:space="preserve">TOTAL LOTE 3:</t>
  </si>
  <si>
    <t xml:space="preserve">VALOR TOTAL ESTIMADO</t>
  </si>
  <si>
    <t xml:space="preserve">MENORES PREÇOS OFERTADOS</t>
  </si>
  <si>
    <t xml:space="preserve">Fornec.</t>
  </si>
  <si>
    <t xml:space="preserve">VALOR TOTAL - MENORES PREÇOS OFERTADOS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</si>
</sst>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[$R$-416]\ #,##0.00;[RED]\-[$R$-416]\ #,##0.00"/>
    <numFmt numFmtId="166" formatCode="General"/>
    <numFmt numFmtId="167" formatCode="0.00%"/>
    <numFmt numFmtId="168" formatCode="d&quot; de &quot;mmmm&quot; de &quot;yyyy"/>
    <numFmt numFmtId="169" formatCode="&quot; R$ &quot;* #,##0.00\ ;&quot;-R$ &quot;* #,##0.00\ ;&quot; R$ &quot;* \-#\ ;@\ "/>
  </numFmts>
  <fonts count="23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 val="single"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9"/>
      <name val="Calibri"/>
      <family val="2"/>
      <charset val="1"/>
    </font>
    <font>
      <b val="true"/>
      <sz val="9"/>
      <name val="Calibri"/>
      <family val="2"/>
    </font>
    <font>
      <b val="true"/>
      <sz val="9"/>
      <name val="Arial"/>
      <family val="2"/>
      <charset val="1"/>
    </font>
    <font>
      <sz val="10"/>
      <name val="Arial"/>
      <family val="0"/>
      <charset val="1"/>
    </font>
    <font>
      <b val="true"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9" fontId="21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5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9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8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2" xfId="0" applyFont="true" applyBorder="true" applyAlignment="true" applyProtection="true">
      <alignment horizontal="center" vertical="bottom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0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6" fontId="13" fillId="1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3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10" borderId="4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6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5" fillId="1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3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15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3" fillId="0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5" fontId="1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1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1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9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4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9" borderId="8" xfId="0" applyFont="true" applyBorder="true" applyAlignment="true" applyProtection="false">
      <alignment horizontal="center" vertical="top" textRotation="90" wrapText="true" indent="0" shrinkToFit="false"/>
      <protection locked="true" hidden="false"/>
    </xf>
    <xf numFmtId="164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3" fillId="10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9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5" fillId="9" borderId="1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9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9" borderId="8" xfId="0" applyFont="true" applyBorder="true" applyAlignment="true" applyProtection="false">
      <alignment horizontal="center" vertical="top" textRotation="9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14" fillId="9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2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Neutral 1" xfId="31"/>
    <cellStyle name="Note 1" xfId="32"/>
    <cellStyle name="Resultado" xfId="33"/>
    <cellStyle name="Resultado2" xfId="34"/>
    <cellStyle name="Status 1" xfId="35"/>
    <cellStyle name="Text 1" xfId="36"/>
    <cellStyle name="Título1" xfId="37"/>
    <cellStyle name="Warning 1" xfId="38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worksheet" Target="worksheets/sheet31.xml"/><Relationship Id="rId33" Type="http://schemas.openxmlformats.org/officeDocument/2006/relationships/worksheet" Target="worksheets/sheet32.xml"/><Relationship Id="rId34" Type="http://schemas.openxmlformats.org/officeDocument/2006/relationships/worksheet" Target="worksheets/sheet33.xml"/><Relationship Id="rId35" Type="http://schemas.openxmlformats.org/officeDocument/2006/relationships/worksheet" Target="worksheets/sheet34.xml"/><Relationship Id="rId36" Type="http://schemas.openxmlformats.org/officeDocument/2006/relationships/worksheet" Target="worksheets/sheet35.xml"/><Relationship Id="rId37" Type="http://schemas.openxmlformats.org/officeDocument/2006/relationships/worksheet" Target="worksheets/sheet36.xml"/><Relationship Id="rId38" Type="http://schemas.openxmlformats.org/officeDocument/2006/relationships/worksheet" Target="worksheets/sheet37.xml"/><Relationship Id="rId39" Type="http://schemas.openxmlformats.org/officeDocument/2006/relationships/worksheet" Target="worksheets/sheet38.xml"/><Relationship Id="rId40" Type="http://schemas.openxmlformats.org/officeDocument/2006/relationships/worksheet" Target="worksheets/sheet39.xml"/><Relationship Id="rId41" Type="http://schemas.openxmlformats.org/officeDocument/2006/relationships/worksheet" Target="worksheets/sheet40.xml"/><Relationship Id="rId42" Type="http://schemas.openxmlformats.org/officeDocument/2006/relationships/worksheet" Target="worksheets/sheet41.xml"/><Relationship Id="rId43" Type="http://schemas.openxmlformats.org/officeDocument/2006/relationships/worksheet" Target="worksheets/sheet42.xml"/><Relationship Id="rId44" Type="http://schemas.openxmlformats.org/officeDocument/2006/relationships/worksheet" Target="worksheets/sheet43.xml"/><Relationship Id="rId45" Type="http://schemas.openxmlformats.org/officeDocument/2006/relationships/worksheet" Target="worksheets/sheet44.xml"/><Relationship Id="rId46" Type="http://schemas.openxmlformats.org/officeDocument/2006/relationships/worksheet" Target="worksheets/sheet45.xml"/><Relationship Id="rId47" Type="http://schemas.openxmlformats.org/officeDocument/2006/relationships/worksheet" Target="worksheets/sheet46.xml"/><Relationship Id="rId48" Type="http://schemas.openxmlformats.org/officeDocument/2006/relationships/worksheet" Target="worksheets/sheet47.xml"/><Relationship Id="rId49" Type="http://schemas.openxmlformats.org/officeDocument/2006/relationships/worksheet" Target="worksheets/sheet48.xml"/><Relationship Id="rId50" Type="http://schemas.openxmlformats.org/officeDocument/2006/relationships/worksheet" Target="worksheets/sheet49.xml"/><Relationship Id="rId51" Type="http://schemas.openxmlformats.org/officeDocument/2006/relationships/worksheet" Target="worksheets/sheet50.xml"/><Relationship Id="rId52" Type="http://schemas.openxmlformats.org/officeDocument/2006/relationships/worksheet" Target="worksheets/sheet51.xml"/><Relationship Id="rId53" Type="http://schemas.openxmlformats.org/officeDocument/2006/relationships/worksheet" Target="worksheets/sheet52.xml"/><Relationship Id="rId5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4842000</xdr:colOff>
      <xdr:row>0</xdr:row>
      <xdr:rowOff>0</xdr:rowOff>
    </xdr:from>
    <xdr:to>
      <xdr:col>2</xdr:col>
      <xdr:colOff>5451840</xdr:colOff>
      <xdr:row>3</xdr:row>
      <xdr:rowOff>125280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5724000" y="0"/>
          <a:ext cx="609840" cy="6127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5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D1" colorId="64" zoomScale="100" zoomScaleNormal="100" zoomScalePageLayoutView="100" workbookViewId="0">
      <selection pane="topLeft" activeCell="G14" activeCellId="0" sqref="G14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</v>
      </c>
      <c r="C3" s="9" t="s">
        <v>11</v>
      </c>
      <c r="D3" s="10" t="n">
        <v>500</v>
      </c>
      <c r="E3" s="11" t="n">
        <f aca="false">IF(C20&lt;=25%,D20,MIN(E20:F20))</f>
        <v>63.85</v>
      </c>
      <c r="F3" s="11" t="n">
        <f aca="false">MIN(H3:H17)</f>
        <v>24.04</v>
      </c>
      <c r="G3" s="12" t="s">
        <v>12</v>
      </c>
      <c r="H3" s="13" t="n">
        <v>88.5</v>
      </c>
      <c r="I3" s="14" t="str">
        <f aca="false">IF(H3="","",(IF($C$20&lt;25%,"N/A",IF(H3&lt;=($D$20+$A$20),H3,"Descartado"))))</f>
        <v>Descartado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f aca="false">0.068*800</f>
        <v>54.4</v>
      </c>
      <c r="I4" s="14" t="n">
        <f aca="false">IF(H4="","",(IF($C$20&lt;25%,"N/A",IF(H4&lt;=($D$20+$A$20),H4,"Descartado"))))</f>
        <v>54.4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f aca="false">0.07*800</f>
        <v>56</v>
      </c>
      <c r="I5" s="14" t="n">
        <f aca="false">IF(H5="","",(IF($C$20&lt;25%,"N/A",IF(H5&lt;=($D$20+$A$20),H5,"Descartado"))))</f>
        <v>56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f aca="false">0.1*800</f>
        <v>80</v>
      </c>
      <c r="I6" s="14" t="n">
        <f aca="false">IF(H6="","",(IF($C$20&lt;25%,"N/A",IF(H6&lt;=($D$20+$A$20),H6,"Descartado"))))</f>
        <v>80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f aca="false">0.1*800</f>
        <v>80</v>
      </c>
      <c r="I7" s="14" t="n">
        <f aca="false">IF(H7="","",(IF($C$20&lt;25%,"N/A",IF(H7&lt;=($D$20+$A$20),H7,"Descartado"))))</f>
        <v>80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f aca="false">0.1*800</f>
        <v>80</v>
      </c>
      <c r="I8" s="14" t="n">
        <f aca="false">IF(H8="","",(IF($C$20&lt;25%,"N/A",IF(H8&lt;=($D$20+$A$20),H8,"Descartado"))))</f>
        <v>80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f aca="false">0.0799*800</f>
        <v>63.92</v>
      </c>
      <c r="I9" s="14" t="n">
        <f aca="false">IF(H9="","",(IF($C$20&lt;25%,"N/A",IF(H9&lt;=($D$20+$A$20),H9,"Descartado"))))</f>
        <v>63.92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f aca="false">0.06*800</f>
        <v>48</v>
      </c>
      <c r="I10" s="14" t="n">
        <f aca="false">IF(H10="","",(IF($C$20&lt;25%,"N/A",IF(H10&lt;=($D$20+$A$20),H10,"Descartado"))))</f>
        <v>48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f aca="false">0.1*800</f>
        <v>80</v>
      </c>
      <c r="I11" s="14" t="n">
        <f aca="false">IF(H11="","",(IF($C$20&lt;25%,"N/A",IF(H11&lt;=($D$20+$A$20),H11,"Descartado"))))</f>
        <v>80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f aca="false">0.07*800</f>
        <v>56</v>
      </c>
      <c r="I12" s="14" t="n">
        <f aca="false">IF(H12="","",(IF($C$20&lt;25%,"N/A",IF(H12&lt;=($D$20+$A$20),H12,"Descartado"))))</f>
        <v>56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22</v>
      </c>
      <c r="H13" s="13" t="n">
        <f aca="false">0.1*800</f>
        <v>80</v>
      </c>
      <c r="I13" s="14" t="n">
        <f aca="false">IF(H13="","",(IF($C$20&lt;25%,"N/A",IF(H13&lt;=($D$20+$A$20),H13,"Descartado"))))</f>
        <v>80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23</v>
      </c>
      <c r="H14" s="13" t="n">
        <v>24.04</v>
      </c>
      <c r="I14" s="14" t="n">
        <f aca="false">IF(H14="","",(IF($C$20&lt;25%,"N/A",IF(H14&lt;=($D$20+$A$20),H14,"Descartado"))))</f>
        <v>24.04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18.8527058583594</v>
      </c>
      <c r="B20" s="25" t="n">
        <f aca="false">COUNT(H3:H17)</f>
        <v>12</v>
      </c>
      <c r="C20" s="26" t="n">
        <f aca="false">IF(B20&lt;2,"N/A",(A20/D20))</f>
        <v>0.286037109063259</v>
      </c>
      <c r="D20" s="27" t="n">
        <f aca="false">ROUND(AVERAGE(H3:H17),2)</f>
        <v>65.91</v>
      </c>
      <c r="E20" s="28" t="n">
        <f aca="false">IFERROR(ROUND(IF(B20&lt;2,"N/A",(IF(C20&lt;=25%,"N/A",AVERAGE(I3:I17)))),2),"N/A")</f>
        <v>63.85</v>
      </c>
      <c r="F20" s="28" t="n">
        <f aca="false">ROUND(MEDIAN(H3:H17),2)</f>
        <v>71.96</v>
      </c>
      <c r="G20" s="29" t="str">
        <f aca="false">INDEX(G3:G17,MATCH(H20,H3:H17,0))</f>
        <v>EMPRESA GRÁFICA DA BAHIA – EGBA</v>
      </c>
      <c r="H20" s="30" t="n">
        <f aca="false">MIN(H3:H17)</f>
        <v>24.04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63.85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31925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E1" colorId="64" zoomScale="100" zoomScaleNormal="100" zoomScalePageLayoutView="100" workbookViewId="0">
      <selection pane="topLeft" activeCell="G16" activeCellId="0" sqref="G16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90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91</v>
      </c>
      <c r="C3" s="9" t="s">
        <v>11</v>
      </c>
      <c r="D3" s="10" t="n">
        <v>3000</v>
      </c>
      <c r="E3" s="11" t="n">
        <f aca="false">IF(C20&lt;=25%,D20,MIN(E20:F20))</f>
        <v>7.19</v>
      </c>
      <c r="F3" s="11" t="n">
        <f aca="false">MIN(H3:H17)</f>
        <v>2.39</v>
      </c>
      <c r="G3" s="12" t="s">
        <v>12</v>
      </c>
      <c r="H3" s="13" t="n">
        <v>4.1</v>
      </c>
      <c r="I3" s="14" t="n">
        <f aca="false">IF(H3="","",(IF($C$20&lt;25%,"N/A",IF(H3&lt;=($D$20+$A$20),H3,"Descartado"))))</f>
        <v>4.1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65</v>
      </c>
      <c r="H4" s="13" t="n">
        <v>7.5</v>
      </c>
      <c r="I4" s="14" t="n">
        <f aca="false">IF(H4="","",(IF($C$20&lt;25%,"N/A",IF(H4&lt;=($D$20+$A$20),H4,"Descartado"))))</f>
        <v>7.5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92</v>
      </c>
      <c r="H5" s="13" t="n">
        <v>12.5</v>
      </c>
      <c r="I5" s="14" t="n">
        <f aca="false">IF(H5="","",(IF($C$20&lt;25%,"N/A",IF(H5&lt;=($D$20+$A$20),H5,"Descartado"))))</f>
        <v>12.5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93</v>
      </c>
      <c r="H6" s="13" t="n">
        <v>15</v>
      </c>
      <c r="I6" s="14" t="n">
        <f aca="false">IF(H6="","",(IF($C$20&lt;25%,"N/A",IF(H6&lt;=($D$20+$A$20),H6,"Descartado"))))</f>
        <v>15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94</v>
      </c>
      <c r="H7" s="13" t="n">
        <v>2.6</v>
      </c>
      <c r="I7" s="14" t="n">
        <f aca="false">IF(H7="","",(IF($C$20&lt;25%,"N/A",IF(H7&lt;=($D$20+$A$20),H7,"Descartado"))))</f>
        <v>2.6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95</v>
      </c>
      <c r="H8" s="13" t="n">
        <v>7.4</v>
      </c>
      <c r="I8" s="14" t="n">
        <f aca="false">IF(H8="","",(IF($C$20&lt;25%,"N/A",IF(H8&lt;=($D$20+$A$20),H8,"Descartado"))))</f>
        <v>7.4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96</v>
      </c>
      <c r="H9" s="13" t="n">
        <v>22</v>
      </c>
      <c r="I9" s="14" t="str">
        <f aca="false">IF(H9="","",(IF($C$20&lt;25%,"N/A",IF(H9&lt;=($D$20+$A$20),H9,"Descartado"))))</f>
        <v>Descartado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97</v>
      </c>
      <c r="H10" s="13" t="n">
        <v>4</v>
      </c>
      <c r="I10" s="14" t="n">
        <f aca="false">IF(H10="","",(IF($C$20&lt;25%,"N/A",IF(H10&lt;=($D$20+$A$20),H10,"Descartado"))))</f>
        <v>4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19</v>
      </c>
      <c r="H11" s="13" t="n">
        <v>2.91</v>
      </c>
      <c r="I11" s="14" t="n">
        <f aca="false">IF(H11="","",(IF($C$20&lt;25%,"N/A",IF(H11&lt;=($D$20+$A$20),H11,"Descartado"))))</f>
        <v>2.91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98</v>
      </c>
      <c r="H12" s="13" t="n">
        <v>12</v>
      </c>
      <c r="I12" s="14" t="n">
        <f aca="false">IF(H12="","",(IF($C$20&lt;25%,"N/A",IF(H12&lt;=($D$20+$A$20),H12,"Descartado"))))</f>
        <v>12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99</v>
      </c>
      <c r="H13" s="13" t="n">
        <v>18</v>
      </c>
      <c r="I13" s="14" t="str">
        <f aca="false">IF(H13="","",(IF($C$20&lt;25%,"N/A",IF(H13&lt;=($D$20+$A$20),H13,"Descartado"))))</f>
        <v>Descartado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 t="s">
        <v>53</v>
      </c>
      <c r="H14" s="13" t="n">
        <v>8.73</v>
      </c>
      <c r="I14" s="14" t="n">
        <f aca="false">IF(H14="","",(IF($C$20&lt;25%,"N/A",IF(H14&lt;=($D$20+$A$20),H14,"Descartado"))))</f>
        <v>8.73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42" t="s">
        <v>23</v>
      </c>
      <c r="H15" s="13" t="n">
        <v>2.39</v>
      </c>
      <c r="I15" s="14" t="n">
        <f aca="false">IF(H15="","",(IF($C$20&lt;25%,"N/A",IF(H15&lt;=($D$20+$A$20),H15,"Descartado"))))</f>
        <v>2.39</v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6.34122824388349</v>
      </c>
      <c r="B20" s="25" t="n">
        <f aca="false">COUNT(H3:H17)</f>
        <v>13</v>
      </c>
      <c r="C20" s="26" t="n">
        <f aca="false">IF(B20&lt;2,"N/A",(A20/D20))</f>
        <v>0.692273825751472</v>
      </c>
      <c r="D20" s="27" t="n">
        <f aca="false">ROUND(AVERAGE(H3:H17),2)</f>
        <v>9.16</v>
      </c>
      <c r="E20" s="28" t="n">
        <f aca="false">IFERROR(ROUND(IF(B20&lt;2,"N/A",(IF(C20&lt;=25%,"N/A",AVERAGE(I3:I17)))),2),"N/A")</f>
        <v>7.19</v>
      </c>
      <c r="F20" s="28" t="n">
        <f aca="false">ROUND(MEDIAN(H3:H17),2)</f>
        <v>7.5</v>
      </c>
      <c r="G20" s="29" t="str">
        <f aca="false">INDEX(G3:G17,MATCH(H20,H3:H17,0))</f>
        <v>EMPRESA GRÁFICA DA BAHIA – EGBA</v>
      </c>
      <c r="H20" s="30" t="n">
        <f aca="false">MIN(H3:H17)</f>
        <v>2.39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7.19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21570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D1" colorId="64" zoomScale="100" zoomScaleNormal="100" zoomScalePageLayoutView="100" workbookViewId="0">
      <selection pane="topLeft" activeCell="G11" activeCellId="0" sqref="G11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100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101</v>
      </c>
      <c r="C3" s="9" t="s">
        <v>102</v>
      </c>
      <c r="D3" s="10" t="n">
        <v>1000</v>
      </c>
      <c r="E3" s="11" t="n">
        <f aca="false">IF(C20&lt;=25%,D20,MIN(E20:F20))</f>
        <v>5.74</v>
      </c>
      <c r="F3" s="11" t="n">
        <f aca="false">MIN(H3:H17)</f>
        <v>1.43</v>
      </c>
      <c r="G3" s="12" t="s">
        <v>12</v>
      </c>
      <c r="H3" s="13" t="n">
        <v>5.6</v>
      </c>
      <c r="I3" s="14" t="n">
        <f aca="false">IF(H3="","",(IF($C$20&lt;25%,"N/A",IF(H3&lt;=($D$20+$A$20),H3,"Descartado"))))</f>
        <v>5.6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103</v>
      </c>
      <c r="H4" s="13" t="n">
        <v>7.4</v>
      </c>
      <c r="I4" s="14" t="n">
        <f aca="false">IF(H4="","",(IF($C$20&lt;25%,"N/A",IF(H4&lt;=($D$20+$A$20),H4,"Descartado"))))</f>
        <v>7.4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42</v>
      </c>
      <c r="H5" s="13" t="n">
        <v>5.3</v>
      </c>
      <c r="I5" s="14" t="n">
        <f aca="false">IF(H5="","",(IF($C$20&lt;25%,"N/A",IF(H5&lt;=($D$20+$A$20),H5,"Descartado"))))</f>
        <v>5.3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43</v>
      </c>
      <c r="H6" s="13" t="n">
        <v>4</v>
      </c>
      <c r="I6" s="14" t="n">
        <f aca="false">IF(H6="","",(IF($C$20&lt;25%,"N/A",IF(H6&lt;=($D$20+$A$20),H6,"Descartado"))))</f>
        <v>4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44</v>
      </c>
      <c r="H7" s="13" t="n">
        <v>7.23</v>
      </c>
      <c r="I7" s="14" t="n">
        <f aca="false">IF(H7="","",(IF($C$20&lt;25%,"N/A",IF(H7&lt;=($D$20+$A$20),H7,"Descartado"))))</f>
        <v>7.23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97</v>
      </c>
      <c r="H8" s="13" t="n">
        <v>7.5</v>
      </c>
      <c r="I8" s="14" t="n">
        <f aca="false">IF(H8="","",(IF($C$20&lt;25%,"N/A",IF(H8&lt;=($D$20+$A$20),H8,"Descartado"))))</f>
        <v>7.5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46</v>
      </c>
      <c r="H9" s="13" t="n">
        <v>7.48</v>
      </c>
      <c r="I9" s="14" t="n">
        <f aca="false">IF(H9="","",(IF($C$20&lt;25%,"N/A",IF(H9&lt;=($D$20+$A$20),H9,"Descartado"))))</f>
        <v>7.48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42" t="s">
        <v>23</v>
      </c>
      <c r="H10" s="13" t="n">
        <v>1.43</v>
      </c>
      <c r="I10" s="14" t="n">
        <f aca="false">IF(H10="","",(IF($C$20&lt;25%,"N/A",IF(H10&lt;=($D$20+$A$20),H10,"Descartado"))))</f>
        <v>1.43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2.16853307890051</v>
      </c>
      <c r="B20" s="25" t="n">
        <f aca="false">COUNT(H3:H17)</f>
        <v>8</v>
      </c>
      <c r="C20" s="26" t="n">
        <f aca="false">IF(B20&lt;2,"N/A",(A20/D20))</f>
        <v>0.377793219320646</v>
      </c>
      <c r="D20" s="27" t="n">
        <f aca="false">ROUND(AVERAGE(H3:H17),2)</f>
        <v>5.74</v>
      </c>
      <c r="E20" s="28" t="n">
        <f aca="false">IFERROR(ROUND(IF(B20&lt;2,"N/A",(IF(C20&lt;=25%,"N/A",AVERAGE(I3:I17)))),2),"N/A")</f>
        <v>5.74</v>
      </c>
      <c r="F20" s="28" t="n">
        <f aca="false">ROUND(MEDIAN(H3:H17),2)</f>
        <v>6.42</v>
      </c>
      <c r="G20" s="29" t="str">
        <f aca="false">INDEX(G3:G17,MATCH(H20,H3:H17,0))</f>
        <v>EMPRESA GRÁFICA DA BAHIA – EGBA</v>
      </c>
      <c r="H20" s="30" t="n">
        <f aca="false">MIN(H3:H17)</f>
        <v>1.43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5.74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5740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G14" activeCellId="0" sqref="G14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104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105</v>
      </c>
      <c r="C3" s="9" t="s">
        <v>11</v>
      </c>
      <c r="D3" s="10" t="n">
        <v>300</v>
      </c>
      <c r="E3" s="11" t="n">
        <f aca="false">IF(C20&lt;=25%,D20,MIN(E20:F20))</f>
        <v>36.85</v>
      </c>
      <c r="F3" s="11" t="n">
        <f aca="false">MIN(H3:H17)</f>
        <v>25.89</v>
      </c>
      <c r="G3" s="12" t="s">
        <v>12</v>
      </c>
      <c r="H3" s="13" t="n">
        <v>25.9</v>
      </c>
      <c r="I3" s="14" t="n">
        <f aca="false">IF(H3="","",(IF($C$20&lt;25%,"N/A",IF(H3&lt;=($D$20+$A$20),H3,"Descartado"))))</f>
        <v>25.9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67</v>
      </c>
      <c r="H4" s="13" t="n">
        <f aca="false">8170/100</f>
        <v>81.7</v>
      </c>
      <c r="I4" s="14" t="str">
        <f aca="false">IF(H4="","",(IF($C$20&lt;25%,"N/A",IF(H4&lt;=($D$20+$A$20),H4,"Descartado"))))</f>
        <v>Descartado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f aca="false">8170/100</f>
        <v>81.7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106</v>
      </c>
      <c r="H6" s="13" t="n">
        <f aca="false">7400/100</f>
        <v>74</v>
      </c>
      <c r="I6" s="14" t="n">
        <f aca="false">IF(H6="","",(IF($C$20&lt;25%,"N/A",IF(H6&lt;=($D$20+$A$20),H6,"Descartado"))))</f>
        <v>74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53</v>
      </c>
      <c r="H7" s="13" t="n">
        <f aca="false">3629.95/100</f>
        <v>36.2995</v>
      </c>
      <c r="I7" s="14" t="n">
        <f aca="false">IF(H7="","",(IF($C$20&lt;25%,"N/A",IF(H7&lt;=($D$20+$A$20),H7,"Descartado"))))</f>
        <v>36.2995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21</v>
      </c>
      <c r="H8" s="13" t="n">
        <f aca="false">8170/100</f>
        <v>81.7</v>
      </c>
      <c r="I8" s="14" t="str">
        <f aca="false">IF(H8="","",(IF($C$20&lt;25%,"N/A",IF(H8&lt;=($D$20+$A$20),H8,"Descartado"))))</f>
        <v>Descartado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97</v>
      </c>
      <c r="H9" s="13" t="n">
        <f aca="false">3821/100</f>
        <v>38.21</v>
      </c>
      <c r="I9" s="14" t="n">
        <f aca="false">IF(H9="","",(IF($C$20&lt;25%,"N/A",IF(H9&lt;=($D$20+$A$20),H9,"Descartado"))))</f>
        <v>38.21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107</v>
      </c>
      <c r="H10" s="13" t="n">
        <f aca="false">8200/100</f>
        <v>82</v>
      </c>
      <c r="I10" s="14" t="str">
        <f aca="false">IF(H10="","",(IF($C$20&lt;25%,"N/A",IF(H10&lt;=($D$20+$A$20),H10,"Descartado"))))</f>
        <v>Descartado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44</v>
      </c>
      <c r="H11" s="13" t="n">
        <v>31.5</v>
      </c>
      <c r="I11" s="14" t="n">
        <f aca="false">IF(H11="","",(IF($C$20&lt;25%,"N/A",IF(H11&lt;=($D$20+$A$20),H11,"Descartado"))))</f>
        <v>31.5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46</v>
      </c>
      <c r="H12" s="13" t="n">
        <v>25.89</v>
      </c>
      <c r="I12" s="14" t="n">
        <f aca="false">IF(H12="","",(IF($C$20&lt;25%,"N/A",IF(H12&lt;=($D$20+$A$20),H12,"Descartado"))))</f>
        <v>25.89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42" t="s">
        <v>23</v>
      </c>
      <c r="H13" s="13" t="n">
        <v>26.15</v>
      </c>
      <c r="I13" s="14" t="n">
        <f aca="false">IF(H13="","",(IF($C$20&lt;25%,"N/A",IF(H13&lt;=($D$20+$A$20),H13,"Descartado"))))</f>
        <v>26.15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26.2733201958496</v>
      </c>
      <c r="B20" s="25" t="n">
        <f aca="false">COUNT(H3:H17)</f>
        <v>11</v>
      </c>
      <c r="C20" s="26" t="n">
        <f aca="false">IF(B20&lt;2,"N/A",(A20/D20))</f>
        <v>0.493952250344981</v>
      </c>
      <c r="D20" s="27" t="n">
        <f aca="false">ROUND(AVERAGE(H3:H17),2)</f>
        <v>53.19</v>
      </c>
      <c r="E20" s="28" t="n">
        <f aca="false">IFERROR(ROUND(IF(B20&lt;2,"N/A",(IF(C20&lt;=25%,"N/A",AVERAGE(I3:I17)))),2),"N/A")</f>
        <v>36.85</v>
      </c>
      <c r="F20" s="28" t="n">
        <f aca="false">ROUND(MEDIAN(H3:H17),2)</f>
        <v>38.21</v>
      </c>
      <c r="G20" s="29" t="str">
        <f aca="false">INDEX(G3:G17,MATCH(H20,H3:H17,0))</f>
        <v>POLIMPRESSOS SERVICOS GRAFICOS LTDA</v>
      </c>
      <c r="H20" s="30" t="n">
        <f aca="false">MIN(H3:H17)</f>
        <v>25.89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36.85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11055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G9" activeCellId="0" sqref="G9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108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109</v>
      </c>
      <c r="C3" s="9" t="s">
        <v>11</v>
      </c>
      <c r="D3" s="10" t="n">
        <v>200</v>
      </c>
      <c r="E3" s="11" t="n">
        <f aca="false">IF(C20&lt;=25%,D20,MIN(E20:F20))</f>
        <v>12.25</v>
      </c>
      <c r="F3" s="11" t="n">
        <f aca="false">MIN(H3:H17)</f>
        <v>8.5</v>
      </c>
      <c r="G3" s="12" t="s">
        <v>12</v>
      </c>
      <c r="H3" s="13" t="n">
        <v>19.7</v>
      </c>
      <c r="I3" s="14" t="str">
        <f aca="false">IF(H3="","",(IF($C$20&lt;25%,"N/A",IF(H3&lt;=($D$20+$A$20),H3,"Descartado"))))</f>
        <v>Descartado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97</v>
      </c>
      <c r="H4" s="13" t="n">
        <v>18</v>
      </c>
      <c r="I4" s="14" t="n">
        <f aca="false">IF(H4="","",(IF($C$20&lt;25%,"N/A",IF(H4&lt;=($D$20+$A$20),H4,"Descartado"))))</f>
        <v>18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103</v>
      </c>
      <c r="H5" s="13" t="n">
        <v>8.5</v>
      </c>
      <c r="I5" s="14" t="n">
        <f aca="false">IF(H5="","",(IF($C$20&lt;25%,"N/A",IF(H5&lt;=($D$20+$A$20),H5,"Descartado"))))</f>
        <v>8.5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42</v>
      </c>
      <c r="H6" s="13" t="n">
        <v>13.9</v>
      </c>
      <c r="I6" s="14" t="n">
        <f aca="false">IF(H6="","",(IF($C$20&lt;25%,"N/A",IF(H6&lt;=($D$20+$A$20),H6,"Descartado"))))</f>
        <v>13.9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43</v>
      </c>
      <c r="H7" s="13" t="n">
        <v>9.85</v>
      </c>
      <c r="I7" s="14" t="n">
        <f aca="false">IF(H7="","",(IF($C$20&lt;25%,"N/A",IF(H7&lt;=($D$20+$A$20),H7,"Descartado"))))</f>
        <v>9.85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46</v>
      </c>
      <c r="H8" s="13" t="n">
        <v>10.98</v>
      </c>
      <c r="I8" s="14" t="n">
        <f aca="false">IF(H8="","",(IF($C$20&lt;25%,"N/A",IF(H8&lt;=($D$20+$A$20),H8,"Descartado"))))</f>
        <v>10.98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42" t="s">
        <v>23</v>
      </c>
      <c r="H9" s="13" t="n">
        <v>19.82</v>
      </c>
      <c r="I9" s="14" t="str">
        <f aca="false">IF(H9="","",(IF($C$20&lt;25%,"N/A",IF(H9&lt;=($D$20+$A$20),H9,"Descartado"))))</f>
        <v>Descartado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4.79383185035977</v>
      </c>
      <c r="B20" s="25" t="n">
        <f aca="false">COUNT(H3:H17)</f>
        <v>7</v>
      </c>
      <c r="C20" s="26" t="n">
        <f aca="false">IF(B20&lt;2,"N/A",(A20/D20))</f>
        <v>0.333136334284904</v>
      </c>
      <c r="D20" s="27" t="n">
        <f aca="false">ROUND(AVERAGE(H3:H17),2)</f>
        <v>14.39</v>
      </c>
      <c r="E20" s="28" t="n">
        <f aca="false">IFERROR(ROUND(IF(B20&lt;2,"N/A",(IF(C20&lt;=25%,"N/A",AVERAGE(I3:I17)))),2),"N/A")</f>
        <v>12.25</v>
      </c>
      <c r="F20" s="28" t="n">
        <f aca="false">ROUND(MEDIAN(H3:H17),2)</f>
        <v>13.9</v>
      </c>
      <c r="G20" s="29" t="str">
        <f aca="false">INDEX(G3:G17,MATCH(H20,H3:H17,0))</f>
        <v>GRAFICA E EDITORA LUAR EIRELI</v>
      </c>
      <c r="H20" s="30" t="n">
        <f aca="false">MIN(H3:H17)</f>
        <v>8.5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12.25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2450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G18" activeCellId="0" sqref="G18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110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111</v>
      </c>
      <c r="C3" s="9" t="s">
        <v>11</v>
      </c>
      <c r="D3" s="10" t="n">
        <v>200</v>
      </c>
      <c r="E3" s="11" t="n">
        <f aca="false">IF(C20&lt;=25%,D20,MIN(E20:F20))</f>
        <v>5.98</v>
      </c>
      <c r="F3" s="11" t="n">
        <f aca="false">MIN(H3:H17)</f>
        <v>4.36</v>
      </c>
      <c r="G3" s="12" t="s">
        <v>12</v>
      </c>
      <c r="H3" s="13" t="n">
        <v>9.9</v>
      </c>
      <c r="I3" s="14" t="str">
        <f aca="false">IF(H3="","",(IF($C$20&lt;25%,"N/A",IF(H3&lt;=($D$20+$A$20),H3,"Descartado"))))</f>
        <v>Descartado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83</v>
      </c>
      <c r="H4" s="13" t="n">
        <f aca="false">3000/500</f>
        <v>6</v>
      </c>
      <c r="I4" s="14" t="n">
        <f aca="false">IF(H4="","",(IF($C$20&lt;25%,"N/A",IF(H4&lt;=($D$20+$A$20),H4,"Descartado"))))</f>
        <v>6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84</v>
      </c>
      <c r="H5" s="13" t="n">
        <f aca="false">4755/500</f>
        <v>9.51</v>
      </c>
      <c r="I5" s="14" t="str">
        <f aca="false">IF(H5="","",(IF($C$20&lt;25%,"N/A",IF(H5&lt;=($D$20+$A$20),H5,"Descartado"))))</f>
        <v>Descartado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80</v>
      </c>
      <c r="H6" s="13" t="n">
        <f aca="false">3000/500</f>
        <v>6</v>
      </c>
      <c r="I6" s="14" t="n">
        <f aca="false">IF(H6="","",(IF($C$20&lt;25%,"N/A",IF(H6&lt;=($D$20+$A$20),H6,"Descartado"))))</f>
        <v>6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57</v>
      </c>
      <c r="H7" s="13" t="n">
        <f aca="false">3825/500</f>
        <v>7.65</v>
      </c>
      <c r="I7" s="14" t="n">
        <f aca="false">IF(H7="","",(IF($C$20&lt;25%,"N/A",IF(H7&lt;=($D$20+$A$20),H7,"Descartado"))))</f>
        <v>7.65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67</v>
      </c>
      <c r="H8" s="13" t="n">
        <f aca="false">4755/500</f>
        <v>9.51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19</v>
      </c>
      <c r="H9" s="13" t="n">
        <f aca="false">3000/500</f>
        <v>6</v>
      </c>
      <c r="I9" s="14" t="n">
        <f aca="false">IF(H9="","",(IF($C$20&lt;25%,"N/A",IF(H9&lt;=($D$20+$A$20),H9,"Descartado"))))</f>
        <v>6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65</v>
      </c>
      <c r="H10" s="13" t="n">
        <f aca="false">3500/500</f>
        <v>7</v>
      </c>
      <c r="I10" s="14" t="n">
        <f aca="false">IF(H10="","",(IF($C$20&lt;25%,"N/A",IF(H10&lt;=($D$20+$A$20),H10,"Descartado"))))</f>
        <v>7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15</v>
      </c>
      <c r="H11" s="13" t="n">
        <f aca="false">3000/500</f>
        <v>6</v>
      </c>
      <c r="I11" s="14" t="n">
        <f aca="false">IF(H11="","",(IF($C$20&lt;25%,"N/A",IF(H11&lt;=($D$20+$A$20),H11,"Descartado"))))</f>
        <v>6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85</v>
      </c>
      <c r="H12" s="13" t="n">
        <f aca="false">2200/500</f>
        <v>4.4</v>
      </c>
      <c r="I12" s="14" t="n">
        <f aca="false">IF(H12="","",(IF($C$20&lt;25%,"N/A",IF(H12&lt;=($D$20+$A$20),H12,"Descartado"))))</f>
        <v>4.4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86</v>
      </c>
      <c r="H13" s="13" t="n">
        <f aca="false">3220/500</f>
        <v>6.44</v>
      </c>
      <c r="I13" s="14" t="n">
        <f aca="false">IF(H13="","",(IF($C$20&lt;25%,"N/A",IF(H13&lt;=($D$20+$A$20),H13,"Descartado"))))</f>
        <v>6.44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87</v>
      </c>
      <c r="H14" s="13" t="n">
        <f aca="false">2180/500</f>
        <v>4.36</v>
      </c>
      <c r="I14" s="14" t="n">
        <f aca="false">IF(H14="","",(IF($C$20&lt;25%,"N/A",IF(H14&lt;=($D$20+$A$20),H14,"Descartado"))))</f>
        <v>4.36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 t="s">
        <v>49</v>
      </c>
      <c r="H15" s="13" t="n">
        <f aca="false">2650/500</f>
        <v>5.3</v>
      </c>
      <c r="I15" s="14" t="n">
        <f aca="false">IF(H15="","",(IF($C$20&lt;25%,"N/A",IF(H15&lt;=($D$20+$A$20),H15,"Descartado"))))</f>
        <v>5.3</v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 t="s">
        <v>89</v>
      </c>
      <c r="H16" s="13" t="n">
        <f aca="false">2805/500</f>
        <v>5.61</v>
      </c>
      <c r="I16" s="14" t="n">
        <f aca="false">IF(H16="","",(IF($C$20&lt;25%,"N/A",IF(H16&lt;=($D$20+$A$20),H16,"Descartado"))))</f>
        <v>5.61</v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42" t="s">
        <v>23</v>
      </c>
      <c r="H17" s="13" t="n">
        <v>6.95</v>
      </c>
      <c r="I17" s="14" t="n">
        <f aca="false">IF(H17="","",(IF($C$20&lt;25%,"N/A",IF(H17&lt;=($D$20+$A$20),H17,"Descartado"))))</f>
        <v>6.95</v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1.75310690190981</v>
      </c>
      <c r="B20" s="25" t="n">
        <f aca="false">COUNT(H3:H17)</f>
        <v>15</v>
      </c>
      <c r="C20" s="26" t="n">
        <f aca="false">IF(B20&lt;2,"N/A",(A20/D20))</f>
        <v>0.261267794621432</v>
      </c>
      <c r="D20" s="27" t="n">
        <f aca="false">ROUND(AVERAGE(H3:H17),2)</f>
        <v>6.71</v>
      </c>
      <c r="E20" s="28" t="n">
        <f aca="false">IFERROR(ROUND(IF(B20&lt;2,"N/A",(IF(C20&lt;=25%,"N/A",AVERAGE(I3:I17)))),2),"N/A")</f>
        <v>5.98</v>
      </c>
      <c r="F20" s="28" t="n">
        <f aca="false">ROUND(MEDIAN(H3:H17),2)</f>
        <v>6</v>
      </c>
      <c r="G20" s="29" t="str">
        <f aca="false">INDEX(G3:G17,MATCH(H20,H3:H17,0))</f>
        <v>VIVA - GRAFICA E EDITORA LTDA</v>
      </c>
      <c r="H20" s="30" t="n">
        <f aca="false">MIN(H3:H17)</f>
        <v>4.36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5.98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1196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D1" colorId="64" zoomScale="100" zoomScaleNormal="100" zoomScalePageLayoutView="100" workbookViewId="0">
      <selection pane="topLeft" activeCell="G5" activeCellId="0" sqref="G5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112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113</v>
      </c>
      <c r="C3" s="9" t="s">
        <v>11</v>
      </c>
      <c r="D3" s="10" t="n">
        <v>100</v>
      </c>
      <c r="E3" s="11" t="n">
        <f aca="false">IF(C20&lt;=25%,D20,MIN(E20:F20))</f>
        <v>13.76</v>
      </c>
      <c r="F3" s="11" t="n">
        <f aca="false">MIN(H3:H17)</f>
        <v>11.61</v>
      </c>
      <c r="G3" s="12" t="s">
        <v>12</v>
      </c>
      <c r="H3" s="13" t="n">
        <v>15.9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23</v>
      </c>
      <c r="H4" s="13" t="n">
        <v>11.61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3.03348809129029</v>
      </c>
      <c r="B20" s="25" t="n">
        <f aca="false">COUNT(H3:H17)</f>
        <v>2</v>
      </c>
      <c r="C20" s="26" t="n">
        <f aca="false">IF(B20&lt;2,"N/A",(A20/D20))</f>
        <v>0.220456983378655</v>
      </c>
      <c r="D20" s="27" t="n">
        <f aca="false">ROUND(AVERAGE(H3:H17),2)</f>
        <v>13.76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13.76</v>
      </c>
      <c r="G20" s="29" t="str">
        <f aca="false">INDEX(G3:G17,MATCH(H20,H3:H17,0))</f>
        <v>EMPRESA GRÁFICA DA BAHIA – EGBA</v>
      </c>
      <c r="H20" s="30" t="n">
        <f aca="false">MIN(H3:H17)</f>
        <v>11.61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13.76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1376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G5" activeCellId="0" sqref="G5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114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115</v>
      </c>
      <c r="C3" s="9" t="s">
        <v>102</v>
      </c>
      <c r="D3" s="10" t="n">
        <v>8000</v>
      </c>
      <c r="E3" s="11" t="n">
        <f aca="false">IF(C20&lt;=25%,D20,MIN(E20:F20))</f>
        <v>0.15</v>
      </c>
      <c r="F3" s="11" t="n">
        <f aca="false">MIN(H3:H17)</f>
        <v>0.1</v>
      </c>
      <c r="G3" s="12" t="s">
        <v>12</v>
      </c>
      <c r="H3" s="13" t="n">
        <v>0.2</v>
      </c>
      <c r="I3" s="14" t="n">
        <f aca="false">IF(H3="","",(IF($C$20&lt;25%,"N/A",IF(H3&lt;=($D$20+$A$20),H3,"Descartado"))))</f>
        <v>0.2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23</v>
      </c>
      <c r="H4" s="13" t="n">
        <v>0.1</v>
      </c>
      <c r="I4" s="14" t="n">
        <f aca="false">IF(H4="","",(IF($C$20&lt;25%,"N/A",IF(H4&lt;=($D$20+$A$20),H4,"Descartado"))))</f>
        <v>0.1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0.0707106781186548</v>
      </c>
      <c r="B20" s="25" t="n">
        <f aca="false">COUNT(H3:H17)</f>
        <v>2</v>
      </c>
      <c r="C20" s="26" t="n">
        <f aca="false">IF(B20&lt;2,"N/A",(A20/D20))</f>
        <v>0.471404520791032</v>
      </c>
      <c r="D20" s="27" t="n">
        <f aca="false">ROUND(AVERAGE(H3:H17),2)</f>
        <v>0.15</v>
      </c>
      <c r="E20" s="28" t="n">
        <f aca="false">IFERROR(ROUND(IF(B20&lt;2,"N/A",(IF(C20&lt;=25%,"N/A",AVERAGE(I3:I17)))),2),"N/A")</f>
        <v>0.15</v>
      </c>
      <c r="F20" s="28" t="n">
        <f aca="false">ROUND(MEDIAN(H3:H17),2)</f>
        <v>0.15</v>
      </c>
      <c r="G20" s="29" t="str">
        <f aca="false">INDEX(G3:G17,MATCH(H20,H3:H17,0))</f>
        <v>EMPRESA GRÁFICA DA BAHIA – EGBA</v>
      </c>
      <c r="H20" s="30" t="n">
        <f aca="false">MIN(H3:H17)</f>
        <v>0.1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0.15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1200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D1" colorId="64" zoomScale="100" zoomScaleNormal="100" zoomScalePageLayoutView="100" workbookViewId="0">
      <selection pane="topLeft" activeCell="G13" activeCellId="0" sqref="G13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116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117</v>
      </c>
      <c r="C3" s="9" t="s">
        <v>102</v>
      </c>
      <c r="D3" s="10" t="n">
        <v>3000</v>
      </c>
      <c r="E3" s="11" t="n">
        <f aca="false">IF(C20&lt;=25%,D20,MIN(E20:F20))</f>
        <v>0.3</v>
      </c>
      <c r="F3" s="11" t="n">
        <f aca="false">MIN(H3:H17)</f>
        <v>0.13</v>
      </c>
      <c r="G3" s="12" t="s">
        <v>12</v>
      </c>
      <c r="H3" s="13" t="n">
        <v>0.3</v>
      </c>
      <c r="I3" s="14" t="n">
        <f aca="false">IF(H3="","",(IF($C$20&lt;25%,"N/A",IF(H3&lt;=($D$20+$A$20),H3,"Descartado"))))</f>
        <v>0.3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94</v>
      </c>
      <c r="H4" s="13" t="n">
        <v>0.25</v>
      </c>
      <c r="I4" s="14" t="n">
        <f aca="false">IF(H4="","",(IF($C$20&lt;25%,"N/A",IF(H4&lt;=($D$20+$A$20),H4,"Descartado"))))</f>
        <v>0.25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95</v>
      </c>
      <c r="H5" s="13" t="n">
        <v>0.13</v>
      </c>
      <c r="I5" s="14" t="n">
        <f aca="false">IF(H5="","",(IF($C$20&lt;25%,"N/A",IF(H5&lt;=($D$20+$A$20),H5,"Descartado"))))</f>
        <v>0.13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118</v>
      </c>
      <c r="H6" s="13" t="n">
        <v>0.15</v>
      </c>
      <c r="I6" s="14" t="n">
        <f aca="false">IF(H6="","",(IF($C$20&lt;25%,"N/A",IF(H6&lt;=($D$20+$A$20),H6,"Descartado"))))</f>
        <v>0.15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65</v>
      </c>
      <c r="H7" s="13" t="n">
        <v>0.95</v>
      </c>
      <c r="I7" s="14" t="n">
        <f aca="false">IF(H7="","",(IF($C$20&lt;25%,"N/A",IF(H7&lt;=($D$20+$A$20),H7,"Descartado"))))</f>
        <v>0.95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92</v>
      </c>
      <c r="H8" s="13" t="n">
        <v>5.5</v>
      </c>
      <c r="I8" s="14" t="str">
        <f aca="false">IF(H8="","",(IF($C$20&lt;25%,"N/A",IF(H8&lt;=($D$20+$A$20),H8,"Descartado"))))</f>
        <v>Descartado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19</v>
      </c>
      <c r="H9" s="13" t="n">
        <v>1</v>
      </c>
      <c r="I9" s="14" t="n">
        <f aca="false">IF(H9="","",(IF($C$20&lt;25%,"N/A",IF(H9&lt;=($D$20+$A$20),H9,"Descartado"))))</f>
        <v>1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98</v>
      </c>
      <c r="H10" s="13" t="n">
        <v>0.21</v>
      </c>
      <c r="I10" s="14" t="n">
        <f aca="false">IF(H10="","",(IF($C$20&lt;25%,"N/A",IF(H10&lt;=($D$20+$A$20),H10,"Descartado"))))</f>
        <v>0.21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99</v>
      </c>
      <c r="H11" s="13" t="n">
        <v>0.3</v>
      </c>
      <c r="I11" s="14" t="n">
        <f aca="false">IF(H11="","",(IF($C$20&lt;25%,"N/A",IF(H11&lt;=($D$20+$A$20),H11,"Descartado"))))</f>
        <v>0.3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53</v>
      </c>
      <c r="H12" s="13" t="n">
        <v>0.92</v>
      </c>
      <c r="I12" s="14" t="n">
        <f aca="false">IF(H12="","",(IF($C$20&lt;25%,"N/A",IF(H12&lt;=($D$20+$A$20),H12,"Descartado"))))</f>
        <v>0.92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42" t="s">
        <v>23</v>
      </c>
      <c r="H13" s="13" t="n">
        <v>0.15</v>
      </c>
      <c r="I13" s="14" t="n">
        <f aca="false">IF(H13="","",(IF($C$20&lt;25%,"N/A",IF(H13&lt;=($D$20+$A$20),H13,"Descartado"))))</f>
        <v>0.15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1.56554318194851</v>
      </c>
      <c r="B20" s="25" t="n">
        <f aca="false">COUNT(H3:H17)</f>
        <v>11</v>
      </c>
      <c r="C20" s="26" t="n">
        <f aca="false">IF(B20&lt;2,"N/A",(A20/D20))</f>
        <v>1.73949242438723</v>
      </c>
      <c r="D20" s="27" t="n">
        <f aca="false">ROUND(AVERAGE(H3:H17),2)</f>
        <v>0.9</v>
      </c>
      <c r="E20" s="28" t="n">
        <f aca="false">IFERROR(ROUND(IF(B20&lt;2,"N/A",(IF(C20&lt;=25%,"N/A",AVERAGE(I3:I17)))),2),"N/A")</f>
        <v>0.44</v>
      </c>
      <c r="F20" s="28" t="n">
        <f aca="false">ROUND(MEDIAN(H3:H17),2)</f>
        <v>0.3</v>
      </c>
      <c r="G20" s="29" t="str">
        <f aca="false">INDEX(G3:G17,MATCH(H20,H3:H17,0))</f>
        <v>J.F. GRAFICA E EDICOES EIRELI</v>
      </c>
      <c r="H20" s="30" t="n">
        <f aca="false">MIN(H3:H17)</f>
        <v>0.13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0.3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900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G18" activeCellId="0" sqref="G18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119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120</v>
      </c>
      <c r="C3" s="9" t="s">
        <v>11</v>
      </c>
      <c r="D3" s="10" t="n">
        <v>1000</v>
      </c>
      <c r="E3" s="11" t="n">
        <f aca="false">IF(C20&lt;=25%,D20,MIN(E20:F20))</f>
        <v>0.37</v>
      </c>
      <c r="F3" s="11" t="n">
        <f aca="false">MIN(H3:H17)</f>
        <v>0.13</v>
      </c>
      <c r="G3" s="12" t="s">
        <v>12</v>
      </c>
      <c r="H3" s="13" t="n">
        <v>0.4</v>
      </c>
      <c r="I3" s="14" t="n">
        <f aca="false">IF(H3="","",(IF($C$20&lt;25%,"N/A",IF(H3&lt;=($D$20+$A$20),H3,"Descartado"))))</f>
        <v>0.4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83</v>
      </c>
      <c r="H4" s="13" t="n">
        <f aca="false">500/1000</f>
        <v>0.5</v>
      </c>
      <c r="I4" s="14" t="n">
        <f aca="false">IF(H4="","",(IF($C$20&lt;25%,"N/A",IF(H4&lt;=($D$20+$A$20),H4,"Descartado"))))</f>
        <v>0.5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84</v>
      </c>
      <c r="H5" s="13" t="n">
        <f aca="false">500/1000</f>
        <v>0.5</v>
      </c>
      <c r="I5" s="14" t="n">
        <f aca="false">IF(H5="","",(IF($C$20&lt;25%,"N/A",IF(H5&lt;=($D$20+$A$20),H5,"Descartado"))))</f>
        <v>0.5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80</v>
      </c>
      <c r="H6" s="13" t="n">
        <f aca="false">240/1000</f>
        <v>0.24</v>
      </c>
      <c r="I6" s="14" t="n">
        <f aca="false">IF(H6="","",(IF($C$20&lt;25%,"N/A",IF(H6&lt;=($D$20+$A$20),H6,"Descartado"))))</f>
        <v>0.24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57</v>
      </c>
      <c r="H7" s="13" t="n">
        <f aca="false">490/1000</f>
        <v>0.49</v>
      </c>
      <c r="I7" s="14" t="n">
        <f aca="false">IF(H7="","",(IF($C$20&lt;25%,"N/A",IF(H7&lt;=($D$20+$A$20),H7,"Descartado"))))</f>
        <v>0.49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67</v>
      </c>
      <c r="H8" s="13" t="n">
        <f aca="false">500/1000</f>
        <v>0.5</v>
      </c>
      <c r="I8" s="14" t="n">
        <f aca="false">IF(H8="","",(IF($C$20&lt;25%,"N/A",IF(H8&lt;=($D$20+$A$20),H8,"Descartado"))))</f>
        <v>0.5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19</v>
      </c>
      <c r="H9" s="13" t="n">
        <f aca="false">130/1000</f>
        <v>0.13</v>
      </c>
      <c r="I9" s="14" t="n">
        <f aca="false">IF(H9="","",(IF($C$20&lt;25%,"N/A",IF(H9&lt;=($D$20+$A$20),H9,"Descartado"))))</f>
        <v>0.13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65</v>
      </c>
      <c r="H10" s="13" t="n">
        <f aca="false">500/1000</f>
        <v>0.5</v>
      </c>
      <c r="I10" s="14" t="n">
        <f aca="false">IF(H10="","",(IF($C$20&lt;25%,"N/A",IF(H10&lt;=($D$20+$A$20),H10,"Descartado"))))</f>
        <v>0.5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15</v>
      </c>
      <c r="H11" s="13" t="n">
        <f aca="false">500/1000</f>
        <v>0.5</v>
      </c>
      <c r="I11" s="14" t="n">
        <f aca="false">IF(H11="","",(IF($C$20&lt;25%,"N/A",IF(H11&lt;=($D$20+$A$20),H11,"Descartado"))))</f>
        <v>0.5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85</v>
      </c>
      <c r="H12" s="13" t="n">
        <f aca="false">200/1000</f>
        <v>0.2</v>
      </c>
      <c r="I12" s="14" t="n">
        <f aca="false">IF(H12="","",(IF($C$20&lt;25%,"N/A",IF(H12&lt;=($D$20+$A$20),H12,"Descartado"))))</f>
        <v>0.2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87</v>
      </c>
      <c r="H13" s="13" t="n">
        <f aca="false">400/1000</f>
        <v>0.4</v>
      </c>
      <c r="I13" s="14" t="n">
        <f aca="false">IF(H13="","",(IF($C$20&lt;25%,"N/A",IF(H13&lt;=($D$20+$A$20),H13,"Descartado"))))</f>
        <v>0.4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88</v>
      </c>
      <c r="H14" s="13" t="n">
        <f aca="false">430/1000</f>
        <v>0.43</v>
      </c>
      <c r="I14" s="14" t="n">
        <f aca="false">IF(H14="","",(IF($C$20&lt;25%,"N/A",IF(H14&lt;=($D$20+$A$20),H14,"Descartado"))))</f>
        <v>0.43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 t="s">
        <v>49</v>
      </c>
      <c r="H15" s="13" t="n">
        <f aca="false">200/1000</f>
        <v>0.2</v>
      </c>
      <c r="I15" s="14" t="n">
        <f aca="false">IF(H15="","",(IF($C$20&lt;25%,"N/A",IF(H15&lt;=($D$20+$A$20),H15,"Descartado"))))</f>
        <v>0.2</v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 t="s">
        <v>89</v>
      </c>
      <c r="H16" s="13" t="n">
        <f aca="false">140/1000</f>
        <v>0.14</v>
      </c>
      <c r="I16" s="14" t="n">
        <f aca="false">IF(H16="","",(IF($C$20&lt;25%,"N/A",IF(H16&lt;=($D$20+$A$20),H16,"Descartado"))))</f>
        <v>0.14</v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42" t="s">
        <v>23</v>
      </c>
      <c r="H17" s="13" t="n">
        <v>0.57</v>
      </c>
      <c r="I17" s="14" t="str">
        <f aca="false">IF(H17="","",(IF($C$20&lt;25%,"N/A",IF(H17&lt;=($D$20+$A$20),H17,"Descartado"))))</f>
        <v>Descartado</v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0.153063945554044</v>
      </c>
      <c r="B20" s="25" t="n">
        <f aca="false">COUNT(H3:H17)</f>
        <v>15</v>
      </c>
      <c r="C20" s="26" t="n">
        <f aca="false">IF(B20&lt;2,"N/A",(A20/D20))</f>
        <v>0.402799856721169</v>
      </c>
      <c r="D20" s="27" t="n">
        <f aca="false">ROUND(AVERAGE(H3:H17),2)</f>
        <v>0.38</v>
      </c>
      <c r="E20" s="28" t="n">
        <f aca="false">IFERROR(ROUND(IF(B20&lt;2,"N/A",(IF(C20&lt;=25%,"N/A",AVERAGE(I3:I17)))),2),"N/A")</f>
        <v>0.37</v>
      </c>
      <c r="F20" s="28" t="n">
        <f aca="false">ROUND(MEDIAN(H3:H17),2)</f>
        <v>0.43</v>
      </c>
      <c r="G20" s="29" t="str">
        <f aca="false">INDEX(G3:G17,MATCH(H20,H3:H17,0))</f>
        <v>GRAFICA EDITORA FORMULARIOS CONTINUOS E ETIQUETAS F &amp; F</v>
      </c>
      <c r="H20" s="30" t="n">
        <f aca="false">MIN(H3:H17)</f>
        <v>0.13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0.37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370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G15" activeCellId="0" sqref="G15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121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122</v>
      </c>
      <c r="C3" s="9" t="s">
        <v>11</v>
      </c>
      <c r="D3" s="10" t="n">
        <v>4000</v>
      </c>
      <c r="E3" s="11" t="n">
        <f aca="false">IF(C20&lt;=25%,D20,MIN(E20:F20))</f>
        <v>1.6</v>
      </c>
      <c r="F3" s="11" t="n">
        <f aca="false">MIN(H3:H17)</f>
        <v>1</v>
      </c>
      <c r="G3" s="12" t="s">
        <v>12</v>
      </c>
      <c r="H3" s="13" t="n">
        <v>6.3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54</v>
      </c>
      <c r="H4" s="13" t="n">
        <v>1.43</v>
      </c>
      <c r="I4" s="14" t="n">
        <f aca="false">IF(H4="","",(IF($C$20&lt;25%,"N/A",IF(H4&lt;=($D$20+$A$20),H4,"Descartado"))))</f>
        <v>1.43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103</v>
      </c>
      <c r="H5" s="13" t="n">
        <v>1.68</v>
      </c>
      <c r="I5" s="14" t="n">
        <f aca="false">IF(H5="","",(IF($C$20&lt;25%,"N/A",IF(H5&lt;=($D$20+$A$20),H5,"Descartado"))))</f>
        <v>1.68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123</v>
      </c>
      <c r="H6" s="13" t="n">
        <v>1.68</v>
      </c>
      <c r="I6" s="14" t="n">
        <f aca="false">IF(H6="","",(IF($C$20&lt;25%,"N/A",IF(H6&lt;=($D$20+$A$20),H6,"Descartado"))))</f>
        <v>1.68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94</v>
      </c>
      <c r="H7" s="13" t="n">
        <v>1.4</v>
      </c>
      <c r="I7" s="14" t="n">
        <f aca="false">IF(H7="","",(IF($C$20&lt;25%,"N/A",IF(H7&lt;=($D$20+$A$20),H7,"Descartado"))))</f>
        <v>1.4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67</v>
      </c>
      <c r="H8" s="13" t="n">
        <v>1</v>
      </c>
      <c r="I8" s="14" t="n">
        <f aca="false">IF(H8="","",(IF($C$20&lt;25%,"N/A",IF(H8&lt;=($D$20+$A$20),H8,"Descartado"))))</f>
        <v>1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17</v>
      </c>
      <c r="H9" s="13" t="n">
        <v>1.68</v>
      </c>
      <c r="I9" s="14" t="n">
        <f aca="false">IF(H9="","",(IF($C$20&lt;25%,"N/A",IF(H9&lt;=($D$20+$A$20),H9,"Descartado"))))</f>
        <v>1.68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55</v>
      </c>
      <c r="H10" s="13" t="n">
        <v>1.68</v>
      </c>
      <c r="I10" s="14" t="n">
        <f aca="false">IF(H10="","",(IF($C$20&lt;25%,"N/A",IF(H10&lt;=($D$20+$A$20),H10,"Descartado"))))</f>
        <v>1.68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45</v>
      </c>
      <c r="H11" s="13" t="n">
        <v>1.59</v>
      </c>
      <c r="I11" s="14" t="n">
        <f aca="false">IF(H11="","",(IF($C$20&lt;25%,"N/A",IF(H11&lt;=($D$20+$A$20),H11,"Descartado"))))</f>
        <v>1.59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19</v>
      </c>
      <c r="H12" s="13" t="n">
        <v>1.39</v>
      </c>
      <c r="I12" s="14" t="n">
        <f aca="false">IF(H12="","",(IF($C$20&lt;25%,"N/A",IF(H12&lt;=($D$20+$A$20),H12,"Descartado"))))</f>
        <v>1.39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53</v>
      </c>
      <c r="H13" s="13" t="n">
        <v>9.99</v>
      </c>
      <c r="I13" s="14" t="str">
        <f aca="false">IF(H13="","",(IF($C$20&lt;25%,"N/A",IF(H13&lt;=($D$20+$A$20),H13,"Descartado"))))</f>
        <v>Descartado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42" t="s">
        <v>23</v>
      </c>
      <c r="H14" s="13" t="n">
        <v>2.49</v>
      </c>
      <c r="I14" s="14" t="n">
        <f aca="false">IF(H14="","",(IF($C$20&lt;25%,"N/A",IF(H14&lt;=($D$20+$A$20),H14,"Descartado"))))</f>
        <v>2.49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2.6875170189736</v>
      </c>
      <c r="B20" s="25" t="n">
        <f aca="false">COUNT(H3:H17)</f>
        <v>12</v>
      </c>
      <c r="C20" s="26" t="n">
        <f aca="false">IF(B20&lt;2,"N/A",(A20/D20))</f>
        <v>0.999076958726244</v>
      </c>
      <c r="D20" s="27" t="n">
        <f aca="false">ROUND(AVERAGE(H3:H17),2)</f>
        <v>2.69</v>
      </c>
      <c r="E20" s="28" t="n">
        <f aca="false">IFERROR(ROUND(IF(B20&lt;2,"N/A",(IF(C20&lt;=25%,"N/A",AVERAGE(I3:I17)))),2),"N/A")</f>
        <v>1.6</v>
      </c>
      <c r="F20" s="28" t="n">
        <f aca="false">ROUND(MEDIAN(H3:H17),2)</f>
        <v>1.68</v>
      </c>
      <c r="G20" s="29" t="str">
        <f aca="false">INDEX(G3:G17,MATCH(H20,H3:H17,0))</f>
        <v>A VIEIRA SERVICOS</v>
      </c>
      <c r="H20" s="30" t="n">
        <f aca="false">MIN(H3:H17)</f>
        <v>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1.6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6400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G13" activeCellId="0" sqref="G13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41</v>
      </c>
      <c r="C3" s="9" t="s">
        <v>11</v>
      </c>
      <c r="D3" s="10" t="n">
        <v>1000</v>
      </c>
      <c r="E3" s="11" t="n">
        <f aca="false">IF(C20&lt;=25%,D20,MIN(E20:F20))</f>
        <v>13.41</v>
      </c>
      <c r="F3" s="11" t="n">
        <f aca="false">MIN(H3:H17)</f>
        <v>9.92</v>
      </c>
      <c r="G3" s="12" t="s">
        <v>12</v>
      </c>
      <c r="H3" s="13" t="n">
        <v>19.8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42</v>
      </c>
      <c r="H4" s="13" t="n">
        <v>9.92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43</v>
      </c>
      <c r="H5" s="13" t="n">
        <v>10.7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44</v>
      </c>
      <c r="H6" s="13" t="n">
        <v>15.86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45</v>
      </c>
      <c r="H7" s="13" t="n">
        <v>12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46</v>
      </c>
      <c r="H8" s="13" t="n">
        <v>15.98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47</v>
      </c>
      <c r="H9" s="13" t="n">
        <v>10.65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48</v>
      </c>
      <c r="H10" s="13" t="n">
        <v>15.88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49</v>
      </c>
      <c r="H11" s="13" t="n">
        <v>12</v>
      </c>
      <c r="I11" s="14" t="str">
        <f aca="false">IF(H11="","",(IF($C$20&lt;25%,"N/A",IF(H11&lt;=($D$20+$A$20),H11,"Descartado"))))</f>
        <v>N/A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42" t="s">
        <v>23</v>
      </c>
      <c r="H12" s="13" t="n">
        <v>11.34</v>
      </c>
      <c r="I12" s="14" t="str">
        <f aca="false">IF(H12="","",(IF($C$20&lt;25%,"N/A",IF(H12&lt;=($D$20+$A$20),H12,"Descartado"))))</f>
        <v>N/A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3.24796021458939</v>
      </c>
      <c r="B20" s="25" t="n">
        <f aca="false">COUNT(H3:H17)</f>
        <v>10</v>
      </c>
      <c r="C20" s="26" t="n">
        <f aca="false">IF(B20&lt;2,"N/A",(A20/D20))</f>
        <v>0.242204341132691</v>
      </c>
      <c r="D20" s="27" t="n">
        <f aca="false">ROUND(AVERAGE(H3:H17),2)</f>
        <v>13.41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12</v>
      </c>
      <c r="G20" s="29" t="str">
        <f aca="false">INDEX(G3:G17,MATCH(H20,H3:H17,0))</f>
        <v>CALGAN EDITORA GRAFICA LTDA</v>
      </c>
      <c r="H20" s="30" t="n">
        <f aca="false">MIN(H3:H17)</f>
        <v>9.92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13.41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13410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G17" activeCellId="0" sqref="G17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124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125</v>
      </c>
      <c r="C3" s="9" t="s">
        <v>11</v>
      </c>
      <c r="D3" s="10" t="n">
        <v>10000</v>
      </c>
      <c r="E3" s="11" t="n">
        <f aca="false">IF(C20&lt;=25%,D20,MIN(E20:F20))</f>
        <v>1.38</v>
      </c>
      <c r="F3" s="11" t="n">
        <f aca="false">MIN(H3:H17)</f>
        <v>0.76</v>
      </c>
      <c r="G3" s="12" t="s">
        <v>12</v>
      </c>
      <c r="H3" s="13" t="n">
        <v>6.1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126</v>
      </c>
      <c r="H4" s="13" t="n">
        <v>1.09</v>
      </c>
      <c r="I4" s="14" t="n">
        <f aca="false">IF(H4="","",(IF($C$20&lt;25%,"N/A",IF(H4&lt;=($D$20+$A$20),H4,"Descartado"))))</f>
        <v>1.09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103</v>
      </c>
      <c r="H5" s="13" t="n">
        <v>1.38</v>
      </c>
      <c r="I5" s="14" t="n">
        <f aca="false">IF(H5="","",(IF($C$20&lt;25%,"N/A",IF(H5&lt;=($D$20+$A$20),H5,"Descartado"))))</f>
        <v>1.38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127</v>
      </c>
      <c r="H6" s="13" t="n">
        <v>1.38</v>
      </c>
      <c r="I6" s="14" t="n">
        <f aca="false">IF(H6="","",(IF($C$20&lt;25%,"N/A",IF(H6&lt;=($D$20+$A$20),H6,"Descartado"))))</f>
        <v>1.38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128</v>
      </c>
      <c r="H7" s="13" t="n">
        <v>1.1</v>
      </c>
      <c r="I7" s="14" t="n">
        <f aca="false">IF(H7="","",(IF($C$20&lt;25%,"N/A",IF(H7&lt;=($D$20+$A$20),H7,"Descartado"))))</f>
        <v>1.1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42</v>
      </c>
      <c r="H8" s="13" t="n">
        <v>0.76</v>
      </c>
      <c r="I8" s="14" t="n">
        <f aca="false">IF(H8="","",(IF($C$20&lt;25%,"N/A",IF(H8&lt;=($D$20+$A$20),H8,"Descartado"))))</f>
        <v>0.76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1.37</v>
      </c>
      <c r="I9" s="14" t="n">
        <f aca="false">IF(H9="","",(IF($C$20&lt;25%,"N/A",IF(H9&lt;=($D$20+$A$20),H9,"Descartado"))))</f>
        <v>1.37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46</v>
      </c>
      <c r="H10" s="13" t="n">
        <v>1.38</v>
      </c>
      <c r="I10" s="14" t="n">
        <f aca="false">IF(H10="","",(IF($C$20&lt;25%,"N/A",IF(H10&lt;=($D$20+$A$20),H10,"Descartado"))))</f>
        <v>1.38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47</v>
      </c>
      <c r="H11" s="13" t="n">
        <v>0.78</v>
      </c>
      <c r="I11" s="14" t="n">
        <f aca="false">IF(H11="","",(IF($C$20&lt;25%,"N/A",IF(H11&lt;=($D$20+$A$20),H11,"Descartado"))))</f>
        <v>0.78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129</v>
      </c>
      <c r="H12" s="13" t="n">
        <v>1.05</v>
      </c>
      <c r="I12" s="14" t="n">
        <f aca="false">IF(H12="","",(IF($C$20&lt;25%,"N/A",IF(H12&lt;=($D$20+$A$20),H12,"Descartado"))))</f>
        <v>1.05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130</v>
      </c>
      <c r="H13" s="13" t="n">
        <v>2.6</v>
      </c>
      <c r="I13" s="14" t="n">
        <f aca="false">IF(H13="","",(IF($C$20&lt;25%,"N/A",IF(H13&lt;=($D$20+$A$20),H13,"Descartado"))))</f>
        <v>2.6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 t="s">
        <v>131</v>
      </c>
      <c r="H14" s="13" t="n">
        <v>2.88</v>
      </c>
      <c r="I14" s="14" t="n">
        <f aca="false">IF(H14="","",(IF($C$20&lt;25%,"N/A",IF(H14&lt;=($D$20+$A$20),H14,"Descartado"))))</f>
        <v>2.88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 t="s">
        <v>132</v>
      </c>
      <c r="H15" s="13" t="n">
        <v>2.89</v>
      </c>
      <c r="I15" s="14" t="n">
        <f aca="false">IF(H15="","",(IF($C$20&lt;25%,"N/A",IF(H15&lt;=($D$20+$A$20),H15,"Descartado"))))</f>
        <v>2.89</v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 t="s">
        <v>133</v>
      </c>
      <c r="H16" s="13" t="n">
        <v>3</v>
      </c>
      <c r="I16" s="14" t="n">
        <f aca="false">IF(H16="","",(IF($C$20&lt;25%,"N/A",IF(H16&lt;=($D$20+$A$20),H16,"Descartado"))))</f>
        <v>3</v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42" t="s">
        <v>23</v>
      </c>
      <c r="H17" s="13" t="n">
        <v>1.08</v>
      </c>
      <c r="I17" s="14" t="n">
        <f aca="false">IF(H17="","",(IF($C$20&lt;25%,"N/A",IF(H17&lt;=($D$20+$A$20),H17,"Descartado"))))</f>
        <v>1.08</v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1.40432732583797</v>
      </c>
      <c r="B20" s="25" t="n">
        <f aca="false">COUNT(H3:H17)</f>
        <v>15</v>
      </c>
      <c r="C20" s="26" t="n">
        <f aca="false">IF(B20&lt;2,"N/A",(A20/D20))</f>
        <v>0.731420482207279</v>
      </c>
      <c r="D20" s="27" t="n">
        <f aca="false">ROUND(AVERAGE(H3:H17),2)</f>
        <v>1.92</v>
      </c>
      <c r="E20" s="28" t="n">
        <f aca="false">IFERROR(ROUND(IF(B20&lt;2,"N/A",(IF(C20&lt;=25%,"N/A",AVERAGE(I3:I17)))),2),"N/A")</f>
        <v>1.62</v>
      </c>
      <c r="F20" s="28" t="n">
        <f aca="false">ROUND(MEDIAN(H3:H17),2)</f>
        <v>1.38</v>
      </c>
      <c r="G20" s="29" t="str">
        <f aca="false">INDEX(G3:G17,MATCH(H20,H3:H17,0))</f>
        <v>CALGAN EDITORA GRAFICA LTDA</v>
      </c>
      <c r="H20" s="30" t="n">
        <f aca="false">MIN(H3:H17)</f>
        <v>0.76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1.38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13800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D1" colorId="64" zoomScale="100" zoomScaleNormal="100" zoomScalePageLayoutView="100" workbookViewId="0">
      <selection pane="topLeft" activeCell="G18" activeCellId="0" sqref="G18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134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135</v>
      </c>
      <c r="C3" s="9" t="s">
        <v>11</v>
      </c>
      <c r="D3" s="10" t="n">
        <v>4000</v>
      </c>
      <c r="E3" s="11" t="n">
        <f aca="false">IF(C20&lt;=25%,D20,MIN(E20:F20))</f>
        <v>1.87</v>
      </c>
      <c r="F3" s="11" t="n">
        <f aca="false">MIN(H3:H17)</f>
        <v>0.2</v>
      </c>
      <c r="G3" s="12" t="s">
        <v>12</v>
      </c>
      <c r="H3" s="13" t="n">
        <v>1.5</v>
      </c>
      <c r="I3" s="14" t="n">
        <f aca="false">IF(H3="","",(IF($C$20&lt;25%,"N/A",IF(H3&lt;=($D$20+$A$20),H3,"Descartado"))))</f>
        <v>1.5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136</v>
      </c>
      <c r="H4" s="13" t="n">
        <v>1.5</v>
      </c>
      <c r="I4" s="14" t="n">
        <f aca="false">IF(H4="","",(IF($C$20&lt;25%,"N/A",IF(H4&lt;=($D$20+$A$20),H4,"Descartado"))))</f>
        <v>1.5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137</v>
      </c>
      <c r="H5" s="13" t="n">
        <v>1.49</v>
      </c>
      <c r="I5" s="14" t="n">
        <f aca="false">IF(H5="","",(IF($C$20&lt;25%,"N/A",IF(H5&lt;=($D$20+$A$20),H5,"Descartado"))))</f>
        <v>1.49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138</v>
      </c>
      <c r="H6" s="13" t="n">
        <v>0.2</v>
      </c>
      <c r="I6" s="14" t="n">
        <f aca="false">IF(H6="","",(IF($C$20&lt;25%,"N/A",IF(H6&lt;=($D$20+$A$20),H6,"Descartado"))))</f>
        <v>0.2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49</v>
      </c>
      <c r="H7" s="13" t="n">
        <v>1.6</v>
      </c>
      <c r="I7" s="14" t="n">
        <f aca="false">IF(H7="","",(IF($C$20&lt;25%,"N/A",IF(H7&lt;=($D$20+$A$20),H7,"Descartado"))))</f>
        <v>1.6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0.5</v>
      </c>
      <c r="I8" s="14" t="n">
        <f aca="false">IF(H8="","",(IF($C$20&lt;25%,"N/A",IF(H8&lt;=($D$20+$A$20),H8,"Descartado"))))</f>
        <v>0.5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65</v>
      </c>
      <c r="H9" s="13" t="n">
        <v>3</v>
      </c>
      <c r="I9" s="14" t="n">
        <f aca="false">IF(H9="","",(IF($C$20&lt;25%,"N/A",IF(H9&lt;=($D$20+$A$20),H9,"Descartado"))))</f>
        <v>3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94</v>
      </c>
      <c r="H10" s="13" t="n">
        <v>3</v>
      </c>
      <c r="I10" s="14" t="n">
        <f aca="false">IF(H10="","",(IF($C$20&lt;25%,"N/A",IF(H10&lt;=($D$20+$A$20),H10,"Descartado"))))</f>
        <v>3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95</v>
      </c>
      <c r="H11" s="13" t="n">
        <v>2.5</v>
      </c>
      <c r="I11" s="14" t="n">
        <f aca="false">IF(H11="","",(IF($C$20&lt;25%,"N/A",IF(H11&lt;=($D$20+$A$20),H11,"Descartado"))))</f>
        <v>2.5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139</v>
      </c>
      <c r="H12" s="13" t="n">
        <v>5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19</v>
      </c>
      <c r="H13" s="13" t="n">
        <v>2.43</v>
      </c>
      <c r="I13" s="14" t="n">
        <f aca="false">IF(H13="","",(IF($C$20&lt;25%,"N/A",IF(H13&lt;=($D$20+$A$20),H13,"Descartado"))))</f>
        <v>2.43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92</v>
      </c>
      <c r="H14" s="13" t="n">
        <v>5</v>
      </c>
      <c r="I14" s="14" t="str">
        <f aca="false">IF(H14="","",(IF($C$20&lt;25%,"N/A",IF(H14&lt;=($D$20+$A$20),H14,"Descartado"))))</f>
        <v>Descartado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 t="s">
        <v>98</v>
      </c>
      <c r="H15" s="13" t="n">
        <v>2.92</v>
      </c>
      <c r="I15" s="14" t="n">
        <f aca="false">IF(H15="","",(IF($C$20&lt;25%,"N/A",IF(H15&lt;=($D$20+$A$20),H15,"Descartado"))))</f>
        <v>2.92</v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 t="s">
        <v>53</v>
      </c>
      <c r="H16" s="13" t="n">
        <v>2.42</v>
      </c>
      <c r="I16" s="14" t="n">
        <f aca="false">IF(H16="","",(IF($C$20&lt;25%,"N/A",IF(H16&lt;=($D$20+$A$20),H16,"Descartado"))))</f>
        <v>2.42</v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42" t="s">
        <v>23</v>
      </c>
      <c r="H17" s="13" t="n">
        <v>1.22</v>
      </c>
      <c r="I17" s="14" t="n">
        <f aca="false">IF(H17="","",(IF($C$20&lt;25%,"N/A",IF(H17&lt;=($D$20+$A$20),H17,"Descartado"))))</f>
        <v>1.22</v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1.39527194823225</v>
      </c>
      <c r="B20" s="25" t="n">
        <f aca="false">COUNT(H3:H17)</f>
        <v>15</v>
      </c>
      <c r="C20" s="26" t="n">
        <f aca="false">IF(B20&lt;2,"N/A",(A20/D20))</f>
        <v>0.609289060363426</v>
      </c>
      <c r="D20" s="27" t="n">
        <f aca="false">ROUND(AVERAGE(H3:H17),2)</f>
        <v>2.29</v>
      </c>
      <c r="E20" s="28" t="n">
        <f aca="false">IFERROR(ROUND(IF(B20&lt;2,"N/A",(IF(C20&lt;=25%,"N/A",AVERAGE(I3:I17)))),2),"N/A")</f>
        <v>1.87</v>
      </c>
      <c r="F20" s="28" t="n">
        <f aca="false">ROUND(MEDIAN(H3:H17),2)</f>
        <v>2.42</v>
      </c>
      <c r="G20" s="29" t="str">
        <f aca="false">INDEX(G3:G17,MATCH(H20,H3:H17,0))</f>
        <v>LM SERVGRAFICA E COPIADORA LTDA</v>
      </c>
      <c r="H20" s="30" t="n">
        <f aca="false">MIN(H3:H17)</f>
        <v>0.2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1.87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7480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D1" colorId="64" zoomScale="100" zoomScaleNormal="100" zoomScalePageLayoutView="100" workbookViewId="0">
      <selection pane="topLeft" activeCell="G10" activeCellId="0" sqref="G10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140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141</v>
      </c>
      <c r="C3" s="9" t="s">
        <v>11</v>
      </c>
      <c r="D3" s="10" t="n">
        <v>1000</v>
      </c>
      <c r="E3" s="11" t="n">
        <f aca="false">IF(C20&lt;=25%,D20,MIN(E20:F20))</f>
        <v>1.55</v>
      </c>
      <c r="F3" s="11" t="n">
        <f aca="false">MIN(H3:H17)</f>
        <v>1.19</v>
      </c>
      <c r="G3" s="12" t="s">
        <v>12</v>
      </c>
      <c r="H3" s="13" t="n">
        <v>1.8</v>
      </c>
      <c r="I3" s="14" t="n">
        <f aca="false">IF(H3="","",(IF($C$20&lt;25%,"N/A",IF(H3&lt;=($D$20+$A$20),H3,"Descartado"))))</f>
        <v>1.8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103</v>
      </c>
      <c r="H4" s="13" t="n">
        <v>1.59</v>
      </c>
      <c r="I4" s="14" t="n">
        <f aca="false">IF(H4="","",(IF($C$20&lt;25%,"N/A",IF(H4&lt;=($D$20+$A$20),H4,"Descartado"))))</f>
        <v>1.59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52</v>
      </c>
      <c r="H5" s="13" t="n">
        <v>1.59</v>
      </c>
      <c r="I5" s="14" t="n">
        <f aca="false">IF(H5="","",(IF($C$20&lt;25%,"N/A",IF(H5&lt;=($D$20+$A$20),H5,"Descartado"))))</f>
        <v>1.59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123</v>
      </c>
      <c r="H6" s="13" t="n">
        <v>1.59</v>
      </c>
      <c r="I6" s="14" t="n">
        <f aca="false">IF(H6="","",(IF($C$20&lt;25%,"N/A",IF(H6&lt;=($D$20+$A$20),H6,"Descartado"))))</f>
        <v>1.59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94</v>
      </c>
      <c r="H7" s="13" t="n">
        <v>1.5</v>
      </c>
      <c r="I7" s="14" t="n">
        <f aca="false">IF(H7="","",(IF($C$20&lt;25%,"N/A",IF(H7&lt;=($D$20+$A$20),H7,"Descartado"))))</f>
        <v>1.5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1.59</v>
      </c>
      <c r="I8" s="14" t="n">
        <f aca="false">IF(H8="","",(IF($C$20&lt;25%,"N/A",IF(H8&lt;=($D$20+$A$20),H8,"Descartado"))))</f>
        <v>1.59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19</v>
      </c>
      <c r="H9" s="13" t="n">
        <v>3</v>
      </c>
      <c r="I9" s="14" t="str">
        <f aca="false">IF(H9="","",(IF($C$20&lt;25%,"N/A",IF(H9&lt;=($D$20+$A$20),H9,"Descartado"))))</f>
        <v>Descartado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42" t="s">
        <v>23</v>
      </c>
      <c r="H10" s="13" t="n">
        <v>1.19</v>
      </c>
      <c r="I10" s="14" t="n">
        <f aca="false">IF(H10="","",(IF($C$20&lt;25%,"N/A",IF(H10&lt;=($D$20+$A$20),H10,"Descartado"))))</f>
        <v>1.19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0.539932204738971</v>
      </c>
      <c r="B20" s="25" t="n">
        <f aca="false">COUNT(H3:H17)</f>
        <v>8</v>
      </c>
      <c r="C20" s="26" t="n">
        <f aca="false">IF(B20&lt;2,"N/A",(A20/D20))</f>
        <v>0.312099540311544</v>
      </c>
      <c r="D20" s="27" t="n">
        <f aca="false">ROUND(AVERAGE(H3:H17),2)</f>
        <v>1.73</v>
      </c>
      <c r="E20" s="28" t="n">
        <f aca="false">IFERROR(ROUND(IF(B20&lt;2,"N/A",(IF(C20&lt;=25%,"N/A",AVERAGE(I3:I17)))),2),"N/A")</f>
        <v>1.55</v>
      </c>
      <c r="F20" s="28" t="n">
        <f aca="false">ROUND(MEDIAN(H3:H17),2)</f>
        <v>1.59</v>
      </c>
      <c r="G20" s="29" t="str">
        <f aca="false">INDEX(G3:G17,MATCH(H20,H3:H17,0))</f>
        <v>EMPRESA GRÁFICA DA BAHIA – EGBA</v>
      </c>
      <c r="H20" s="30" t="n">
        <f aca="false">MIN(H3:H17)</f>
        <v>1.19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1.55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1550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D1" colorId="64" zoomScale="100" zoomScaleNormal="100" zoomScalePageLayoutView="100" workbookViewId="0">
      <selection pane="topLeft" activeCell="G18" activeCellId="0" sqref="G18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142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143</v>
      </c>
      <c r="C3" s="9" t="s">
        <v>11</v>
      </c>
      <c r="D3" s="10" t="n">
        <v>1000</v>
      </c>
      <c r="E3" s="11" t="n">
        <f aca="false">IF(C20&lt;=25%,D20,MIN(E20:F20))</f>
        <v>1.85</v>
      </c>
      <c r="F3" s="11" t="n">
        <f aca="false">MIN(H3:H17)</f>
        <v>0.2</v>
      </c>
      <c r="G3" s="12" t="s">
        <v>12</v>
      </c>
      <c r="H3" s="13" t="n">
        <v>1.5</v>
      </c>
      <c r="I3" s="14" t="n">
        <f aca="false">IF(H3="","",(IF($C$20&lt;25%,"N/A",IF(H3&lt;=($D$20+$A$20),H3,"Descartado"))))</f>
        <v>1.5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136</v>
      </c>
      <c r="H4" s="13" t="n">
        <v>1.5</v>
      </c>
      <c r="I4" s="14" t="n">
        <f aca="false">IF(H4="","",(IF($C$20&lt;25%,"N/A",IF(H4&lt;=($D$20+$A$20),H4,"Descartado"))))</f>
        <v>1.5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137</v>
      </c>
      <c r="H5" s="13" t="n">
        <v>1.49</v>
      </c>
      <c r="I5" s="14" t="n">
        <f aca="false">IF(H5="","",(IF($C$20&lt;25%,"N/A",IF(H5&lt;=($D$20+$A$20),H5,"Descartado"))))</f>
        <v>1.49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138</v>
      </c>
      <c r="H6" s="13" t="n">
        <v>0.2</v>
      </c>
      <c r="I6" s="14" t="n">
        <f aca="false">IF(H6="","",(IF($C$20&lt;25%,"N/A",IF(H6&lt;=($D$20+$A$20),H6,"Descartado"))))</f>
        <v>0.2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49</v>
      </c>
      <c r="H7" s="13" t="n">
        <v>1.6</v>
      </c>
      <c r="I7" s="14" t="n">
        <f aca="false">IF(H7="","",(IF($C$20&lt;25%,"N/A",IF(H7&lt;=($D$20+$A$20),H7,"Descartado"))))</f>
        <v>1.6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0.5</v>
      </c>
      <c r="I8" s="14" t="n">
        <f aca="false">IF(H8="","",(IF($C$20&lt;25%,"N/A",IF(H8&lt;=($D$20+$A$20),H8,"Descartado"))))</f>
        <v>0.5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65</v>
      </c>
      <c r="H9" s="13" t="n">
        <v>3</v>
      </c>
      <c r="I9" s="14" t="n">
        <f aca="false">IF(H9="","",(IF($C$20&lt;25%,"N/A",IF(H9&lt;=($D$20+$A$20),H9,"Descartado"))))</f>
        <v>3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94</v>
      </c>
      <c r="H10" s="13" t="n">
        <v>3</v>
      </c>
      <c r="I10" s="14" t="n">
        <f aca="false">IF(H10="","",(IF($C$20&lt;25%,"N/A",IF(H10&lt;=($D$20+$A$20),H10,"Descartado"))))</f>
        <v>3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95</v>
      </c>
      <c r="H11" s="13" t="n">
        <v>2.5</v>
      </c>
      <c r="I11" s="14" t="n">
        <f aca="false">IF(H11="","",(IF($C$20&lt;25%,"N/A",IF(H11&lt;=($D$20+$A$20),H11,"Descartado"))))</f>
        <v>2.5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139</v>
      </c>
      <c r="H12" s="13" t="n">
        <v>5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19</v>
      </c>
      <c r="H13" s="13" t="n">
        <v>2.43</v>
      </c>
      <c r="I13" s="14" t="n">
        <f aca="false">IF(H13="","",(IF($C$20&lt;25%,"N/A",IF(H13&lt;=($D$20+$A$20),H13,"Descartado"))))</f>
        <v>2.43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92</v>
      </c>
      <c r="H14" s="13" t="n">
        <v>5</v>
      </c>
      <c r="I14" s="14" t="str">
        <f aca="false">IF(H14="","",(IF($C$20&lt;25%,"N/A",IF(H14&lt;=($D$20+$A$20),H14,"Descartado"))))</f>
        <v>Descartado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 t="s">
        <v>98</v>
      </c>
      <c r="H15" s="13" t="n">
        <v>2.92</v>
      </c>
      <c r="I15" s="14" t="n">
        <f aca="false">IF(H15="","",(IF($C$20&lt;25%,"N/A",IF(H15&lt;=($D$20+$A$20),H15,"Descartado"))))</f>
        <v>2.92</v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 t="s">
        <v>53</v>
      </c>
      <c r="H16" s="13" t="n">
        <v>2.42</v>
      </c>
      <c r="I16" s="14" t="n">
        <f aca="false">IF(H16="","",(IF($C$20&lt;25%,"N/A",IF(H16&lt;=($D$20+$A$20),H16,"Descartado"))))</f>
        <v>2.42</v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42" t="s">
        <v>23</v>
      </c>
      <c r="H17" s="13" t="n">
        <v>0.98</v>
      </c>
      <c r="I17" s="14" t="n">
        <f aca="false">IF(H17="","",(IF($C$20&lt;25%,"N/A",IF(H17&lt;=($D$20+$A$20),H17,"Descartado"))))</f>
        <v>0.98</v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1.40966291141163</v>
      </c>
      <c r="B20" s="25" t="n">
        <f aca="false">COUNT(H3:H17)</f>
        <v>15</v>
      </c>
      <c r="C20" s="26" t="n">
        <f aca="false">IF(B20&lt;2,"N/A",(A20/D20))</f>
        <v>0.620996877273848</v>
      </c>
      <c r="D20" s="27" t="n">
        <f aca="false">ROUND(AVERAGE(H3:H17),2)</f>
        <v>2.27</v>
      </c>
      <c r="E20" s="28" t="n">
        <f aca="false">IFERROR(ROUND(IF(B20&lt;2,"N/A",(IF(C20&lt;=25%,"N/A",AVERAGE(I3:I17)))),2),"N/A")</f>
        <v>1.85</v>
      </c>
      <c r="F20" s="28" t="n">
        <f aca="false">ROUND(MEDIAN(H3:H17),2)</f>
        <v>2.42</v>
      </c>
      <c r="G20" s="29" t="str">
        <f aca="false">INDEX(G3:G17,MATCH(H20,H3:H17,0))</f>
        <v>LM SERVGRAFICA E COPIADORA LTDA</v>
      </c>
      <c r="H20" s="30" t="n">
        <f aca="false">MIN(H3:H17)</f>
        <v>0.2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1.85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1850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D1" colorId="64" zoomScale="100" zoomScaleNormal="100" zoomScalePageLayoutView="100" workbookViewId="0">
      <selection pane="topLeft" activeCell="G10" activeCellId="0" sqref="G10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144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145</v>
      </c>
      <c r="C3" s="9" t="s">
        <v>11</v>
      </c>
      <c r="D3" s="10" t="n">
        <v>1000</v>
      </c>
      <c r="E3" s="11" t="n">
        <f aca="false">IF(C20&lt;=25%,D20,MIN(E20:F20))</f>
        <v>1.54</v>
      </c>
      <c r="F3" s="11" t="n">
        <f aca="false">MIN(H3:H17)</f>
        <v>1.19</v>
      </c>
      <c r="G3" s="12" t="s">
        <v>12</v>
      </c>
      <c r="H3" s="13" t="n">
        <v>1.7</v>
      </c>
      <c r="I3" s="14" t="n">
        <f aca="false">IF(H3="","",(IF($C$20&lt;25%,"N/A",IF(H3&lt;=($D$20+$A$20),H3,"Descartado"))))</f>
        <v>1.7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103</v>
      </c>
      <c r="H4" s="13" t="n">
        <v>1.59</v>
      </c>
      <c r="I4" s="14" t="n">
        <f aca="false">IF(H4="","",(IF($C$20&lt;25%,"N/A",IF(H4&lt;=($D$20+$A$20),H4,"Descartado"))))</f>
        <v>1.59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52</v>
      </c>
      <c r="H5" s="13" t="n">
        <v>1.59</v>
      </c>
      <c r="I5" s="14" t="n">
        <f aca="false">IF(H5="","",(IF($C$20&lt;25%,"N/A",IF(H5&lt;=($D$20+$A$20),H5,"Descartado"))))</f>
        <v>1.59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123</v>
      </c>
      <c r="H6" s="13" t="n">
        <v>1.59</v>
      </c>
      <c r="I6" s="14" t="n">
        <f aca="false">IF(H6="","",(IF($C$20&lt;25%,"N/A",IF(H6&lt;=($D$20+$A$20),H6,"Descartado"))))</f>
        <v>1.59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94</v>
      </c>
      <c r="H7" s="13" t="n">
        <v>1.5</v>
      </c>
      <c r="I7" s="14" t="n">
        <f aca="false">IF(H7="","",(IF($C$20&lt;25%,"N/A",IF(H7&lt;=($D$20+$A$20),H7,"Descartado"))))</f>
        <v>1.5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1.59</v>
      </c>
      <c r="I8" s="14" t="n">
        <f aca="false">IF(H8="","",(IF($C$20&lt;25%,"N/A",IF(H8&lt;=($D$20+$A$20),H8,"Descartado"))))</f>
        <v>1.59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19</v>
      </c>
      <c r="H9" s="13" t="n">
        <v>3</v>
      </c>
      <c r="I9" s="14" t="str">
        <f aca="false">IF(H9="","",(IF($C$20&lt;25%,"N/A",IF(H9&lt;=($D$20+$A$20),H9,"Descartado"))))</f>
        <v>Descartado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42" t="s">
        <v>23</v>
      </c>
      <c r="H10" s="13" t="n">
        <v>1.19</v>
      </c>
      <c r="I10" s="14" t="n">
        <f aca="false">IF(H10="","",(IF($C$20&lt;25%,"N/A",IF(H10&lt;=($D$20+$A$20),H10,"Descartado"))))</f>
        <v>1.19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0.539270340367427</v>
      </c>
      <c r="B20" s="25" t="n">
        <f aca="false">COUNT(H3:H17)</f>
        <v>8</v>
      </c>
      <c r="C20" s="26" t="n">
        <f aca="false">IF(B20&lt;2,"N/A",(A20/D20))</f>
        <v>0.31352926765548</v>
      </c>
      <c r="D20" s="27" t="n">
        <f aca="false">ROUND(AVERAGE(H3:H17),2)</f>
        <v>1.72</v>
      </c>
      <c r="E20" s="28" t="n">
        <f aca="false">IFERROR(ROUND(IF(B20&lt;2,"N/A",(IF(C20&lt;=25%,"N/A",AVERAGE(I3:I17)))),2),"N/A")</f>
        <v>1.54</v>
      </c>
      <c r="F20" s="28" t="n">
        <f aca="false">ROUND(MEDIAN(H3:H17),2)</f>
        <v>1.59</v>
      </c>
      <c r="G20" s="29" t="str">
        <f aca="false">INDEX(G3:G17,MATCH(H20,H3:H17,0))</f>
        <v>EMPRESA GRÁFICA DA BAHIA – EGBA</v>
      </c>
      <c r="H20" s="30" t="n">
        <f aca="false">MIN(H3:H17)</f>
        <v>1.19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1.54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1540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D1" colorId="64" zoomScale="100" zoomScaleNormal="100" zoomScalePageLayoutView="100" workbookViewId="0">
      <selection pane="topLeft" activeCell="G18" activeCellId="0" sqref="G18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146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147</v>
      </c>
      <c r="C3" s="9" t="s">
        <v>11</v>
      </c>
      <c r="D3" s="10" t="n">
        <v>1000</v>
      </c>
      <c r="E3" s="11" t="n">
        <f aca="false">IF(C20&lt;=25%,D20,MIN(E20:F20))</f>
        <v>1.74</v>
      </c>
      <c r="F3" s="11" t="n">
        <f aca="false">MIN(H3:H17)</f>
        <v>0.48</v>
      </c>
      <c r="G3" s="12" t="s">
        <v>12</v>
      </c>
      <c r="H3" s="13" t="n">
        <v>1.65</v>
      </c>
      <c r="I3" s="14" t="n">
        <f aca="false">IF(H3="","",(IF($C$20&lt;25%,"N/A",IF(H3&lt;=($D$20+$A$20),H3,"Descartado"))))</f>
        <v>1.65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84</v>
      </c>
      <c r="H4" s="13" t="n">
        <f aca="false">447/100</f>
        <v>4.47</v>
      </c>
      <c r="I4" s="14" t="str">
        <f aca="false">IF(H4="","",(IF($C$20&lt;25%,"N/A",IF(H4&lt;=($D$20+$A$20),H4,"Descartado"))))</f>
        <v>Descartado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80</v>
      </c>
      <c r="H5" s="13" t="n">
        <f aca="false">280/100</f>
        <v>2.8</v>
      </c>
      <c r="I5" s="14" t="n">
        <f aca="false">IF(H5="","",(IF($C$20&lt;25%,"N/A",IF(H5&lt;=($D$20+$A$20),H5,"Descartado"))))</f>
        <v>2.8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57</v>
      </c>
      <c r="H6" s="13" t="n">
        <f aca="false">140/100</f>
        <v>1.4</v>
      </c>
      <c r="I6" s="14" t="n">
        <f aca="false">IF(H6="","",(IF($C$20&lt;25%,"N/A",IF(H6&lt;=($D$20+$A$20),H6,"Descartado"))))</f>
        <v>1.4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67</v>
      </c>
      <c r="H7" s="13" t="n">
        <f aca="false">447/100</f>
        <v>4.47</v>
      </c>
      <c r="I7" s="14" t="str">
        <f aca="false">IF(H7="","",(IF($C$20&lt;25%,"N/A",IF(H7&lt;=($D$20+$A$20),H7,"Descartado"))))</f>
        <v>Descartado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f aca="false">180/100</f>
        <v>1.8</v>
      </c>
      <c r="I8" s="14" t="n">
        <f aca="false">IF(H8="","",(IF($C$20&lt;25%,"N/A",IF(H8&lt;=($D$20+$A$20),H8,"Descartado"))))</f>
        <v>1.8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65</v>
      </c>
      <c r="H9" s="13" t="n">
        <f aca="false">440/100</f>
        <v>4.4</v>
      </c>
      <c r="I9" s="14" t="str">
        <f aca="false">IF(H9="","",(IF($C$20&lt;25%,"N/A",IF(H9&lt;=($D$20+$A$20),H9,"Descartado"))))</f>
        <v>Descartado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15</v>
      </c>
      <c r="H10" s="13" t="n">
        <f aca="false">447/100</f>
        <v>4.47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85</v>
      </c>
      <c r="H11" s="13" t="n">
        <f aca="false">200/100</f>
        <v>2</v>
      </c>
      <c r="I11" s="14" t="n">
        <f aca="false">IF(H11="","",(IF($C$20&lt;25%,"N/A",IF(H11&lt;=($D$20+$A$20),H11,"Descartado"))))</f>
        <v>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86</v>
      </c>
      <c r="H12" s="13" t="n">
        <f aca="false">447/100</f>
        <v>4.47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87</v>
      </c>
      <c r="H13" s="13" t="n">
        <f aca="false">250/100</f>
        <v>2.5</v>
      </c>
      <c r="I13" s="14" t="n">
        <f aca="false">IF(H13="","",(IF($C$20&lt;25%,"N/A",IF(H13&lt;=($D$20+$A$20),H13,"Descartado"))))</f>
        <v>2.5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88</v>
      </c>
      <c r="H14" s="13" t="n">
        <f aca="false">447/100</f>
        <v>4.47</v>
      </c>
      <c r="I14" s="14" t="str">
        <f aca="false">IF(H14="","",(IF($C$20&lt;25%,"N/A",IF(H14&lt;=($D$20+$A$20),H14,"Descartado"))))</f>
        <v>Descartado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 t="s">
        <v>49</v>
      </c>
      <c r="H15" s="13" t="n">
        <f aca="false">200/100</f>
        <v>2</v>
      </c>
      <c r="I15" s="14" t="n">
        <f aca="false">IF(H15="","",(IF($C$20&lt;25%,"N/A",IF(H15&lt;=($D$20+$A$20),H15,"Descartado"))))</f>
        <v>2</v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 t="s">
        <v>89</v>
      </c>
      <c r="H16" s="13" t="n">
        <f aca="false">102/100</f>
        <v>1.02</v>
      </c>
      <c r="I16" s="14" t="n">
        <f aca="false">IF(H16="","",(IF($C$20&lt;25%,"N/A",IF(H16&lt;=($D$20+$A$20),H16,"Descartado"))))</f>
        <v>1.02</v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42" t="s">
        <v>23</v>
      </c>
      <c r="H17" s="13" t="n">
        <v>0.48</v>
      </c>
      <c r="I17" s="14" t="n">
        <f aca="false">IF(H17="","",(IF($C$20&lt;25%,"N/A",IF(H17&lt;=($D$20+$A$20),H17,"Descartado"))))</f>
        <v>0.48</v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1.48076074399357</v>
      </c>
      <c r="B20" s="25" t="n">
        <f aca="false">COUNT(H3:H17)</f>
        <v>15</v>
      </c>
      <c r="C20" s="26" t="n">
        <f aca="false">IF(B20&lt;2,"N/A",(A20/D20))</f>
        <v>0.523237012011861</v>
      </c>
      <c r="D20" s="27" t="n">
        <f aca="false">ROUND(AVERAGE(H3:H17),2)</f>
        <v>2.83</v>
      </c>
      <c r="E20" s="28" t="n">
        <f aca="false">IFERROR(ROUND(IF(B20&lt;2,"N/A",(IF(C20&lt;=25%,"N/A",AVERAGE(I3:I17)))),2),"N/A")</f>
        <v>1.74</v>
      </c>
      <c r="F20" s="28" t="n">
        <f aca="false">ROUND(MEDIAN(H3:H17),2)</f>
        <v>2.5</v>
      </c>
      <c r="G20" s="29" t="str">
        <f aca="false">INDEX(G3:G17,MATCH(H20,H3:H17,0))</f>
        <v>EMPRESA GRÁFICA DA BAHIA – EGBA</v>
      </c>
      <c r="H20" s="30" t="n">
        <f aca="false">MIN(H3:H17)</f>
        <v>0.48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1.74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1740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D1" colorId="64" zoomScale="100" zoomScaleNormal="100" zoomScalePageLayoutView="100" workbookViewId="0">
      <selection pane="topLeft" activeCell="G5" activeCellId="0" sqref="G5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148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149</v>
      </c>
      <c r="C3" s="9" t="s">
        <v>11</v>
      </c>
      <c r="D3" s="10" t="n">
        <v>5000</v>
      </c>
      <c r="E3" s="11" t="n">
        <f aca="false">IF(C20&lt;=25%,D20,MIN(E20:F20))</f>
        <v>2.35</v>
      </c>
      <c r="F3" s="11" t="n">
        <f aca="false">MIN(H3:H17)</f>
        <v>1.3</v>
      </c>
      <c r="G3" s="12" t="s">
        <v>12</v>
      </c>
      <c r="H3" s="13" t="n">
        <v>1.3</v>
      </c>
      <c r="I3" s="14" t="n">
        <f aca="false">IF(H3="","",(IF($C$20&lt;25%,"N/A",IF(H3&lt;=($D$20+$A$20),H3,"Descartado"))))</f>
        <v>1.3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23</v>
      </c>
      <c r="H4" s="13" t="n">
        <v>3.4</v>
      </c>
      <c r="I4" s="14" t="n">
        <f aca="false">IF(H4="","",(IF($C$20&lt;25%,"N/A",IF(H4&lt;=($D$20+$A$20),H4,"Descartado"))))</f>
        <v>3.4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1.48492424049175</v>
      </c>
      <c r="B20" s="25" t="n">
        <f aca="false">COUNT(H3:H17)</f>
        <v>2</v>
      </c>
      <c r="C20" s="26" t="n">
        <f aca="false">IF(B20&lt;2,"N/A",(A20/D20))</f>
        <v>0.631882655528404</v>
      </c>
      <c r="D20" s="27" t="n">
        <f aca="false">ROUND(AVERAGE(H3:H17),2)</f>
        <v>2.35</v>
      </c>
      <c r="E20" s="28" t="n">
        <f aca="false">IFERROR(ROUND(IF(B20&lt;2,"N/A",(IF(C20&lt;=25%,"N/A",AVERAGE(I3:I17)))),2),"N/A")</f>
        <v>2.35</v>
      </c>
      <c r="F20" s="28" t="n">
        <f aca="false">ROUND(MEDIAN(H3:H17),2)</f>
        <v>2.35</v>
      </c>
      <c r="G20" s="29" t="str">
        <f aca="false">INDEX(G3:G17,MATCH(H20,H3:H17,0))</f>
        <v>PANTOGRAF GRAFICA E EDITORA LTDA</v>
      </c>
      <c r="H20" s="30" t="n">
        <f aca="false">MIN(H3:H17)</f>
        <v>1.3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2.35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11750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D1" colorId="64" zoomScale="100" zoomScaleNormal="100" zoomScalePageLayoutView="100" workbookViewId="0">
      <selection pane="topLeft" activeCell="G18" activeCellId="0" sqref="G18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150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151</v>
      </c>
      <c r="C3" s="9" t="s">
        <v>11</v>
      </c>
      <c r="D3" s="10" t="n">
        <v>3000</v>
      </c>
      <c r="E3" s="11" t="n">
        <f aca="false">IF(C20&lt;=25%,D20,MIN(E20:F20))</f>
        <v>3.3</v>
      </c>
      <c r="F3" s="11" t="n">
        <f aca="false">MIN(H3:H17)</f>
        <v>0.27</v>
      </c>
      <c r="G3" s="43" t="s">
        <v>12</v>
      </c>
      <c r="H3" s="13" t="n">
        <v>1.7</v>
      </c>
      <c r="I3" s="14" t="n">
        <f aca="false">IF(H3="","",(IF($C$20&lt;25%,"N/A",IF(H3&lt;=($D$20+$A$20),H3,"Descartado"))))</f>
        <v>1.7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127</v>
      </c>
      <c r="H4" s="13" t="n">
        <v>1.9</v>
      </c>
      <c r="I4" s="14" t="n">
        <f aca="false">IF(H4="","",(IF($C$20&lt;25%,"N/A",IF(H4&lt;=($D$20+$A$20),H4,"Descartado"))))</f>
        <v>1.9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42</v>
      </c>
      <c r="H5" s="13" t="n">
        <v>0.94</v>
      </c>
      <c r="I5" s="14" t="n">
        <f aca="false">IF(H5="","",(IF($C$20&lt;25%,"N/A",IF(H5&lt;=($D$20+$A$20),H5,"Descartado"))))</f>
        <v>0.94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46</v>
      </c>
      <c r="H6" s="13" t="n">
        <v>1.9</v>
      </c>
      <c r="I6" s="14" t="n">
        <f aca="false">IF(H6="","",(IF($C$20&lt;25%,"N/A",IF(H6&lt;=($D$20+$A$20),H6,"Descartado"))))</f>
        <v>1.9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152</v>
      </c>
      <c r="H7" s="13" t="n">
        <v>5</v>
      </c>
      <c r="I7" s="14" t="n">
        <f aca="false">IF(H7="","",(IF($C$20&lt;25%,"N/A",IF(H7&lt;=($D$20+$A$20),H7,"Descartado"))))</f>
        <v>5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153</v>
      </c>
      <c r="H8" s="13" t="n">
        <v>5</v>
      </c>
      <c r="I8" s="14" t="n">
        <f aca="false">IF(H8="","",(IF($C$20&lt;25%,"N/A",IF(H8&lt;=($D$20+$A$20),H8,"Descartado"))))</f>
        <v>5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154</v>
      </c>
      <c r="H9" s="13" t="n">
        <v>2</v>
      </c>
      <c r="I9" s="14" t="n">
        <f aca="false">IF(H9="","",(IF($C$20&lt;25%,"N/A",IF(H9&lt;=($D$20+$A$20),H9,"Descartado"))))</f>
        <v>2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155</v>
      </c>
      <c r="H10" s="13" t="n">
        <v>6.96</v>
      </c>
      <c r="I10" s="14" t="str">
        <f aca="false">IF(H10="","",(IF($C$20&lt;25%,"N/A",IF(H10&lt;=($D$20+$A$20),H10,"Descartado"))))</f>
        <v>Descartado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131</v>
      </c>
      <c r="H11" s="13" t="n">
        <v>5.56</v>
      </c>
      <c r="I11" s="14" t="n">
        <f aca="false">IF(H11="","",(IF($C$20&lt;25%,"N/A",IF(H11&lt;=($D$20+$A$20),H11,"Descartado"))))</f>
        <v>5.56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103</v>
      </c>
      <c r="H12" s="13" t="n">
        <v>6.96</v>
      </c>
      <c r="I12" s="14" t="str">
        <f aca="false">IF(H12="","",(IF($C$20&lt;25%,"N/A",IF(H12&lt;=($D$20+$A$20),H12,"Descartado"))))</f>
        <v>Descartado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156</v>
      </c>
      <c r="H13" s="13" t="n">
        <v>6.96</v>
      </c>
      <c r="I13" s="14" t="str">
        <f aca="false">IF(H13="","",(IF($C$20&lt;25%,"N/A",IF(H13&lt;=($D$20+$A$20),H13,"Descartado"))))</f>
        <v>Descartado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 t="s">
        <v>157</v>
      </c>
      <c r="H14" s="13" t="n">
        <v>6</v>
      </c>
      <c r="I14" s="14" t="n">
        <f aca="false">IF(H14="","",(IF($C$20&lt;25%,"N/A",IF(H14&lt;=($D$20+$A$20),H14,"Descartado"))))</f>
        <v>6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 t="s">
        <v>133</v>
      </c>
      <c r="H15" s="13" t="n">
        <v>6</v>
      </c>
      <c r="I15" s="14" t="n">
        <f aca="false">IF(H15="","",(IF($C$20&lt;25%,"N/A",IF(H15&lt;=($D$20+$A$20),H15,"Descartado"))))</f>
        <v>6</v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 t="s">
        <v>19</v>
      </c>
      <c r="H16" s="13" t="n">
        <v>6.96</v>
      </c>
      <c r="I16" s="14" t="str">
        <f aca="false">IF(H16="","",(IF($C$20&lt;25%,"N/A",IF(H16&lt;=($D$20+$A$20),H16,"Descartado"))))</f>
        <v>Descartado</v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42" t="s">
        <v>23</v>
      </c>
      <c r="H17" s="13" t="n">
        <v>0.27</v>
      </c>
      <c r="I17" s="14" t="n">
        <f aca="false">IF(H17="","",(IF($C$20&lt;25%,"N/A",IF(H17&lt;=($D$20+$A$20),H17,"Descartado"))))</f>
        <v>0.27</v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2.50343135944019</v>
      </c>
      <c r="B20" s="25" t="n">
        <f aca="false">COUNT(H3:H17)</f>
        <v>15</v>
      </c>
      <c r="C20" s="26" t="n">
        <f aca="false">IF(B20&lt;2,"N/A",(A20/D20))</f>
        <v>0.586283690735408</v>
      </c>
      <c r="D20" s="27" t="n">
        <f aca="false">ROUND(AVERAGE(H3:H17),2)</f>
        <v>4.27</v>
      </c>
      <c r="E20" s="28" t="n">
        <f aca="false">IFERROR(ROUND(IF(B20&lt;2,"N/A",(IF(C20&lt;=25%,"N/A",AVERAGE(I3:I17)))),2),"N/A")</f>
        <v>3.3</v>
      </c>
      <c r="F20" s="28" t="n">
        <f aca="false">ROUND(MEDIAN(H3:H17),2)</f>
        <v>5</v>
      </c>
      <c r="G20" s="29" t="str">
        <f aca="false">INDEX(G3:G17,MATCH(H20,H3:H17,0))</f>
        <v>EMPRESA GRÁFICA DA BAHIA – EGBA</v>
      </c>
      <c r="H20" s="30" t="n">
        <f aca="false">MIN(H3:H17)</f>
        <v>0.27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3.3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9900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G4" activeCellId="0" sqref="G4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158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159</v>
      </c>
      <c r="C3" s="9" t="s">
        <v>11</v>
      </c>
      <c r="D3" s="10" t="n">
        <v>3000</v>
      </c>
      <c r="E3" s="11" t="n">
        <f aca="false">IF(C20&lt;=25%,D20,MIN(E20:F20))</f>
        <v>1.9</v>
      </c>
      <c r="F3" s="11" t="n">
        <f aca="false">MIN(H3:H17)</f>
        <v>1.9</v>
      </c>
      <c r="G3" s="43" t="s">
        <v>12</v>
      </c>
      <c r="H3" s="13" t="n">
        <v>1.9</v>
      </c>
      <c r="I3" s="14" t="e">
        <f aca="false">IF(H3="","",(IF($C$20&lt;25%,"N/A",IF(H3&lt;=($D$20+$A$20),H3,"Descartado"))))</f>
        <v>#VALUE!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1</v>
      </c>
      <c r="C20" s="26" t="str">
        <f aca="false">IF(B20&lt;2,"N/A",(A20/D20))</f>
        <v>N/A</v>
      </c>
      <c r="D20" s="27" t="n">
        <f aca="false">ROUND(AVERAGE(H3:H17),2)</f>
        <v>1.9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1.9</v>
      </c>
      <c r="G20" s="29" t="str">
        <f aca="false">INDEX(G3:G17,MATCH(H20,H3:H17,0))</f>
        <v>PANTOGRAF GRAFICA E EDITORA LTDA</v>
      </c>
      <c r="H20" s="30" t="n">
        <f aca="false">MIN(H3:H17)</f>
        <v>1.9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1.9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5700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G5" activeCellId="0" sqref="G5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160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161</v>
      </c>
      <c r="C3" s="9" t="s">
        <v>11</v>
      </c>
      <c r="D3" s="10" t="n">
        <v>1500</v>
      </c>
      <c r="E3" s="11" t="n">
        <f aca="false">IF(C20&lt;=25%,D20,MIN(E20:F20))</f>
        <v>0.96</v>
      </c>
      <c r="F3" s="11" t="n">
        <f aca="false">MIN(H3:H17)</f>
        <v>0.46</v>
      </c>
      <c r="G3" s="12" t="s">
        <v>12</v>
      </c>
      <c r="H3" s="13" t="n">
        <v>1.45</v>
      </c>
      <c r="I3" s="14" t="n">
        <f aca="false">IF(H3="","",(IF($C$20&lt;25%,"N/A",IF(H3&lt;=($D$20+$A$20),H3,"Descartado"))))</f>
        <v>1.45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23</v>
      </c>
      <c r="H4" s="13" t="n">
        <v>0.46</v>
      </c>
      <c r="I4" s="14" t="n">
        <f aca="false">IF(H4="","",(IF($C$20&lt;25%,"N/A",IF(H4&lt;=($D$20+$A$20),H4,"Descartado"))))</f>
        <v>0.46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0.700035713374682</v>
      </c>
      <c r="B20" s="25" t="n">
        <f aca="false">COUNT(H3:H17)</f>
        <v>2</v>
      </c>
      <c r="C20" s="26" t="n">
        <f aca="false">IF(B20&lt;2,"N/A",(A20/D20))</f>
        <v>0.729203868098627</v>
      </c>
      <c r="D20" s="27" t="n">
        <f aca="false">ROUND(AVERAGE(H3:H17),2)</f>
        <v>0.96</v>
      </c>
      <c r="E20" s="28" t="n">
        <f aca="false">IFERROR(ROUND(IF(B20&lt;2,"N/A",(IF(C20&lt;=25%,"N/A",AVERAGE(I3:I17)))),2),"N/A")</f>
        <v>0.96</v>
      </c>
      <c r="F20" s="28" t="n">
        <f aca="false">ROUND(MEDIAN(H3:H17),2)</f>
        <v>0.96</v>
      </c>
      <c r="G20" s="29" t="str">
        <f aca="false">INDEX(G3:G17,MATCH(H20,H3:H17,0))</f>
        <v>EMPRESA GRÁFICA DA BAHIA – EGBA</v>
      </c>
      <c r="H20" s="30" t="n">
        <f aca="false">MIN(H3:H17)</f>
        <v>0.46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0.96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1440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D1" colorId="64" zoomScale="100" zoomScaleNormal="100" zoomScalePageLayoutView="100" workbookViewId="0">
      <selection pane="topLeft" activeCell="G18" activeCellId="0" sqref="G18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51</v>
      </c>
      <c r="C3" s="9" t="s">
        <v>11</v>
      </c>
      <c r="D3" s="10" t="n">
        <v>1000</v>
      </c>
      <c r="E3" s="11" t="n">
        <f aca="false">IF(C20&lt;=25%,D20,MIN(E20:F20))</f>
        <v>26.96</v>
      </c>
      <c r="F3" s="11" t="n">
        <f aca="false">MIN(H3:H17)</f>
        <v>16.98</v>
      </c>
      <c r="G3" s="12" t="s">
        <v>12</v>
      </c>
      <c r="H3" s="13" t="n">
        <v>61.2</v>
      </c>
      <c r="I3" s="14" t="str">
        <f aca="false">IF(H3="","",(IF($C$20&lt;25%,"N/A",IF(H3&lt;=($D$20+$A$20),H3,"Descartado"))))</f>
        <v>Descartado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20</v>
      </c>
      <c r="H4" s="13" t="n">
        <f aca="false">0.05*700</f>
        <v>35</v>
      </c>
      <c r="I4" s="14" t="n">
        <f aca="false">IF(H4="","",(IF($C$20&lt;25%,"N/A",IF(H4&lt;=($D$20+$A$20),H4,"Descartado"))))</f>
        <v>35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f aca="false">0.05*700</f>
        <v>35</v>
      </c>
      <c r="I5" s="14" t="n">
        <f aca="false">IF(H5="","",(IF($C$20&lt;25%,"N/A",IF(H5&lt;=($D$20+$A$20),H5,"Descartado"))))</f>
        <v>35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f aca="false">0.05*700</f>
        <v>35</v>
      </c>
      <c r="I6" s="14" t="n">
        <f aca="false">IF(H6="","",(IF($C$20&lt;25%,"N/A",IF(H6&lt;=($D$20+$A$20),H6,"Descartado"))))</f>
        <v>35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22</v>
      </c>
      <c r="H7" s="13" t="n">
        <f aca="false">0.05*700</f>
        <v>35</v>
      </c>
      <c r="I7" s="14" t="n">
        <f aca="false">IF(H7="","",(IF($C$20&lt;25%,"N/A",IF(H7&lt;=($D$20+$A$20),H7,"Descartado"))))</f>
        <v>35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52</v>
      </c>
      <c r="H8" s="13" t="n">
        <v>29.8</v>
      </c>
      <c r="I8" s="14" t="n">
        <f aca="false">IF(H8="","",(IF($C$20&lt;25%,"N/A",IF(H8&lt;=($D$20+$A$20),H8,"Descartado"))))</f>
        <v>29.8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53</v>
      </c>
      <c r="H9" s="13" t="n">
        <v>20.95</v>
      </c>
      <c r="I9" s="14" t="n">
        <f aca="false">IF(H9="","",(IF($C$20&lt;25%,"N/A",IF(H9&lt;=($D$20+$A$20),H9,"Descartado"))))</f>
        <v>20.95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54</v>
      </c>
      <c r="H10" s="13" t="n">
        <v>16.98</v>
      </c>
      <c r="I10" s="14" t="n">
        <f aca="false">IF(H10="","",(IF($C$20&lt;25%,"N/A",IF(H10&lt;=($D$20+$A$20),H10,"Descartado"))))</f>
        <v>16.98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55</v>
      </c>
      <c r="H11" s="13" t="n">
        <v>18.9</v>
      </c>
      <c r="I11" s="14" t="n">
        <f aca="false">IF(H11="","",(IF($C$20&lt;25%,"N/A",IF(H11&lt;=($D$20+$A$20),H11,"Descartado"))))</f>
        <v>18.9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19.08</v>
      </c>
      <c r="I12" s="14" t="n">
        <f aca="false">IF(H12="","",(IF($C$20&lt;25%,"N/A",IF(H12&lt;=($D$20+$A$20),H12,"Descartado"))))</f>
        <v>19.08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19</v>
      </c>
      <c r="H13" s="13" t="n">
        <v>17.77</v>
      </c>
      <c r="I13" s="14" t="n">
        <f aca="false">IF(H13="","",(IF($C$20&lt;25%,"N/A",IF(H13&lt;=($D$20+$A$20),H13,"Descartado"))))</f>
        <v>17.77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 t="s">
        <v>45</v>
      </c>
      <c r="H14" s="13" t="n">
        <v>17.5</v>
      </c>
      <c r="I14" s="14" t="n">
        <f aca="false">IF(H14="","",(IF($C$20&lt;25%,"N/A",IF(H14&lt;=($D$20+$A$20),H14,"Descartado"))))</f>
        <v>17.5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 t="s">
        <v>56</v>
      </c>
      <c r="H15" s="13" t="n">
        <v>39.5</v>
      </c>
      <c r="I15" s="14" t="n">
        <f aca="false">IF(H15="","",(IF($C$20&lt;25%,"N/A",IF(H15&lt;=($D$20+$A$20),H15,"Descartado"))))</f>
        <v>39.5</v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 t="s">
        <v>57</v>
      </c>
      <c r="H16" s="13" t="n">
        <v>29.98</v>
      </c>
      <c r="I16" s="14" t="n">
        <f aca="false">IF(H16="","",(IF($C$20&lt;25%,"N/A",IF(H16&lt;=($D$20+$A$20),H16,"Descartado"))))</f>
        <v>29.98</v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42" t="s">
        <v>23</v>
      </c>
      <c r="H17" s="13" t="n">
        <v>43.78</v>
      </c>
      <c r="I17" s="14" t="str">
        <f aca="false">IF(H17="","",(IF($C$20&lt;25%,"N/A",IF(H17&lt;=($D$20+$A$20),H17,"Descartado"))))</f>
        <v>Descartado</v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12.3962785122141</v>
      </c>
      <c r="B20" s="25" t="n">
        <f aca="false">COUNT(H3:H17)</f>
        <v>15</v>
      </c>
      <c r="C20" s="26" t="n">
        <f aca="false">IF(B20&lt;2,"N/A",(A20/D20))</f>
        <v>0.408309568913508</v>
      </c>
      <c r="D20" s="27" t="n">
        <f aca="false">ROUND(AVERAGE(H3:H17),2)</f>
        <v>30.36</v>
      </c>
      <c r="E20" s="28" t="n">
        <f aca="false">IFERROR(ROUND(IF(B20&lt;2,"N/A",(IF(C20&lt;=25%,"N/A",AVERAGE(I3:I17)))),2),"N/A")</f>
        <v>26.96</v>
      </c>
      <c r="F20" s="28" t="n">
        <f aca="false">ROUND(MEDIAN(H3:H17),2)</f>
        <v>29.98</v>
      </c>
      <c r="G20" s="29" t="str">
        <f aca="false">INDEX(G3:G17,MATCH(H20,H3:H17,0))</f>
        <v>GRAFICA 3 COMUNICACAO E SERVICOS GRAFICOS LTDA</v>
      </c>
      <c r="H20" s="30" t="n">
        <f aca="false">MIN(H3:H17)</f>
        <v>16.98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26.96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26960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G11" activeCellId="0" sqref="G11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162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163</v>
      </c>
      <c r="C3" s="9" t="s">
        <v>11</v>
      </c>
      <c r="D3" s="10" t="n">
        <v>700</v>
      </c>
      <c r="E3" s="11" t="n">
        <f aca="false">IF(C20&lt;=25%,D20,MIN(E20:F20))</f>
        <v>0.5</v>
      </c>
      <c r="F3" s="11" t="n">
        <f aca="false">MIN(H3:H17)</f>
        <v>0.48</v>
      </c>
      <c r="G3" s="12" t="s">
        <v>12</v>
      </c>
      <c r="H3" s="13" t="n">
        <v>1.4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126</v>
      </c>
      <c r="H4" s="13" t="n">
        <v>0.48</v>
      </c>
      <c r="I4" s="14" t="n">
        <f aca="false">IF(H4="","",(IF($C$20&lt;25%,"N/A",IF(H4&lt;=($D$20+$A$20),H4,"Descartado"))))</f>
        <v>0.48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164</v>
      </c>
      <c r="H5" s="13" t="n">
        <v>0.5</v>
      </c>
      <c r="I5" s="14" t="n">
        <f aca="false">IF(H5="","",(IF($C$20&lt;25%,"N/A",IF(H5&lt;=($D$20+$A$20),H5,"Descartado"))))</f>
        <v>0.5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45</v>
      </c>
      <c r="H6" s="13" t="n">
        <v>0.5</v>
      </c>
      <c r="I6" s="14" t="n">
        <f aca="false">IF(H6="","",(IF($C$20&lt;25%,"N/A",IF(H6&lt;=($D$20+$A$20),H6,"Descartado"))))</f>
        <v>0.5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46</v>
      </c>
      <c r="H7" s="13" t="n">
        <v>0.5</v>
      </c>
      <c r="I7" s="14" t="n">
        <f aca="false">IF(H7="","",(IF($C$20&lt;25%,"N/A",IF(H7&lt;=($D$20+$A$20),H7,"Descartado"))))</f>
        <v>0.5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0.5</v>
      </c>
      <c r="I8" s="14" t="n">
        <f aca="false">IF(H8="","",(IF($C$20&lt;25%,"N/A",IF(H8&lt;=($D$20+$A$20),H8,"Descartado"))))</f>
        <v>0.5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43</v>
      </c>
      <c r="H9" s="13" t="n">
        <v>0.5</v>
      </c>
      <c r="I9" s="14" t="n">
        <f aca="false">IF(H9="","",(IF($C$20&lt;25%,"N/A",IF(H9&lt;=($D$20+$A$20),H9,"Descartado"))))</f>
        <v>0.5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42" t="s">
        <v>23</v>
      </c>
      <c r="H10" s="13" t="n">
        <v>1.29</v>
      </c>
      <c r="I10" s="14" t="str">
        <f aca="false">IF(H10="","",(IF($C$20&lt;25%,"N/A",IF(H10&lt;=($D$20+$A$20),H10,"Descartado"))))</f>
        <v>Descartado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0.39386137880514</v>
      </c>
      <c r="B20" s="25" t="n">
        <f aca="false">COUNT(H3:H17)</f>
        <v>8</v>
      </c>
      <c r="C20" s="26" t="n">
        <f aca="false">IF(B20&lt;2,"N/A",(A20/D20))</f>
        <v>0.554734336345267</v>
      </c>
      <c r="D20" s="27" t="n">
        <f aca="false">ROUND(AVERAGE(H3:H17),2)</f>
        <v>0.71</v>
      </c>
      <c r="E20" s="28" t="n">
        <f aca="false">IFERROR(ROUND(IF(B20&lt;2,"N/A",(IF(C20&lt;=25%,"N/A",AVERAGE(I3:I17)))),2),"N/A")</f>
        <v>0.5</v>
      </c>
      <c r="F20" s="28" t="n">
        <f aca="false">ROUND(MEDIAN(H3:H17),2)</f>
        <v>0.5</v>
      </c>
      <c r="G20" s="29" t="str">
        <f aca="false">INDEX(G3:G17,MATCH(H20,H3:H17,0))</f>
        <v>TOP COLOR EIRELI</v>
      </c>
      <c r="H20" s="30" t="n">
        <f aca="false">MIN(H3:H17)</f>
        <v>0.48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0.5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350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E1" colorId="64" zoomScale="100" zoomScaleNormal="100" zoomScalePageLayoutView="100" workbookViewId="0">
      <selection pane="topLeft" activeCell="G8" activeCellId="0" sqref="G8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165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166</v>
      </c>
      <c r="C3" s="9" t="s">
        <v>11</v>
      </c>
      <c r="D3" s="10" t="n">
        <v>3000</v>
      </c>
      <c r="E3" s="11" t="n">
        <f aca="false">IF(C20&lt;=25%,D20,MIN(E20:F20))</f>
        <v>1.19</v>
      </c>
      <c r="F3" s="11" t="n">
        <f aca="false">MIN(H3:H17)</f>
        <v>0.38</v>
      </c>
      <c r="G3" s="12" t="s">
        <v>12</v>
      </c>
      <c r="H3" s="13" t="n">
        <v>1.9</v>
      </c>
      <c r="I3" s="14" t="n">
        <f aca="false">IF(H3="","",(IF($C$20&lt;25%,"N/A",IF(H3&lt;=($D$20+$A$20),H3,"Descartado"))))</f>
        <v>1.9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167</v>
      </c>
      <c r="H4" s="13" t="n">
        <v>1.1</v>
      </c>
      <c r="I4" s="14" t="n">
        <f aca="false">IF(H4="","",(IF($C$20&lt;25%,"N/A",IF(H4&lt;=($D$20+$A$20),H4,"Descartado"))))</f>
        <v>1.1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44</v>
      </c>
      <c r="H5" s="13" t="n">
        <v>2.36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45</v>
      </c>
      <c r="H6" s="13" t="n">
        <v>1.39</v>
      </c>
      <c r="I6" s="14" t="n">
        <f aca="false">IF(H6="","",(IF($C$20&lt;25%,"N/A",IF(H6&lt;=($D$20+$A$20),H6,"Descartado"))))</f>
        <v>1.39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42" t="s">
        <v>23</v>
      </c>
      <c r="H7" s="13" t="n">
        <v>0.38</v>
      </c>
      <c r="I7" s="14" t="n">
        <f aca="false">IF(H7="","",(IF($C$20&lt;25%,"N/A",IF(H7&lt;=($D$20+$A$20),H7,"Descartado"))))</f>
        <v>0.38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0.758076513288731</v>
      </c>
      <c r="B20" s="25" t="n">
        <f aca="false">COUNT(H3:H17)</f>
        <v>5</v>
      </c>
      <c r="C20" s="26" t="n">
        <f aca="false">IF(B20&lt;2,"N/A",(A20/D20))</f>
        <v>0.530123435866246</v>
      </c>
      <c r="D20" s="27" t="n">
        <f aca="false">ROUND(AVERAGE(H3:H17),2)</f>
        <v>1.43</v>
      </c>
      <c r="E20" s="28" t="n">
        <f aca="false">IFERROR(ROUND(IF(B20&lt;2,"N/A",(IF(C20&lt;=25%,"N/A",AVERAGE(I3:I17)))),2),"N/A")</f>
        <v>1.19</v>
      </c>
      <c r="F20" s="28" t="n">
        <f aca="false">ROUND(MEDIAN(H3:H17),2)</f>
        <v>1.39</v>
      </c>
      <c r="G20" s="29" t="str">
        <f aca="false">INDEX(G3:G17,MATCH(H20,H3:H17,0))</f>
        <v>EMPRESA GRÁFICA DA BAHIA – EGBA</v>
      </c>
      <c r="H20" s="30" t="n">
        <f aca="false">MIN(H3:H17)</f>
        <v>0.38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1.19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3570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G15" activeCellId="0" sqref="G15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168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169</v>
      </c>
      <c r="C3" s="9" t="s">
        <v>11</v>
      </c>
      <c r="D3" s="10" t="n">
        <v>800</v>
      </c>
      <c r="E3" s="11" t="n">
        <f aca="false">IF(C20&lt;=25%,D20,MIN(E20:F20))</f>
        <v>0.61</v>
      </c>
      <c r="F3" s="11" t="n">
        <f aca="false">MIN(H3:H17)</f>
        <v>0.29</v>
      </c>
      <c r="G3" s="12" t="s">
        <v>12</v>
      </c>
      <c r="H3" s="13" t="n">
        <v>2.7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137</v>
      </c>
      <c r="H4" s="13" t="n">
        <v>0.29</v>
      </c>
      <c r="I4" s="14" t="n">
        <f aca="false">IF(H4="","",(IF($C$20&lt;25%,"N/A",IF(H4&lt;=($D$20+$A$20),H4,"Descartado"))))</f>
        <v>0.29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136</v>
      </c>
      <c r="H5" s="13" t="n">
        <v>0.7</v>
      </c>
      <c r="I5" s="14" t="n">
        <f aca="false">IF(H5="","",(IF($C$20&lt;25%,"N/A",IF(H5&lt;=($D$20+$A$20),H5,"Descartado"))))</f>
        <v>0.7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138</v>
      </c>
      <c r="H6" s="13" t="n">
        <v>0.3</v>
      </c>
      <c r="I6" s="14" t="n">
        <f aca="false">IF(H6="","",(IF($C$20&lt;25%,"N/A",IF(H6&lt;=($D$20+$A$20),H6,"Descartado"))))</f>
        <v>0.3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170</v>
      </c>
      <c r="H7" s="13" t="n">
        <v>1.95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49</v>
      </c>
      <c r="H8" s="13" t="n">
        <v>0.48</v>
      </c>
      <c r="I8" s="14" t="n">
        <f aca="false">IF(H8="","",(IF($C$20&lt;25%,"N/A",IF(H8&lt;=($D$20+$A$20),H8,"Descartado"))))</f>
        <v>0.48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17</v>
      </c>
      <c r="H9" s="13" t="n">
        <v>0.5</v>
      </c>
      <c r="I9" s="14" t="n">
        <f aca="false">IF(H9="","",(IF($C$20&lt;25%,"N/A",IF(H9&lt;=($D$20+$A$20),H9,"Descartado"))))</f>
        <v>0.5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103</v>
      </c>
      <c r="H10" s="13" t="n">
        <v>0.62</v>
      </c>
      <c r="I10" s="14" t="n">
        <f aca="false">IF(H10="","",(IF($C$20&lt;25%,"N/A",IF(H10&lt;=($D$20+$A$20),H10,"Descartado"))))</f>
        <v>0.62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52</v>
      </c>
      <c r="H11" s="13" t="n">
        <v>0.62</v>
      </c>
      <c r="I11" s="14" t="n">
        <f aca="false">IF(H11="","",(IF($C$20&lt;25%,"N/A",IF(H11&lt;=($D$20+$A$20),H11,"Descartado"))))</f>
        <v>0.62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123</v>
      </c>
      <c r="H12" s="13" t="n">
        <v>0.62</v>
      </c>
      <c r="I12" s="14" t="n">
        <f aca="false">IF(H12="","",(IF($C$20&lt;25%,"N/A",IF(H12&lt;=($D$20+$A$20),H12,"Descartado"))))</f>
        <v>0.62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19</v>
      </c>
      <c r="H13" s="13" t="n">
        <v>1</v>
      </c>
      <c r="I13" s="14" t="n">
        <f aca="false">IF(H13="","",(IF($C$20&lt;25%,"N/A",IF(H13&lt;=($D$20+$A$20),H13,"Descartado"))))</f>
        <v>1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42" t="s">
        <v>23</v>
      </c>
      <c r="H14" s="13" t="n">
        <v>1.01</v>
      </c>
      <c r="I14" s="14" t="n">
        <f aca="false">IF(H14="","",(IF($C$20&lt;25%,"N/A",IF(H14&lt;=($D$20+$A$20),H14,"Descartado"))))</f>
        <v>1.01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0.720371852629325</v>
      </c>
      <c r="B20" s="25" t="n">
        <f aca="false">COUNT(H3:H17)</f>
        <v>12</v>
      </c>
      <c r="C20" s="26" t="n">
        <f aca="false">IF(B20&lt;2,"N/A",(A20/D20))</f>
        <v>0.800413169588139</v>
      </c>
      <c r="D20" s="27" t="n">
        <f aca="false">ROUND(AVERAGE(H3:H17),2)</f>
        <v>0.9</v>
      </c>
      <c r="E20" s="28" t="n">
        <f aca="false">IFERROR(ROUND(IF(B20&lt;2,"N/A",(IF(C20&lt;=25%,"N/A",AVERAGE(I3:I17)))),2),"N/A")</f>
        <v>0.61</v>
      </c>
      <c r="F20" s="28" t="n">
        <f aca="false">ROUND(MEDIAN(H3:H17),2)</f>
        <v>0.62</v>
      </c>
      <c r="G20" s="29" t="str">
        <f aca="false">INDEX(G3:G17,MATCH(H20,H3:H17,0))</f>
        <v>INDUSTRIA GRAFICA POTIGUAR E SERVICOS LTDA</v>
      </c>
      <c r="H20" s="30" t="n">
        <f aca="false">MIN(H3:H17)</f>
        <v>0.29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0.61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488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G18" activeCellId="0" sqref="G18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171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172</v>
      </c>
      <c r="C3" s="9" t="s">
        <v>11</v>
      </c>
      <c r="D3" s="10" t="n">
        <v>3000</v>
      </c>
      <c r="E3" s="11" t="n">
        <f aca="false">IF(C20&lt;=25%,D20,MIN(E20:F20))</f>
        <v>0.33</v>
      </c>
      <c r="F3" s="11" t="n">
        <f aca="false">MIN(H3:H17)</f>
        <v>0.25</v>
      </c>
      <c r="G3" s="12" t="s">
        <v>12</v>
      </c>
      <c r="H3" s="13" t="n">
        <v>0.8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54</v>
      </c>
      <c r="H4" s="13" t="n">
        <v>0.26</v>
      </c>
      <c r="I4" s="14" t="n">
        <f aca="false">IF(H4="","",(IF($C$20&lt;25%,"N/A",IF(H4&lt;=($D$20+$A$20),H4,"Descartado"))))</f>
        <v>0.26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103</v>
      </c>
      <c r="H5" s="13" t="n">
        <v>0.33</v>
      </c>
      <c r="I5" s="14" t="n">
        <f aca="false">IF(H5="","",(IF($C$20&lt;25%,"N/A",IF(H5&lt;=($D$20+$A$20),H5,"Descartado"))))</f>
        <v>0.33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52</v>
      </c>
      <c r="H6" s="13" t="n">
        <v>0.33</v>
      </c>
      <c r="I6" s="14" t="n">
        <f aca="false">IF(H6="","",(IF($C$20&lt;25%,"N/A",IF(H6&lt;=($D$20+$A$20),H6,"Descartado"))))</f>
        <v>0.33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123</v>
      </c>
      <c r="H7" s="13" t="n">
        <v>0.33</v>
      </c>
      <c r="I7" s="14" t="n">
        <f aca="false">IF(H7="","",(IF($C$20&lt;25%,"N/A",IF(H7&lt;=($D$20+$A$20),H7,"Descartado"))))</f>
        <v>0.33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94</v>
      </c>
      <c r="H8" s="13" t="n">
        <v>0.25</v>
      </c>
      <c r="I8" s="14" t="n">
        <f aca="false">IF(H8="","",(IF($C$20&lt;25%,"N/A",IF(H8&lt;=($D$20+$A$20),H8,"Descartado"))))</f>
        <v>0.25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67</v>
      </c>
      <c r="H9" s="13" t="n">
        <v>0.28</v>
      </c>
      <c r="I9" s="14" t="n">
        <f aca="false">IF(H9="","",(IF($C$20&lt;25%,"N/A",IF(H9&lt;=($D$20+$A$20),H9,"Descartado"))))</f>
        <v>0.28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17</v>
      </c>
      <c r="H10" s="13" t="n">
        <v>0.33</v>
      </c>
      <c r="I10" s="14" t="n">
        <f aca="false">IF(H10="","",(IF($C$20&lt;25%,"N/A",IF(H10&lt;=($D$20+$A$20),H10,"Descartado"))))</f>
        <v>0.33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21</v>
      </c>
      <c r="H11" s="13" t="n">
        <v>0.33</v>
      </c>
      <c r="I11" s="14" t="n">
        <f aca="false">IF(H11="","",(IF($C$20&lt;25%,"N/A",IF(H11&lt;=($D$20+$A$20),H11,"Descartado"))))</f>
        <v>0.33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131</v>
      </c>
      <c r="H12" s="13" t="n">
        <v>0.34</v>
      </c>
      <c r="I12" s="14" t="n">
        <f aca="false">IF(H12="","",(IF($C$20&lt;25%,"N/A",IF(H12&lt;=($D$20+$A$20),H12,"Descartado"))))</f>
        <v>0.34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19</v>
      </c>
      <c r="H13" s="13" t="n">
        <v>0.4</v>
      </c>
      <c r="I13" s="14" t="n">
        <f aca="false">IF(H13="","",(IF($C$20&lt;25%,"N/A",IF(H13&lt;=($D$20+$A$20),H13,"Descartado"))))</f>
        <v>0.4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 t="s">
        <v>129</v>
      </c>
      <c r="H14" s="13" t="n">
        <v>0.55</v>
      </c>
      <c r="I14" s="14" t="n">
        <f aca="false">IF(H14="","",(IF($C$20&lt;25%,"N/A",IF(H14&lt;=($D$20+$A$20),H14,"Descartado"))))</f>
        <v>0.55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 t="s">
        <v>130</v>
      </c>
      <c r="H15" s="13" t="n">
        <v>0.55</v>
      </c>
      <c r="I15" s="14" t="n">
        <f aca="false">IF(H15="","",(IF($C$20&lt;25%,"N/A",IF(H15&lt;=($D$20+$A$20),H15,"Descartado"))))</f>
        <v>0.55</v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 t="s">
        <v>133</v>
      </c>
      <c r="H16" s="13" t="n">
        <v>0.6</v>
      </c>
      <c r="I16" s="14" t="str">
        <f aca="false">IF(H16="","",(IF($C$20&lt;25%,"N/A",IF(H16&lt;=($D$20+$A$20),H16,"Descartado"))))</f>
        <v>Descartado</v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42" t="s">
        <v>23</v>
      </c>
      <c r="H17" s="13" t="n">
        <v>0.51</v>
      </c>
      <c r="I17" s="14" t="n">
        <f aca="false">IF(H17="","",(IF($C$20&lt;25%,"N/A",IF(H17&lt;=($D$20+$A$20),H17,"Descartado"))))</f>
        <v>0.51</v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0.155676710188898</v>
      </c>
      <c r="B20" s="25" t="n">
        <f aca="false">COUNT(H3:H17)</f>
        <v>15</v>
      </c>
      <c r="C20" s="26" t="n">
        <f aca="false">IF(B20&lt;2,"N/A",(A20/D20))</f>
        <v>0.379699293143653</v>
      </c>
      <c r="D20" s="27" t="n">
        <f aca="false">ROUND(AVERAGE(H3:H17),2)</f>
        <v>0.41</v>
      </c>
      <c r="E20" s="28" t="n">
        <f aca="false">IFERROR(ROUND(IF(B20&lt;2,"N/A",(IF(C20&lt;=25%,"N/A",AVERAGE(I3:I17)))),2),"N/A")</f>
        <v>0.37</v>
      </c>
      <c r="F20" s="28" t="n">
        <f aca="false">ROUND(MEDIAN(H3:H17),2)</f>
        <v>0.33</v>
      </c>
      <c r="G20" s="29" t="str">
        <f aca="false">INDEX(G3:G17,MATCH(H20,H3:H17,0))</f>
        <v>MARIA L CAMINHA DA SILVA</v>
      </c>
      <c r="H20" s="30" t="n">
        <f aca="false">MIN(H3:H17)</f>
        <v>0.25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0.33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990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G18" activeCellId="0" sqref="G18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173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174</v>
      </c>
      <c r="C3" s="9" t="s">
        <v>11</v>
      </c>
      <c r="D3" s="10" t="n">
        <v>10000</v>
      </c>
      <c r="E3" s="11" t="n">
        <f aca="false">IF(C20&lt;=25%,D20,MIN(E20:F20))</f>
        <v>2.72</v>
      </c>
      <c r="F3" s="11" t="n">
        <f aca="false">MIN(H3:H17)</f>
        <v>0.65</v>
      </c>
      <c r="G3" s="12" t="s">
        <v>12</v>
      </c>
      <c r="H3" s="13" t="n">
        <v>3.5</v>
      </c>
      <c r="I3" s="14" t="n">
        <f aca="false">IF(H3="","",(IF($C$20&lt;25%,"N/A",IF(H3&lt;=($D$20+$A$20),H3,"Descartado"))))</f>
        <v>3.5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76</v>
      </c>
      <c r="H4" s="13" t="n">
        <v>0.65</v>
      </c>
      <c r="I4" s="14" t="n">
        <f aca="false">IF(H4="","",(IF($C$20&lt;25%,"N/A",IF(H4&lt;=($D$20+$A$20),H4,"Descartado"))))</f>
        <v>0.65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44</v>
      </c>
      <c r="H5" s="13" t="n">
        <v>0.89</v>
      </c>
      <c r="I5" s="14" t="n">
        <f aca="false">IF(H5="","",(IF($C$20&lt;25%,"N/A",IF(H5&lt;=($D$20+$A$20),H5,"Descartado"))))</f>
        <v>0.89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19</v>
      </c>
      <c r="H6" s="13" t="n">
        <v>0.91</v>
      </c>
      <c r="I6" s="14" t="n">
        <f aca="false">IF(H6="","",(IF($C$20&lt;25%,"N/A",IF(H6&lt;=($D$20+$A$20),H6,"Descartado"))))</f>
        <v>0.91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175</v>
      </c>
      <c r="H7" s="13" t="n">
        <v>1.46</v>
      </c>
      <c r="I7" s="14" t="n">
        <f aca="false">IF(H7="","",(IF($C$20&lt;25%,"N/A",IF(H7&lt;=($D$20+$A$20),H7,"Descartado"))))</f>
        <v>1.46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78</v>
      </c>
      <c r="H8" s="13" t="n">
        <v>5</v>
      </c>
      <c r="I8" s="14" t="n">
        <f aca="false">IF(H8="","",(IF($C$20&lt;25%,"N/A",IF(H8&lt;=($D$20+$A$20),H8,"Descartado"))))</f>
        <v>5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176</v>
      </c>
      <c r="H9" s="13" t="n">
        <v>2.4</v>
      </c>
      <c r="I9" s="14" t="n">
        <f aca="false">IF(H9="","",(IF($C$20&lt;25%,"N/A",IF(H9&lt;=($D$20+$A$20),H9,"Descartado"))))</f>
        <v>2.4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177</v>
      </c>
      <c r="H10" s="13" t="n">
        <v>2.5</v>
      </c>
      <c r="I10" s="14" t="n">
        <f aca="false">IF(H10="","",(IF($C$20&lt;25%,"N/A",IF(H10&lt;=($D$20+$A$20),H10,"Descartado"))))</f>
        <v>2.5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126</v>
      </c>
      <c r="H11" s="13" t="n">
        <v>8.6</v>
      </c>
      <c r="I11" s="14" t="n">
        <f aca="false">IF(H11="","",(IF($C$20&lt;25%,"N/A",IF(H11&lt;=($D$20+$A$20),H11,"Descartado"))))</f>
        <v>8.6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178</v>
      </c>
      <c r="H12" s="13" t="n">
        <v>8.99</v>
      </c>
      <c r="I12" s="14" t="str">
        <f aca="false">IF(H12="","",(IF($C$20&lt;25%,"N/A",IF(H12&lt;=($D$20+$A$20),H12,"Descartado"))))</f>
        <v>Descartado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179</v>
      </c>
      <c r="H13" s="13" t="n">
        <v>9.4</v>
      </c>
      <c r="I13" s="14" t="str">
        <f aca="false">IF(H13="","",(IF($C$20&lt;25%,"N/A",IF(H13&lt;=($D$20+$A$20),H13,"Descartado"))))</f>
        <v>Descartado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 t="s">
        <v>180</v>
      </c>
      <c r="H14" s="13" t="n">
        <v>9.74</v>
      </c>
      <c r="I14" s="14" t="str">
        <f aca="false">IF(H14="","",(IF($C$20&lt;25%,"N/A",IF(H14&lt;=($D$20+$A$20),H14,"Descartado"))))</f>
        <v>Descartado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 t="s">
        <v>15</v>
      </c>
      <c r="H15" s="13" t="n">
        <v>9.74</v>
      </c>
      <c r="I15" s="14" t="str">
        <f aca="false">IF(H15="","",(IF($C$20&lt;25%,"N/A",IF(H15&lt;=($D$20+$A$20),H15,"Descartado"))))</f>
        <v>Descartado</v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 t="s">
        <v>14</v>
      </c>
      <c r="H16" s="13" t="n">
        <v>9.74</v>
      </c>
      <c r="I16" s="14" t="str">
        <f aca="false">IF(H16="","",(IF($C$20&lt;25%,"N/A",IF(H16&lt;=($D$20+$A$20),H16,"Descartado"))))</f>
        <v>Descartado</v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42" t="s">
        <v>23</v>
      </c>
      <c r="H17" s="13" t="n">
        <v>1.3</v>
      </c>
      <c r="I17" s="14" t="n">
        <f aca="false">IF(H17="","",(IF($C$20&lt;25%,"N/A",IF(H17&lt;=($D$20+$A$20),H17,"Descartado"))))</f>
        <v>1.3</v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3.86989331709729</v>
      </c>
      <c r="B20" s="25" t="n">
        <f aca="false">COUNT(H3:H17)</f>
        <v>15</v>
      </c>
      <c r="C20" s="26" t="n">
        <f aca="false">IF(B20&lt;2,"N/A",(A20/D20))</f>
        <v>0.775529722865189</v>
      </c>
      <c r="D20" s="27" t="n">
        <f aca="false">ROUND(AVERAGE(H3:H17),2)</f>
        <v>4.99</v>
      </c>
      <c r="E20" s="28" t="n">
        <f aca="false">IFERROR(ROUND(IF(B20&lt;2,"N/A",(IF(C20&lt;=25%,"N/A",AVERAGE(I3:I17)))),2),"N/A")</f>
        <v>2.72</v>
      </c>
      <c r="F20" s="28" t="n">
        <f aca="false">ROUND(MEDIAN(H3:H17),2)</f>
        <v>3.5</v>
      </c>
      <c r="G20" s="29" t="str">
        <f aca="false">INDEX(G3:G17,MATCH(H20,H3:H17,0))</f>
        <v>GRAFICA E EDITORA SANTA CRUZ LTDA</v>
      </c>
      <c r="H20" s="30" t="n">
        <f aca="false">MIN(H3:H17)</f>
        <v>0.65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2.72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27200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G13" activeCellId="0" sqref="G13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181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182</v>
      </c>
      <c r="C3" s="9" t="s">
        <v>11</v>
      </c>
      <c r="D3" s="10" t="n">
        <v>2000</v>
      </c>
      <c r="E3" s="11" t="n">
        <f aca="false">IF(C20&lt;=25%,D20,MIN(E20:F20))</f>
        <v>2</v>
      </c>
      <c r="F3" s="11" t="n">
        <f aca="false">MIN(H3:H17)</f>
        <v>1.57</v>
      </c>
      <c r="G3" s="12" t="s">
        <v>12</v>
      </c>
      <c r="H3" s="13" t="n">
        <v>8.8</v>
      </c>
      <c r="I3" s="14" t="str">
        <f aca="false">IF(H3="","",(IF($C$20&lt;25%,"N/A",IF(H3&lt;=($D$20+$A$20),H3,"Descartado"))))</f>
        <v>Descartado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49</v>
      </c>
      <c r="H4" s="13" t="n">
        <f aca="false">3140/2000</f>
        <v>1.57</v>
      </c>
      <c r="I4" s="14" t="n">
        <f aca="false">IF(H4="","",(IF($C$20&lt;25%,"N/A",IF(H4&lt;=($D$20+$A$20),H4,"Descartado"))))</f>
        <v>1.57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19</v>
      </c>
      <c r="H5" s="13" t="n">
        <f aca="false">4000.01/2000</f>
        <v>2.000005</v>
      </c>
      <c r="I5" s="14" t="n">
        <f aca="false">IF(H5="","",(IF($C$20&lt;25%,"N/A",IF(H5&lt;=($D$20+$A$20),H5,"Descartado"))))</f>
        <v>2.000005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21</v>
      </c>
      <c r="H6" s="13" t="n">
        <f aca="false">3240/2000</f>
        <v>1.62</v>
      </c>
      <c r="I6" s="14" t="n">
        <f aca="false">IF(H6="","",(IF($C$20&lt;25%,"N/A",IF(H6&lt;=($D$20+$A$20),H6,"Descartado"))))</f>
        <v>1.62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94</v>
      </c>
      <c r="H7" s="13" t="n">
        <f aca="false">4005/2000</f>
        <v>2.0025</v>
      </c>
      <c r="I7" s="14" t="n">
        <f aca="false">IF(H7="","",(IF($C$20&lt;25%,"N/A",IF(H7&lt;=($D$20+$A$20),H7,"Descartado"))))</f>
        <v>2.0025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45</v>
      </c>
      <c r="H8" s="13" t="n">
        <f aca="false">4320/2000</f>
        <v>2.16</v>
      </c>
      <c r="I8" s="14" t="n">
        <f aca="false">IF(H8="","",(IF($C$20&lt;25%,"N/A",IF(H8&lt;=($D$20+$A$20),H8,"Descartado"))))</f>
        <v>2.16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183</v>
      </c>
      <c r="H9" s="13" t="n">
        <f aca="false">5480/2000</f>
        <v>2.74</v>
      </c>
      <c r="I9" s="14" t="n">
        <f aca="false">IF(H9="","",(IF($C$20&lt;25%,"N/A",IF(H9&lt;=($D$20+$A$20),H9,"Descartado"))))</f>
        <v>2.74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106</v>
      </c>
      <c r="H10" s="13" t="n">
        <f aca="false">4001/2000</f>
        <v>2.0005</v>
      </c>
      <c r="I10" s="14" t="n">
        <f aca="false">IF(H10="","",(IF($C$20&lt;25%,"N/A",IF(H10&lt;=($D$20+$A$20),H10,"Descartado"))))</f>
        <v>2.0005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107</v>
      </c>
      <c r="H11" s="13" t="n">
        <f aca="false">4004/2000</f>
        <v>2.002</v>
      </c>
      <c r="I11" s="14" t="n">
        <f aca="false">IF(H11="","",(IF($C$20&lt;25%,"N/A",IF(H11&lt;=($D$20+$A$20),H11,"Descartado"))))</f>
        <v>2.002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42" t="s">
        <v>23</v>
      </c>
      <c r="H12" s="13" t="n">
        <v>2.3</v>
      </c>
      <c r="I12" s="14" t="n">
        <f aca="false">IF(H12="","",(IF($C$20&lt;25%,"N/A",IF(H12&lt;=($D$20+$A$20),H12,"Descartado"))))</f>
        <v>2.3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2.16167889498013</v>
      </c>
      <c r="B20" s="25" t="n">
        <f aca="false">COUNT(H3:H17)</f>
        <v>10</v>
      </c>
      <c r="C20" s="26" t="n">
        <f aca="false">IF(B20&lt;2,"N/A",(A20/D20))</f>
        <v>0.794734887860341</v>
      </c>
      <c r="D20" s="27" t="n">
        <f aca="false">ROUND(AVERAGE(H3:H17),2)</f>
        <v>2.72</v>
      </c>
      <c r="E20" s="28" t="n">
        <f aca="false">IFERROR(ROUND(IF(B20&lt;2,"N/A",(IF(C20&lt;=25%,"N/A",AVERAGE(I3:I17)))),2),"N/A")</f>
        <v>2.04</v>
      </c>
      <c r="F20" s="28" t="n">
        <f aca="false">ROUND(MEDIAN(H3:H17),2)</f>
        <v>2</v>
      </c>
      <c r="G20" s="29" t="str">
        <f aca="false">INDEX(G3:G17,MATCH(H20,H3:H17,0))</f>
        <v>G.M DE BARROS EIRELI</v>
      </c>
      <c r="H20" s="30" t="n">
        <f aca="false">MIN(H3:H17)</f>
        <v>1.57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4000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D1" colorId="64" zoomScale="100" zoomScaleNormal="100" zoomScalePageLayoutView="100" workbookViewId="0">
      <selection pane="topLeft" activeCell="G18" activeCellId="0" sqref="G18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184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185</v>
      </c>
      <c r="C3" s="9" t="s">
        <v>11</v>
      </c>
      <c r="D3" s="10" t="n">
        <v>1500</v>
      </c>
      <c r="E3" s="11" t="n">
        <f aca="false">IF(C20&lt;=25%,D20,MIN(E20:F20))</f>
        <v>1.9</v>
      </c>
      <c r="F3" s="11" t="n">
        <f aca="false">MIN(H3:H17)</f>
        <v>0.68</v>
      </c>
      <c r="G3" s="12" t="s">
        <v>12</v>
      </c>
      <c r="H3" s="13" t="n">
        <v>7.2</v>
      </c>
      <c r="I3" s="14" t="n">
        <f aca="false">IF(H3="","",(IF($C$20&lt;25%,"N/A",IF(H3&lt;=($D$20+$A$20),H3,"Descartado"))))</f>
        <v>7.2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118</v>
      </c>
      <c r="H4" s="13" t="n">
        <v>1.33</v>
      </c>
      <c r="I4" s="14" t="n">
        <f aca="false">IF(H4="","",(IF($C$20&lt;25%,"N/A",IF(H4&lt;=($D$20+$A$20),H4,"Descartado"))))</f>
        <v>1.33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94</v>
      </c>
      <c r="H5" s="13" t="n">
        <v>1.78</v>
      </c>
      <c r="I5" s="14" t="n">
        <f aca="false">IF(H5="","",(IF($C$20&lt;25%,"N/A",IF(H5&lt;=($D$20+$A$20),H5,"Descartado"))))</f>
        <v>1.78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95</v>
      </c>
      <c r="H6" s="13" t="n">
        <v>0.68</v>
      </c>
      <c r="I6" s="14" t="n">
        <f aca="false">IF(H6="","",(IF($C$20&lt;25%,"N/A",IF(H6&lt;=($D$20+$A$20),H6,"Descartado"))))</f>
        <v>0.68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65</v>
      </c>
      <c r="H7" s="13" t="n">
        <v>2.1</v>
      </c>
      <c r="I7" s="14" t="n">
        <f aca="false">IF(H7="","",(IF($C$20&lt;25%,"N/A",IF(H7&lt;=($D$20+$A$20),H7,"Descartado"))))</f>
        <v>2.1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186</v>
      </c>
      <c r="H8" s="13" t="n">
        <v>10</v>
      </c>
      <c r="I8" s="14" t="n">
        <f aca="false">IF(H8="","",(IF($C$20&lt;25%,"N/A",IF(H8&lt;=($D$20+$A$20),H8,"Descartado"))))</f>
        <v>10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97</v>
      </c>
      <c r="H9" s="13" t="n">
        <v>0.8</v>
      </c>
      <c r="I9" s="14" t="n">
        <f aca="false">IF(H9="","",(IF($C$20&lt;25%,"N/A",IF(H9&lt;=($D$20+$A$20),H9,"Descartado"))))</f>
        <v>0.8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187</v>
      </c>
      <c r="H10" s="13" t="n">
        <v>10</v>
      </c>
      <c r="I10" s="14" t="n">
        <f aca="false">IF(H10="","",(IF($C$20&lt;25%,"N/A",IF(H10&lt;=($D$20+$A$20),H10,"Descartado"))))</f>
        <v>10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96</v>
      </c>
      <c r="H11" s="13" t="n">
        <v>12</v>
      </c>
      <c r="I11" s="14" t="str">
        <f aca="false">IF(H11="","",(IF($C$20&lt;25%,"N/A",IF(H11&lt;=($D$20+$A$20),H11,"Descartado"))))</f>
        <v>Descartado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92</v>
      </c>
      <c r="H12" s="13" t="n">
        <v>25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19</v>
      </c>
      <c r="H13" s="13" t="n">
        <v>2.2</v>
      </c>
      <c r="I13" s="14" t="n">
        <f aca="false">IF(H13="","",(IF($C$20&lt;25%,"N/A",IF(H13&lt;=($D$20+$A$20),H13,"Descartado"))))</f>
        <v>2.2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 t="s">
        <v>98</v>
      </c>
      <c r="H14" s="13" t="n">
        <v>1.9</v>
      </c>
      <c r="I14" s="14" t="n">
        <f aca="false">IF(H14="","",(IF($C$20&lt;25%,"N/A",IF(H14&lt;=($D$20+$A$20),H14,"Descartado"))))</f>
        <v>1.9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 t="s">
        <v>99</v>
      </c>
      <c r="H15" s="13" t="n">
        <v>0.72</v>
      </c>
      <c r="I15" s="14" t="n">
        <f aca="false">IF(H15="","",(IF($C$20&lt;25%,"N/A",IF(H15&lt;=($D$20+$A$20),H15,"Descartado"))))</f>
        <v>0.72</v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 t="s">
        <v>53</v>
      </c>
      <c r="H16" s="13" t="n">
        <v>1.35</v>
      </c>
      <c r="I16" s="14" t="n">
        <f aca="false">IF(H16="","",(IF($C$20&lt;25%,"N/A",IF(H16&lt;=($D$20+$A$20),H16,"Descartado"))))</f>
        <v>1.35</v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42" t="s">
        <v>23</v>
      </c>
      <c r="H17" s="13" t="n">
        <v>1.75</v>
      </c>
      <c r="I17" s="14" t="n">
        <f aca="false">IF(H17="","",(IF($C$20&lt;25%,"N/A",IF(H17&lt;=($D$20+$A$20),H17,"Descartado"))))</f>
        <v>1.75</v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6.71392667733059</v>
      </c>
      <c r="B20" s="25" t="n">
        <f aca="false">COUNT(H3:H17)</f>
        <v>15</v>
      </c>
      <c r="C20" s="26" t="n">
        <f aca="false">IF(B20&lt;2,"N/A",(A20/D20))</f>
        <v>1.2788431766344</v>
      </c>
      <c r="D20" s="27" t="n">
        <f aca="false">ROUND(AVERAGE(H3:H17),2)</f>
        <v>5.25</v>
      </c>
      <c r="E20" s="28" t="n">
        <f aca="false">IFERROR(ROUND(IF(B20&lt;2,"N/A",(IF(C20&lt;=25%,"N/A",AVERAGE(I3:I17)))),2),"N/A")</f>
        <v>3.22</v>
      </c>
      <c r="F20" s="28" t="n">
        <f aca="false">ROUND(MEDIAN(H3:H17),2)</f>
        <v>1.9</v>
      </c>
      <c r="G20" s="29" t="str">
        <f aca="false">INDEX(G3:G17,MATCH(H20,H3:H17,0))</f>
        <v>J.F. GRAFICA E EDICOES EIRELI</v>
      </c>
      <c r="H20" s="30" t="n">
        <f aca="false">MIN(H3:H17)</f>
        <v>0.68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1.9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2850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4" activeCellId="0" sqref="G4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188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189</v>
      </c>
      <c r="C3" s="9" t="s">
        <v>11</v>
      </c>
      <c r="D3" s="10" t="n">
        <v>10</v>
      </c>
      <c r="E3" s="11" t="n">
        <f aca="false">IF(C20&lt;=25%,D20,MIN(E20:F20))</f>
        <v>599</v>
      </c>
      <c r="F3" s="11" t="n">
        <f aca="false">MIN(H3:H17)</f>
        <v>599</v>
      </c>
      <c r="G3" s="12" t="s">
        <v>12</v>
      </c>
      <c r="H3" s="13" t="n">
        <v>599</v>
      </c>
      <c r="I3" s="14" t="e">
        <f aca="false">IF(H3="","",(IF($C$20&lt;25%,"N/A",IF(H3&lt;=($D$20+$A$20),H3,"Descartado"))))</f>
        <v>#VALUE!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1</v>
      </c>
      <c r="C20" s="26" t="str">
        <f aca="false">IF(B20&lt;2,"N/A",(A20/D20))</f>
        <v>N/A</v>
      </c>
      <c r="D20" s="27" t="n">
        <f aca="false">ROUND(AVERAGE(H3:H17),2)</f>
        <v>599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599</v>
      </c>
      <c r="G20" s="29" t="str">
        <f aca="false">INDEX(G3:G17,MATCH(H20,H3:H17,0))</f>
        <v>PANTOGRAF GRAFICA E EDITORA LTDA</v>
      </c>
      <c r="H20" s="30" t="n">
        <f aca="false">MIN(H3:H17)</f>
        <v>599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599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5990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G5" activeCellId="0" sqref="G5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190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191</v>
      </c>
      <c r="C3" s="9" t="s">
        <v>11</v>
      </c>
      <c r="D3" s="10" t="n">
        <v>3000</v>
      </c>
      <c r="E3" s="11" t="n">
        <f aca="false">IF(C20&lt;=25%,D20,MIN(E20:F20))</f>
        <v>35.72</v>
      </c>
      <c r="F3" s="11" t="n">
        <f aca="false">MIN(H3:H17)</f>
        <v>22.1</v>
      </c>
      <c r="G3" s="12" t="s">
        <v>12</v>
      </c>
      <c r="H3" s="13" t="n">
        <v>22.1</v>
      </c>
      <c r="I3" s="14" t="n">
        <f aca="false">IF(H3="","",(IF($C$20&lt;25%,"N/A",IF(H3&lt;=($D$20+$A$20),H3,"Descartado"))))</f>
        <v>22.1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42" t="s">
        <v>23</v>
      </c>
      <c r="H4" s="13" t="n">
        <v>49.34</v>
      </c>
      <c r="I4" s="14" t="n">
        <f aca="false">IF(H4="","",(IF($C$20&lt;25%,"N/A",IF(H4&lt;=($D$20+$A$20),H4,"Descartado"))))</f>
        <v>49.34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19.2615887195216</v>
      </c>
      <c r="B20" s="25" t="n">
        <f aca="false">COUNT(H3:H17)</f>
        <v>2</v>
      </c>
      <c r="C20" s="26" t="n">
        <f aca="false">IF(B20&lt;2,"N/A",(A20/D20))</f>
        <v>0.539238206033638</v>
      </c>
      <c r="D20" s="27" t="n">
        <f aca="false">ROUND(AVERAGE(H3:H17),2)</f>
        <v>35.72</v>
      </c>
      <c r="E20" s="28" t="n">
        <f aca="false">IFERROR(ROUND(IF(B20&lt;2,"N/A",(IF(C20&lt;=25%,"N/A",AVERAGE(I3:I17)))),2),"N/A")</f>
        <v>35.72</v>
      </c>
      <c r="F20" s="28" t="n">
        <f aca="false">ROUND(MEDIAN(H3:H17),2)</f>
        <v>35.72</v>
      </c>
      <c r="G20" s="29" t="str">
        <f aca="false">INDEX(G3:G17,MATCH(H20,H3:H17,0))</f>
        <v>PANTOGRAF GRAFICA E EDITORA LTDA</v>
      </c>
      <c r="H20" s="30" t="n">
        <f aca="false">MIN(H3:H17)</f>
        <v>22.1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35.72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107160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E1" colorId="64" zoomScale="100" zoomScaleNormal="100" zoomScalePageLayoutView="100" workbookViewId="0">
      <selection pane="topLeft" activeCell="G13" activeCellId="0" sqref="G13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192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193</v>
      </c>
      <c r="C3" s="9" t="s">
        <v>102</v>
      </c>
      <c r="D3" s="10" t="n">
        <v>2400</v>
      </c>
      <c r="E3" s="11" t="n">
        <f aca="false">IF(C20&lt;=25%,D20,MIN(E20:F20))</f>
        <v>11.7</v>
      </c>
      <c r="F3" s="11" t="n">
        <f aca="false">MIN(H3:H17)</f>
        <v>5.99</v>
      </c>
      <c r="G3" s="12" t="s">
        <v>12</v>
      </c>
      <c r="H3" s="13" t="n">
        <v>6.3</v>
      </c>
      <c r="I3" s="14" t="n">
        <f aca="false">IF(H3="","",(IF($C$20&lt;25%,"N/A",IF(H3&lt;=($D$20+$A$20),H3,"Descartado"))))</f>
        <v>6.3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94</v>
      </c>
      <c r="H4" s="13" t="n">
        <v>7</v>
      </c>
      <c r="I4" s="14" t="n">
        <f aca="false">IF(H4="","",(IF($C$20&lt;25%,"N/A",IF(H4&lt;=($D$20+$A$20),H4,"Descartado"))))</f>
        <v>7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95</v>
      </c>
      <c r="H5" s="13" t="n">
        <v>18</v>
      </c>
      <c r="I5" s="14" t="n">
        <f aca="false">IF(H5="","",(IF($C$20&lt;25%,"N/A",IF(H5&lt;=($D$20+$A$20),H5,"Descartado"))))</f>
        <v>18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65</v>
      </c>
      <c r="H6" s="13" t="n">
        <v>25</v>
      </c>
      <c r="I6" s="14" t="str">
        <f aca="false">IF(H6="","",(IF($C$20&lt;25%,"N/A",IF(H6&lt;=($D$20+$A$20),H6,"Descartado"))))</f>
        <v>Descartado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19</v>
      </c>
      <c r="H7" s="13" t="n">
        <v>6.5</v>
      </c>
      <c r="I7" s="14" t="n">
        <f aca="false">IF(H7="","",(IF($C$20&lt;25%,"N/A",IF(H7&lt;=($D$20+$A$20),H7,"Descartado"))))</f>
        <v>6.5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97</v>
      </c>
      <c r="H8" s="13" t="n">
        <v>12</v>
      </c>
      <c r="I8" s="14" t="n">
        <f aca="false">IF(H8="","",(IF($C$20&lt;25%,"N/A",IF(H8&lt;=($D$20+$A$20),H8,"Descartado"))))</f>
        <v>12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98</v>
      </c>
      <c r="H9" s="13" t="n">
        <v>16</v>
      </c>
      <c r="I9" s="14" t="n">
        <f aca="false">IF(H9="","",(IF($C$20&lt;25%,"N/A",IF(H9&lt;=($D$20+$A$20),H9,"Descartado"))))</f>
        <v>16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99</v>
      </c>
      <c r="H10" s="13" t="n">
        <v>18</v>
      </c>
      <c r="I10" s="14" t="n">
        <f aca="false">IF(H10="","",(IF($C$20&lt;25%,"N/A",IF(H10&lt;=($D$20+$A$20),H10,"Descartado"))))</f>
        <v>18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53</v>
      </c>
      <c r="H11" s="13" t="n">
        <v>15.52</v>
      </c>
      <c r="I11" s="14" t="n">
        <f aca="false">IF(H11="","",(IF($C$20&lt;25%,"N/A",IF(H11&lt;=($D$20+$A$20),H11,"Descartado"))))</f>
        <v>15.52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42" t="s">
        <v>23</v>
      </c>
      <c r="H12" s="13" t="n">
        <v>5.99</v>
      </c>
      <c r="I12" s="14" t="n">
        <f aca="false">IF(H12="","",(IF($C$20&lt;25%,"N/A",IF(H12&lt;=($D$20+$A$20),H12,"Descartado"))))</f>
        <v>5.99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6.52023252823258</v>
      </c>
      <c r="B20" s="25" t="n">
        <f aca="false">COUNT(H3:H17)</f>
        <v>10</v>
      </c>
      <c r="C20" s="26" t="n">
        <f aca="false">IF(B20&lt;2,"N/A",(A20/D20))</f>
        <v>0.500401575459139</v>
      </c>
      <c r="D20" s="27" t="n">
        <f aca="false">ROUND(AVERAGE(H3:H17),2)</f>
        <v>13.03</v>
      </c>
      <c r="E20" s="28" t="n">
        <f aca="false">IFERROR(ROUND(IF(B20&lt;2,"N/A",(IF(C20&lt;=25%,"N/A",AVERAGE(I3:I17)))),2),"N/A")</f>
        <v>11.7</v>
      </c>
      <c r="F20" s="28" t="n">
        <f aca="false">ROUND(MEDIAN(H3:H17),2)</f>
        <v>13.76</v>
      </c>
      <c r="G20" s="29" t="str">
        <f aca="false">INDEX(G3:G17,MATCH(H20,H3:H17,0))</f>
        <v>EMPRESA GRÁFICA DA BAHIA – EGBA</v>
      </c>
      <c r="H20" s="30" t="n">
        <f aca="false">MIN(H3:H17)</f>
        <v>5.99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11.7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28080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G13" activeCellId="0" sqref="G13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59</v>
      </c>
      <c r="C3" s="9" t="s">
        <v>11</v>
      </c>
      <c r="D3" s="10" t="n">
        <v>600</v>
      </c>
      <c r="E3" s="11" t="n">
        <f aca="false">IF(C20&lt;=25%,D20,MIN(E20:F20))</f>
        <v>13.7</v>
      </c>
      <c r="F3" s="11" t="n">
        <f aca="false">MIN(H3:H17)</f>
        <v>9.92</v>
      </c>
      <c r="G3" s="12" t="s">
        <v>12</v>
      </c>
      <c r="H3" s="13" t="n">
        <v>17.8</v>
      </c>
      <c r="I3" s="14" t="str">
        <f aca="false">IF(H3="","",(IF($C$20&lt;25%,"N/A",IF(H3&lt;=($D$20+$A$20),H3,"Descartado"))))</f>
        <v>N/A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42</v>
      </c>
      <c r="H4" s="13" t="n">
        <v>9.92</v>
      </c>
      <c r="I4" s="14" t="str">
        <f aca="false">IF(H4="","",(IF($C$20&lt;25%,"N/A",IF(H4&lt;=($D$20+$A$20),H4,"Descartado"))))</f>
        <v>N/A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43</v>
      </c>
      <c r="H5" s="13" t="n">
        <v>10.7</v>
      </c>
      <c r="I5" s="14" t="str">
        <f aca="false">IF(H5="","",(IF($C$20&lt;25%,"N/A",IF(H5&lt;=($D$20+$A$20),H5,"Descartado"))))</f>
        <v>N/A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44</v>
      </c>
      <c r="H6" s="13" t="n">
        <v>15.86</v>
      </c>
      <c r="I6" s="14" t="str">
        <f aca="false">IF(H6="","",(IF($C$20&lt;25%,"N/A",IF(H6&lt;=($D$20+$A$20),H6,"Descartado"))))</f>
        <v>N/A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45</v>
      </c>
      <c r="H7" s="13" t="n">
        <v>12</v>
      </c>
      <c r="I7" s="14" t="str">
        <f aca="false">IF(H7="","",(IF($C$20&lt;25%,"N/A",IF(H7&lt;=($D$20+$A$20),H7,"Descartado"))))</f>
        <v>N/A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46</v>
      </c>
      <c r="H8" s="13" t="n">
        <v>15.98</v>
      </c>
      <c r="I8" s="14" t="str">
        <f aca="false">IF(H8="","",(IF($C$20&lt;25%,"N/A",IF(H8&lt;=($D$20+$A$20),H8,"Descartado"))))</f>
        <v>N/A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47</v>
      </c>
      <c r="H9" s="13" t="n">
        <v>10.65</v>
      </c>
      <c r="I9" s="14" t="str">
        <f aca="false">IF(H9="","",(IF($C$20&lt;25%,"N/A",IF(H9&lt;=($D$20+$A$20),H9,"Descartado"))))</f>
        <v>N/A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48</v>
      </c>
      <c r="H10" s="13" t="n">
        <v>15.88</v>
      </c>
      <c r="I10" s="14" t="str">
        <f aca="false">IF(H10="","",(IF($C$20&lt;25%,"N/A",IF(H10&lt;=($D$20+$A$20),H10,"Descartado"))))</f>
        <v>N/A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49</v>
      </c>
      <c r="H11" s="13" t="n">
        <v>12</v>
      </c>
      <c r="I11" s="14" t="str">
        <f aca="false">IF(H11="","",(IF($C$20&lt;25%,"N/A",IF(H11&lt;=($D$20+$A$20),H11,"Descartado"))))</f>
        <v>N/A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42" t="s">
        <v>23</v>
      </c>
      <c r="H12" s="13" t="n">
        <v>16.16</v>
      </c>
      <c r="I12" s="14" t="str">
        <f aca="false">IF(H12="","",(IF($C$20&lt;25%,"N/A",IF(H12&lt;=($D$20+$A$20),H12,"Descartado"))))</f>
        <v>N/A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2.90303768108128</v>
      </c>
      <c r="B20" s="25" t="n">
        <f aca="false">COUNT(H3:H17)</f>
        <v>10</v>
      </c>
      <c r="C20" s="26" t="n">
        <f aca="false">IF(B20&lt;2,"N/A",(A20/D20))</f>
        <v>0.211900560662867</v>
      </c>
      <c r="D20" s="27" t="n">
        <f aca="false">ROUND(AVERAGE(H3:H17),2)</f>
        <v>13.7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13.93</v>
      </c>
      <c r="G20" s="29" t="str">
        <f aca="false">INDEX(G3:G17,MATCH(H20,H3:H17,0))</f>
        <v>CALGAN EDITORA GRAFICA LTDA</v>
      </c>
      <c r="H20" s="30" t="n">
        <f aca="false">MIN(H3:H17)</f>
        <v>9.92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13.7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8220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true" showOutlineSymbols="true" defaultGridColor="true" view="pageBreakPreview" topLeftCell="D1" colorId="64" zoomScale="100" zoomScaleNormal="100" zoomScalePageLayoutView="100" workbookViewId="0">
      <selection pane="topLeft" activeCell="G10" activeCellId="0" sqref="G10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194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195</v>
      </c>
      <c r="C3" s="9" t="s">
        <v>102</v>
      </c>
      <c r="D3" s="10" t="n">
        <v>1200</v>
      </c>
      <c r="E3" s="11" t="n">
        <f aca="false">IF(C20&lt;=25%,D20,MIN(E20:F20))</f>
        <v>1.9</v>
      </c>
      <c r="F3" s="11" t="n">
        <f aca="false">MIN(H3:H17)</f>
        <v>0.4</v>
      </c>
      <c r="G3" s="12" t="s">
        <v>12</v>
      </c>
      <c r="H3" s="13" t="n">
        <v>1.9</v>
      </c>
      <c r="I3" s="14" t="n">
        <f aca="false">IF(H3="","",(IF($C$20&lt;25%,"N/A",IF(H3&lt;=($D$20+$A$20),H3,"Descartado"))))</f>
        <v>1.9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167</v>
      </c>
      <c r="H4" s="13" t="n">
        <v>1.8</v>
      </c>
      <c r="I4" s="14" t="n">
        <f aca="false">IF(H4="","",(IF($C$20&lt;25%,"N/A",IF(H4&lt;=($D$20+$A$20),H4,"Descartado"))))</f>
        <v>1.8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44</v>
      </c>
      <c r="H5" s="13" t="n">
        <v>2.56</v>
      </c>
      <c r="I5" s="14" t="n">
        <f aca="false">IF(H5="","",(IF($C$20&lt;25%,"N/A",IF(H5&lt;=($D$20+$A$20),H5,"Descartado"))))</f>
        <v>2.56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196</v>
      </c>
      <c r="H6" s="13" t="n">
        <v>2.56</v>
      </c>
      <c r="I6" s="14" t="n">
        <f aca="false">IF(H6="","",(IF($C$20&lt;25%,"N/A",IF(H6&lt;=($D$20+$A$20),H6,"Descartado"))))</f>
        <v>2.56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197</v>
      </c>
      <c r="H7" s="13" t="n">
        <v>1.5</v>
      </c>
      <c r="I7" s="14" t="n">
        <f aca="false">IF(H7="","",(IF($C$20&lt;25%,"N/A",IF(H7&lt;=($D$20+$A$20),H7,"Descartado"))))</f>
        <v>1.5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198</v>
      </c>
      <c r="H8" s="13" t="n">
        <v>2.55</v>
      </c>
      <c r="I8" s="14" t="n">
        <f aca="false">IF(H8="","",(IF($C$20&lt;25%,"N/A",IF(H8&lt;=($D$20+$A$20),H8,"Descartado"))))</f>
        <v>2.55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42" t="s">
        <v>23</v>
      </c>
      <c r="H9" s="13" t="n">
        <v>0.4</v>
      </c>
      <c r="I9" s="14" t="n">
        <f aca="false">IF(H9="","",(IF($C$20&lt;25%,"N/A",IF(H9&lt;=($D$20+$A$20),H9,"Descartado"))))</f>
        <v>0.4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0.786720135390325</v>
      </c>
      <c r="B20" s="25" t="n">
        <f aca="false">COUNT(H3:H17)</f>
        <v>7</v>
      </c>
      <c r="C20" s="26" t="n">
        <f aca="false">IF(B20&lt;2,"N/A",(A20/D20))</f>
        <v>0.414063229152803</v>
      </c>
      <c r="D20" s="27" t="n">
        <f aca="false">ROUND(AVERAGE(H3:H17),2)</f>
        <v>1.9</v>
      </c>
      <c r="E20" s="28" t="n">
        <f aca="false">IFERROR(ROUND(IF(B20&lt;2,"N/A",(IF(C20&lt;=25%,"N/A",AVERAGE(I3:I17)))),2),"N/A")</f>
        <v>1.9</v>
      </c>
      <c r="F20" s="28" t="n">
        <f aca="false">ROUND(MEDIAN(H3:H17),2)</f>
        <v>1.9</v>
      </c>
      <c r="G20" s="29" t="str">
        <f aca="false">INDEX(G3:G17,MATCH(H20,H3:H17,0))</f>
        <v>EMPRESA GRÁFICA DA BAHIA – EGBA</v>
      </c>
      <c r="H20" s="30" t="n">
        <f aca="false">MIN(H3:H17)</f>
        <v>0.4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1.9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2280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199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/>
      <c r="C3" s="9" t="s">
        <v>102</v>
      </c>
      <c r="D3" s="10"/>
      <c r="E3" s="11" t="e">
        <f aca="false">IF(C20&lt;=25%,D20,MIN(E20:F20))</f>
        <v>#VALUE!</v>
      </c>
      <c r="F3" s="11" t="n">
        <f aca="false">MIN(H3:H17)</f>
        <v>0</v>
      </c>
      <c r="G3" s="12"/>
      <c r="H3" s="13"/>
      <c r="I3" s="14" t="str">
        <f aca="false">IF(H3="","",(IF($C$20&lt;25%,"N/A",IF(H3&lt;=($D$20+$A$20),H3,"Descartado"))))</f>
        <v/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0</v>
      </c>
      <c r="C20" s="26" t="str">
        <f aca="false">IF(B20&lt;2,"N/A",(A20/D20))</f>
        <v>N/A</v>
      </c>
      <c r="D20" s="27" t="e">
        <f aca="false">ROUND(AVERAGE(H3:H17),2)</f>
        <v>#DIV/0!</v>
      </c>
      <c r="E20" s="28" t="str">
        <f aca="false">IFERROR(ROUND(IF(B20&lt;2,"N/A",(IF(C20&lt;=25%,"N/A",AVERAGE(I3:I17)))),2),"N/A")</f>
        <v>N/A</v>
      </c>
      <c r="F20" s="28" t="e">
        <f aca="false">ROUND(MEDIAN(H3:H17),2)</f>
        <v>#VALUE!</v>
      </c>
      <c r="G20" s="29" t="e">
        <f aca="false">INDEX(G3:G17,MATCH(H20,H3:H17,0))</f>
        <v>#N/A</v>
      </c>
      <c r="H20" s="30" t="n">
        <f aca="false">MIN(H3:H17)</f>
        <v>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e">
        <f aca="false">IF(C20&lt;=25%,D20,MIN(E20:F20))</f>
        <v>#VALUE!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e">
        <f aca="false">ROUND(H22,2)*D3</f>
        <v>#VALUE!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200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/>
      <c r="C3" s="9" t="s">
        <v>102</v>
      </c>
      <c r="D3" s="10"/>
      <c r="E3" s="11" t="e">
        <f aca="false">IF(C20&lt;=25%,D20,MIN(E20:F20))</f>
        <v>#VALUE!</v>
      </c>
      <c r="F3" s="11" t="n">
        <f aca="false">MIN(H3:H17)</f>
        <v>0</v>
      </c>
      <c r="G3" s="12"/>
      <c r="H3" s="13"/>
      <c r="I3" s="14" t="str">
        <f aca="false">IF(H3="","",(IF($C$20&lt;25%,"N/A",IF(H3&lt;=($D$20+$A$20),H3,"Descartado"))))</f>
        <v/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0</v>
      </c>
      <c r="C20" s="26" t="str">
        <f aca="false">IF(B20&lt;2,"N/A",(A20/D20))</f>
        <v>N/A</v>
      </c>
      <c r="D20" s="27" t="e">
        <f aca="false">ROUND(AVERAGE(H3:H17),2)</f>
        <v>#DIV/0!</v>
      </c>
      <c r="E20" s="28" t="str">
        <f aca="false">IFERROR(ROUND(IF(B20&lt;2,"N/A",(IF(C20&lt;=25%,"N/A",AVERAGE(I3:I17)))),2),"N/A")</f>
        <v>N/A</v>
      </c>
      <c r="F20" s="28" t="e">
        <f aca="false">ROUND(MEDIAN(H3:H17),2)</f>
        <v>#VALUE!</v>
      </c>
      <c r="G20" s="29" t="e">
        <f aca="false">INDEX(G3:G17,MATCH(H20,H3:H17,0))</f>
        <v>#N/A</v>
      </c>
      <c r="H20" s="30" t="n">
        <f aca="false">MIN(H3:H17)</f>
        <v>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e">
        <f aca="false">IF(C20&lt;=25%,D20,MIN(E20:F20))</f>
        <v>#VALUE!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e">
        <f aca="false">ROUND(H22,2)*D3</f>
        <v>#VALUE!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201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/>
      <c r="C3" s="9" t="s">
        <v>102</v>
      </c>
      <c r="D3" s="10"/>
      <c r="E3" s="11" t="e">
        <f aca="false">IF(C20&lt;=25%,D20,MIN(E20:F20))</f>
        <v>#VALUE!</v>
      </c>
      <c r="F3" s="11" t="n">
        <f aca="false">MIN(H3:H17)</f>
        <v>0</v>
      </c>
      <c r="G3" s="12"/>
      <c r="H3" s="13"/>
      <c r="I3" s="14" t="str">
        <f aca="false">IF(H3="","",(IF($C$20&lt;25%,"N/A",IF(H3&lt;=($D$20+$A$20),H3,"Descartado"))))</f>
        <v/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0</v>
      </c>
      <c r="C20" s="26" t="str">
        <f aca="false">IF(B20&lt;2,"N/A",(A20/D20))</f>
        <v>N/A</v>
      </c>
      <c r="D20" s="27" t="e">
        <f aca="false">ROUND(AVERAGE(H3:H17),2)</f>
        <v>#DIV/0!</v>
      </c>
      <c r="E20" s="28" t="str">
        <f aca="false">IFERROR(ROUND(IF(B20&lt;2,"N/A",(IF(C20&lt;=25%,"N/A",AVERAGE(I3:I17)))),2),"N/A")</f>
        <v>N/A</v>
      </c>
      <c r="F20" s="28" t="e">
        <f aca="false">ROUND(MEDIAN(H3:H17),2)</f>
        <v>#VALUE!</v>
      </c>
      <c r="G20" s="29" t="e">
        <f aca="false">INDEX(G3:G17,MATCH(H20,H3:H17,0))</f>
        <v>#N/A</v>
      </c>
      <c r="H20" s="30" t="n">
        <f aca="false">MIN(H3:H17)</f>
        <v>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e">
        <f aca="false">IF(C20&lt;=25%,D20,MIN(E20:F20))</f>
        <v>#VALUE!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e">
        <f aca="false">ROUND(H22,2)*D3</f>
        <v>#VALUE!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202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/>
      <c r="C3" s="9" t="s">
        <v>102</v>
      </c>
      <c r="D3" s="10"/>
      <c r="E3" s="11" t="e">
        <f aca="false">IF(C20&lt;=25%,D20,MIN(E20:F20))</f>
        <v>#VALUE!</v>
      </c>
      <c r="F3" s="11" t="n">
        <f aca="false">MIN(H3:H17)</f>
        <v>0</v>
      </c>
      <c r="G3" s="12"/>
      <c r="H3" s="13"/>
      <c r="I3" s="14" t="str">
        <f aca="false">IF(H3="","",(IF($C$20&lt;25%,"N/A",IF(H3&lt;=($D$20+$A$20),H3,"Descartado"))))</f>
        <v/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0</v>
      </c>
      <c r="C20" s="26" t="str">
        <f aca="false">IF(B20&lt;2,"N/A",(A20/D20))</f>
        <v>N/A</v>
      </c>
      <c r="D20" s="27" t="e">
        <f aca="false">ROUND(AVERAGE(H3:H17),2)</f>
        <v>#DIV/0!</v>
      </c>
      <c r="E20" s="28" t="str">
        <f aca="false">IFERROR(ROUND(IF(B20&lt;2,"N/A",(IF(C20&lt;=25%,"N/A",AVERAGE(I3:I17)))),2),"N/A")</f>
        <v>N/A</v>
      </c>
      <c r="F20" s="28" t="e">
        <f aca="false">ROUND(MEDIAN(H3:H17),2)</f>
        <v>#VALUE!</v>
      </c>
      <c r="G20" s="29" t="e">
        <f aca="false">INDEX(G3:G17,MATCH(H20,H3:H17,0))</f>
        <v>#N/A</v>
      </c>
      <c r="H20" s="30" t="n">
        <f aca="false">MIN(H3:H17)</f>
        <v>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e">
        <f aca="false">IF(C20&lt;=25%,D20,MIN(E20:F20))</f>
        <v>#VALUE!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e">
        <f aca="false">ROUND(H22,2)*D3</f>
        <v>#VALUE!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203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/>
      <c r="C3" s="9" t="s">
        <v>102</v>
      </c>
      <c r="D3" s="10"/>
      <c r="E3" s="11" t="e">
        <f aca="false">IF(C20&lt;=25%,D20,MIN(E20:F20))</f>
        <v>#VALUE!</v>
      </c>
      <c r="F3" s="11" t="n">
        <f aca="false">MIN(H3:H17)</f>
        <v>0</v>
      </c>
      <c r="G3" s="12"/>
      <c r="H3" s="13"/>
      <c r="I3" s="14" t="str">
        <f aca="false">IF(H3="","",(IF($C$20&lt;25%,"N/A",IF(H3&lt;=($D$20+$A$20),H3,"Descartado"))))</f>
        <v/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0</v>
      </c>
      <c r="C20" s="26" t="str">
        <f aca="false">IF(B20&lt;2,"N/A",(A20/D20))</f>
        <v>N/A</v>
      </c>
      <c r="D20" s="27" t="e">
        <f aca="false">ROUND(AVERAGE(H3:H17),2)</f>
        <v>#DIV/0!</v>
      </c>
      <c r="E20" s="28" t="str">
        <f aca="false">IFERROR(ROUND(IF(B20&lt;2,"N/A",(IF(C20&lt;=25%,"N/A",AVERAGE(I3:I17)))),2),"N/A")</f>
        <v>N/A</v>
      </c>
      <c r="F20" s="28" t="e">
        <f aca="false">ROUND(MEDIAN(H3:H17),2)</f>
        <v>#VALUE!</v>
      </c>
      <c r="G20" s="29" t="e">
        <f aca="false">INDEX(G3:G17,MATCH(H20,H3:H17,0))</f>
        <v>#N/A</v>
      </c>
      <c r="H20" s="30" t="n">
        <f aca="false">MIN(H3:H17)</f>
        <v>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e">
        <f aca="false">IF(C20&lt;=25%,D20,MIN(E20:F20))</f>
        <v>#VALUE!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e">
        <f aca="false">ROUND(H22,2)*D3</f>
        <v>#VALUE!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204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/>
      <c r="C3" s="9" t="s">
        <v>102</v>
      </c>
      <c r="D3" s="10"/>
      <c r="E3" s="11" t="e">
        <f aca="false">IF(C20&lt;=25%,D20,MIN(E20:F20))</f>
        <v>#VALUE!</v>
      </c>
      <c r="F3" s="11" t="n">
        <f aca="false">MIN(H3:H17)</f>
        <v>0</v>
      </c>
      <c r="G3" s="12"/>
      <c r="H3" s="13"/>
      <c r="I3" s="14" t="str">
        <f aca="false">IF(H3="","",(IF($C$20&lt;25%,"N/A",IF(H3&lt;=($D$20+$A$20),H3,"Descartado"))))</f>
        <v/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0</v>
      </c>
      <c r="C20" s="26" t="str">
        <f aca="false">IF(B20&lt;2,"N/A",(A20/D20))</f>
        <v>N/A</v>
      </c>
      <c r="D20" s="27" t="e">
        <f aca="false">ROUND(AVERAGE(H3:H17),2)</f>
        <v>#DIV/0!</v>
      </c>
      <c r="E20" s="28" t="str">
        <f aca="false">IFERROR(ROUND(IF(B20&lt;2,"N/A",(IF(C20&lt;=25%,"N/A",AVERAGE(I3:I17)))),2),"N/A")</f>
        <v>N/A</v>
      </c>
      <c r="F20" s="28" t="e">
        <f aca="false">ROUND(MEDIAN(H3:H17),2)</f>
        <v>#VALUE!</v>
      </c>
      <c r="G20" s="29" t="e">
        <f aca="false">INDEX(G3:G17,MATCH(H20,H3:H17,0))</f>
        <v>#N/A</v>
      </c>
      <c r="H20" s="30" t="n">
        <f aca="false">MIN(H3:H17)</f>
        <v>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e">
        <f aca="false">IF(C20&lt;=25%,D20,MIN(E20:F20))</f>
        <v>#VALUE!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e">
        <f aca="false">ROUND(H22,2)*D3</f>
        <v>#VALUE!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205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/>
      <c r="C3" s="9" t="s">
        <v>102</v>
      </c>
      <c r="D3" s="10"/>
      <c r="E3" s="11" t="e">
        <f aca="false">IF(C20&lt;=25%,D20,MIN(E20:F20))</f>
        <v>#VALUE!</v>
      </c>
      <c r="F3" s="11" t="n">
        <f aca="false">MIN(H3:H17)</f>
        <v>0</v>
      </c>
      <c r="G3" s="12"/>
      <c r="H3" s="13"/>
      <c r="I3" s="14" t="str">
        <f aca="false">IF(H3="","",(IF($C$20&lt;25%,"N/A",IF(H3&lt;=($D$20+$A$20),H3,"Descartado"))))</f>
        <v/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0</v>
      </c>
      <c r="C20" s="26" t="str">
        <f aca="false">IF(B20&lt;2,"N/A",(A20/D20))</f>
        <v>N/A</v>
      </c>
      <c r="D20" s="27" t="e">
        <f aca="false">ROUND(AVERAGE(H3:H17),2)</f>
        <v>#DIV/0!</v>
      </c>
      <c r="E20" s="28" t="str">
        <f aca="false">IFERROR(ROUND(IF(B20&lt;2,"N/A",(IF(C20&lt;=25%,"N/A",AVERAGE(I3:I17)))),2),"N/A")</f>
        <v>N/A</v>
      </c>
      <c r="F20" s="28" t="e">
        <f aca="false">ROUND(MEDIAN(H3:H17),2)</f>
        <v>#VALUE!</v>
      </c>
      <c r="G20" s="29" t="e">
        <f aca="false">INDEX(G3:G17,MATCH(H20,H3:H17,0))</f>
        <v>#N/A</v>
      </c>
      <c r="H20" s="30" t="n">
        <f aca="false">MIN(H3:H17)</f>
        <v>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e">
        <f aca="false">IF(C20&lt;=25%,D20,MIN(E20:F20))</f>
        <v>#VALUE!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e">
        <f aca="false">ROUND(H22,2)*D3</f>
        <v>#VALUE!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206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/>
      <c r="C3" s="9" t="s">
        <v>102</v>
      </c>
      <c r="D3" s="10"/>
      <c r="E3" s="11" t="e">
        <f aca="false">IF(C20&lt;=25%,D20,MIN(E20:F20))</f>
        <v>#VALUE!</v>
      </c>
      <c r="F3" s="11" t="n">
        <f aca="false">MIN(H3:H17)</f>
        <v>0</v>
      </c>
      <c r="G3" s="12"/>
      <c r="H3" s="13"/>
      <c r="I3" s="14" t="str">
        <f aca="false">IF(H3="","",(IF($C$20&lt;25%,"N/A",IF(H3&lt;=($D$20+$A$20),H3,"Descartado"))))</f>
        <v/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0</v>
      </c>
      <c r="C20" s="26" t="str">
        <f aca="false">IF(B20&lt;2,"N/A",(A20/D20))</f>
        <v>N/A</v>
      </c>
      <c r="D20" s="27" t="e">
        <f aca="false">ROUND(AVERAGE(H3:H17),2)</f>
        <v>#DIV/0!</v>
      </c>
      <c r="E20" s="28" t="str">
        <f aca="false">IFERROR(ROUND(IF(B20&lt;2,"N/A",(IF(C20&lt;=25%,"N/A",AVERAGE(I3:I17)))),2),"N/A")</f>
        <v>N/A</v>
      </c>
      <c r="F20" s="28" t="e">
        <f aca="false">ROUND(MEDIAN(H3:H17),2)</f>
        <v>#VALUE!</v>
      </c>
      <c r="G20" s="29" t="e">
        <f aca="false">INDEX(G3:G17,MATCH(H20,H3:H17,0))</f>
        <v>#N/A</v>
      </c>
      <c r="H20" s="30" t="n">
        <f aca="false">MIN(H3:H17)</f>
        <v>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e">
        <f aca="false">IF(C20&lt;=25%,D20,MIN(E20:F20))</f>
        <v>#VALUE!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e">
        <f aca="false">ROUND(H22,2)*D3</f>
        <v>#VALUE!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207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/>
      <c r="C3" s="9" t="s">
        <v>102</v>
      </c>
      <c r="D3" s="10"/>
      <c r="E3" s="11" t="e">
        <f aca="false">IF(C20&lt;=25%,D20,MIN(E20:F20))</f>
        <v>#VALUE!</v>
      </c>
      <c r="F3" s="11" t="n">
        <f aca="false">MIN(H3:H17)</f>
        <v>0</v>
      </c>
      <c r="G3" s="12"/>
      <c r="H3" s="13"/>
      <c r="I3" s="14" t="str">
        <f aca="false">IF(H3="","",(IF($C$20&lt;25%,"N/A",IF(H3&lt;=($D$20+$A$20),H3,"Descartado"))))</f>
        <v/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0</v>
      </c>
      <c r="C20" s="26" t="str">
        <f aca="false">IF(B20&lt;2,"N/A",(A20/D20))</f>
        <v>N/A</v>
      </c>
      <c r="D20" s="27" t="e">
        <f aca="false">ROUND(AVERAGE(H3:H17),2)</f>
        <v>#DIV/0!</v>
      </c>
      <c r="E20" s="28" t="str">
        <f aca="false">IFERROR(ROUND(IF(B20&lt;2,"N/A",(IF(C20&lt;=25%,"N/A",AVERAGE(I3:I17)))),2),"N/A")</f>
        <v>N/A</v>
      </c>
      <c r="F20" s="28" t="e">
        <f aca="false">ROUND(MEDIAN(H3:H17),2)</f>
        <v>#VALUE!</v>
      </c>
      <c r="G20" s="29" t="e">
        <f aca="false">INDEX(G3:G17,MATCH(H20,H3:H17,0))</f>
        <v>#N/A</v>
      </c>
      <c r="H20" s="30" t="n">
        <f aca="false">MIN(H3:H17)</f>
        <v>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e">
        <f aca="false">IF(C20&lt;=25%,D20,MIN(E20:F20))</f>
        <v>#VALUE!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e">
        <f aca="false">ROUND(H22,2)*D3</f>
        <v>#VALUE!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6" activeCellId="0" sqref="H16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61</v>
      </c>
      <c r="C3" s="9" t="s">
        <v>11</v>
      </c>
      <c r="D3" s="10" t="n">
        <v>600</v>
      </c>
      <c r="E3" s="11" t="n">
        <f aca="false">IF(C20&lt;=25%,D20,MIN(E20:F20))</f>
        <v>3.15</v>
      </c>
      <c r="F3" s="11" t="n">
        <f aca="false">MIN(H3:H17)</f>
        <v>1.5</v>
      </c>
      <c r="G3" s="12" t="s">
        <v>12</v>
      </c>
      <c r="H3" s="13" t="n">
        <v>14.9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62</v>
      </c>
      <c r="H4" s="13" t="n">
        <v>2.3833</v>
      </c>
      <c r="I4" s="14" t="n">
        <f aca="false">IF(H4="","",(IF($C$20&lt;25%,"N/A",IF(H4&lt;=($D$20+$A$20),H4,"Descartado"))))</f>
        <v>2.3833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63</v>
      </c>
      <c r="H5" s="13" t="n">
        <v>1.5</v>
      </c>
      <c r="I5" s="14" t="n">
        <f aca="false">IF(H5="","",(IF($C$20&lt;25%,"N/A",IF(H5&lt;=($D$20+$A$20),H5,"Descartado"))))</f>
        <v>1.5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64</v>
      </c>
      <c r="H6" s="13" t="n">
        <v>1.51</v>
      </c>
      <c r="I6" s="14" t="n">
        <f aca="false">IF(H6="","",(IF($C$20&lt;25%,"N/A",IF(H6&lt;=($D$20+$A$20),H6,"Descartado"))))</f>
        <v>1.51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65</v>
      </c>
      <c r="H7" s="13" t="n">
        <v>4.16</v>
      </c>
      <c r="I7" s="14" t="n">
        <f aca="false">IF(H7="","",(IF($C$20&lt;25%,"N/A",IF(H7&lt;=($D$20+$A$20),H7,"Descartado"))))</f>
        <v>4.16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66</v>
      </c>
      <c r="H8" s="13" t="n">
        <v>3.2</v>
      </c>
      <c r="I8" s="14" t="n">
        <f aca="false">IF(H8="","",(IF($C$20&lt;25%,"N/A",IF(H8&lt;=($D$20+$A$20),H8,"Descartado"))))</f>
        <v>3.2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21</v>
      </c>
      <c r="H9" s="13" t="n">
        <v>9.8</v>
      </c>
      <c r="I9" s="14" t="str">
        <f aca="false">IF(H9="","",(IF($C$20&lt;25%,"N/A",IF(H9&lt;=($D$20+$A$20),H9,"Descartado"))))</f>
        <v>Descartado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22</v>
      </c>
      <c r="H10" s="13" t="n">
        <v>4.77</v>
      </c>
      <c r="I10" s="14" t="n">
        <f aca="false">IF(H10="","",(IF($C$20&lt;25%,"N/A",IF(H10&lt;=($D$20+$A$20),H10,"Descartado"))))</f>
        <v>4.77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67</v>
      </c>
      <c r="H11" s="13" t="n">
        <v>5.5</v>
      </c>
      <c r="I11" s="14" t="n">
        <f aca="false">IF(H11="","",(IF($C$20&lt;25%,"N/A",IF(H11&lt;=($D$20+$A$20),H11,"Descartado"))))</f>
        <v>5.5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68</v>
      </c>
      <c r="H12" s="13" t="n">
        <v>2.3</v>
      </c>
      <c r="I12" s="14" t="n">
        <f aca="false">IF(H12="","",(IF($C$20&lt;25%,"N/A",IF(H12&lt;=($D$20+$A$20),H12,"Descartado"))))</f>
        <v>2.3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17</v>
      </c>
      <c r="H13" s="13" t="n">
        <v>2.2</v>
      </c>
      <c r="I13" s="14" t="n">
        <f aca="false">IF(H13="","",(IF($C$20&lt;25%,"N/A",IF(H13&lt;=($D$20+$A$20),H13,"Descartado"))))</f>
        <v>2.2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16</v>
      </c>
      <c r="H14" s="13" t="n">
        <v>4</v>
      </c>
      <c r="I14" s="14" t="n">
        <f aca="false">IF(H14="","",(IF($C$20&lt;25%,"N/A",IF(H14&lt;=($D$20+$A$20),H14,"Descartado"))))</f>
        <v>4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42" t="s">
        <v>23</v>
      </c>
      <c r="H15" s="13" t="n">
        <v>9.58</v>
      </c>
      <c r="I15" s="14" t="str">
        <f aca="false">IF(H15="","",(IF($C$20&lt;25%,"N/A",IF(H15&lt;=($D$20+$A$20),H15,"Descartado"))))</f>
        <v>Descartado</v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4.016969018315</v>
      </c>
      <c r="B20" s="25" t="n">
        <f aca="false">COUNT(H3:H17)</f>
        <v>13</v>
      </c>
      <c r="C20" s="26" t="n">
        <f aca="false">IF(B20&lt;2,"N/A",(A20/D20))</f>
        <v>0.793867394923913</v>
      </c>
      <c r="D20" s="27" t="n">
        <f aca="false">ROUND(AVERAGE(H3:H17),2)</f>
        <v>5.06</v>
      </c>
      <c r="E20" s="28" t="n">
        <f aca="false">IFERROR(ROUND(IF(B20&lt;2,"N/A",(IF(C20&lt;=25%,"N/A",AVERAGE(I3:I17)))),2),"N/A")</f>
        <v>3.15</v>
      </c>
      <c r="F20" s="28" t="n">
        <f aca="false">ROUND(MEDIAN(H3:H17),2)</f>
        <v>4</v>
      </c>
      <c r="G20" s="29" t="str">
        <f aca="false">INDEX(G3:G17,MATCH(H20,H3:H17,0))</f>
        <v>ARW EDITORA GRAFICA EIRELI</v>
      </c>
      <c r="H20" s="30" t="n">
        <f aca="false">MIN(H3:H17)</f>
        <v>1.5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3.15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1890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208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/>
      <c r="C3" s="9" t="s">
        <v>102</v>
      </c>
      <c r="D3" s="10"/>
      <c r="E3" s="11" t="e">
        <f aca="false">IF(C20&lt;=25%,D20,MIN(E20:F20))</f>
        <v>#VALUE!</v>
      </c>
      <c r="F3" s="11" t="n">
        <f aca="false">MIN(H3:H17)</f>
        <v>0</v>
      </c>
      <c r="G3" s="12"/>
      <c r="H3" s="13"/>
      <c r="I3" s="14" t="str">
        <f aca="false">IF(H3="","",(IF($C$20&lt;25%,"N/A",IF(H3&lt;=($D$20+$A$20),H3,"Descartado"))))</f>
        <v/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0</v>
      </c>
      <c r="C20" s="26" t="str">
        <f aca="false">IF(B20&lt;2,"N/A",(A20/D20))</f>
        <v>N/A</v>
      </c>
      <c r="D20" s="27" t="e">
        <f aca="false">ROUND(AVERAGE(H3:H17),2)</f>
        <v>#DIV/0!</v>
      </c>
      <c r="E20" s="28" t="str">
        <f aca="false">IFERROR(ROUND(IF(B20&lt;2,"N/A",(IF(C20&lt;=25%,"N/A",AVERAGE(I3:I17)))),2),"N/A")</f>
        <v>N/A</v>
      </c>
      <c r="F20" s="28" t="e">
        <f aca="false">ROUND(MEDIAN(H3:H17),2)</f>
        <v>#VALUE!</v>
      </c>
      <c r="G20" s="29" t="e">
        <f aca="false">INDEX(G3:G17,MATCH(H20,H3:H17,0))</f>
        <v>#N/A</v>
      </c>
      <c r="H20" s="30" t="n">
        <f aca="false">MIN(H3:H17)</f>
        <v>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e">
        <f aca="false">IF(C20&lt;=25%,D20,MIN(E20:F20))</f>
        <v>#VALUE!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e">
        <f aca="false">ROUND(H22,2)*D3</f>
        <v>#VALUE!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H50"/>
  <sheetViews>
    <sheetView showFormulas="false" showGridLines="true" showRowColHeaders="true" showZeros="true" rightToLeft="false" tabSelected="false" showOutlineSymbols="true" defaultGridColor="true" view="pageBreakPreview" topLeftCell="A19" colorId="64" zoomScale="100" zoomScaleNormal="100" zoomScalePageLayoutView="100" workbookViewId="0">
      <selection pane="topLeft" activeCell="C15" activeCellId="0" sqref="C15"/>
    </sheetView>
  </sheetViews>
  <sheetFormatPr defaultColWidth="9.31640625" defaultRowHeight="12.8" zeroHeight="false" outlineLevelRow="0" outlineLevelCol="0"/>
  <cols>
    <col collapsed="false" customWidth="true" hidden="false" outlineLevel="0" max="1" min="1" style="0" width="3.37"/>
    <col collapsed="false" customWidth="true" hidden="false" outlineLevel="0" max="2" min="2" style="44" width="9.13"/>
    <col collapsed="false" customWidth="true" hidden="false" outlineLevel="0" max="3" min="3" style="44" width="86.85"/>
    <col collapsed="false" customWidth="true" hidden="false" outlineLevel="0" max="6" min="4" style="44" width="13.29"/>
    <col collapsed="false" customWidth="true" hidden="false" outlineLevel="0" max="7" min="7" style="44" width="15.57"/>
    <col collapsed="false" customWidth="true" hidden="false" outlineLevel="0" max="8" min="8" style="45" width="12.56"/>
    <col collapsed="false" customWidth="true" hidden="false" outlineLevel="0" max="14" min="9" style="45" width="9.13"/>
    <col collapsed="false" customWidth="true" hidden="false" outlineLevel="0" max="64" min="15" style="44" width="9.13"/>
    <col collapsed="false" customWidth="true" hidden="false" outlineLevel="0" max="1024" min="1024" style="0" width="11.52"/>
  </cols>
  <sheetData>
    <row r="1" customFormat="false" ht="12.8" hidden="false" customHeight="true" outlineLevel="0" collapsed="false">
      <c r="B1" s="46"/>
      <c r="C1" s="47"/>
      <c r="D1" s="48"/>
      <c r="E1" s="48"/>
      <c r="F1" s="48"/>
      <c r="G1" s="48"/>
    </row>
    <row r="2" customFormat="false" ht="12.8" hidden="false" customHeight="true" outlineLevel="0" collapsed="false">
      <c r="B2" s="46"/>
      <c r="C2" s="47"/>
      <c r="D2" s="48"/>
      <c r="E2" s="48"/>
      <c r="F2" s="48"/>
      <c r="G2" s="48"/>
    </row>
    <row r="3" customFormat="false" ht="12.8" hidden="false" customHeight="true" outlineLevel="0" collapsed="false">
      <c r="B3" s="46"/>
      <c r="C3" s="47"/>
      <c r="D3" s="48"/>
      <c r="E3" s="48"/>
      <c r="F3" s="48"/>
      <c r="G3" s="48"/>
    </row>
    <row r="4" customFormat="false" ht="12.8" hidden="false" customHeight="true" outlineLevel="0" collapsed="false">
      <c r="B4" s="46"/>
      <c r="C4" s="47"/>
      <c r="D4" s="48"/>
      <c r="E4" s="48"/>
      <c r="F4" s="48"/>
      <c r="G4" s="48"/>
    </row>
    <row r="5" customFormat="false" ht="12.8" hidden="false" customHeight="true" outlineLevel="0" collapsed="false">
      <c r="A5" s="49" t="s">
        <v>209</v>
      </c>
      <c r="B5" s="49"/>
      <c r="C5" s="49"/>
      <c r="D5" s="49"/>
      <c r="E5" s="49"/>
      <c r="F5" s="49"/>
      <c r="G5" s="49"/>
      <c r="H5" s="49"/>
    </row>
    <row r="6" customFormat="false" ht="12.8" hidden="false" customHeight="true" outlineLevel="0" collapsed="false">
      <c r="A6" s="49" t="s">
        <v>210</v>
      </c>
      <c r="B6" s="49"/>
      <c r="C6" s="49"/>
      <c r="D6" s="49"/>
      <c r="E6" s="49"/>
      <c r="F6" s="49"/>
      <c r="G6" s="49"/>
      <c r="H6" s="49"/>
    </row>
    <row r="7" customFormat="false" ht="12.8" hidden="false" customHeight="true" outlineLevel="0" collapsed="false">
      <c r="B7" s="50"/>
      <c r="C7" s="51"/>
      <c r="D7" s="52"/>
      <c r="E7" s="52"/>
      <c r="F7" s="52"/>
      <c r="G7" s="52"/>
    </row>
    <row r="8" customFormat="false" ht="15.75" hidden="false" customHeight="true" outlineLevel="0" collapsed="false">
      <c r="B8" s="53" t="s">
        <v>211</v>
      </c>
      <c r="C8" s="53"/>
      <c r="D8" s="53"/>
      <c r="E8" s="53"/>
      <c r="F8" s="53"/>
      <c r="G8" s="53"/>
    </row>
    <row r="9" customFormat="false" ht="20.85" hidden="false" customHeight="false" outlineLevel="0" collapsed="false">
      <c r="B9" s="54" t="s">
        <v>212</v>
      </c>
      <c r="C9" s="54" t="s">
        <v>213</v>
      </c>
      <c r="D9" s="54" t="s">
        <v>214</v>
      </c>
      <c r="E9" s="54" t="s">
        <v>215</v>
      </c>
      <c r="F9" s="54" t="s">
        <v>216</v>
      </c>
      <c r="G9" s="54" t="s">
        <v>217</v>
      </c>
    </row>
    <row r="10" customFormat="false" ht="40.25" hidden="false" customHeight="true" outlineLevel="0" collapsed="false">
      <c r="A10" s="55" t="s">
        <v>218</v>
      </c>
      <c r="B10" s="56" t="n">
        <v>1</v>
      </c>
      <c r="C10" s="57" t="str">
        <f aca="false">Item1!B3</f>
        <v>LIVRO
Miolo: • dimensões: 15,5 mm X 22,5 mm (fechado); • aproximadamente 800 páginas (400 folhas); • 1 X 1 preta; papel offset 75 g, alta alvura; • acabamento colado; Capa: • dimensões:15,5 mm X 22,5 mm (fechada); • 4 X 0; • papel 250 g, supremo, plastificada, com lombada.</v>
      </c>
      <c r="D10" s="56" t="str">
        <f aca="false">Item1!C3</f>
        <v>exemplar</v>
      </c>
      <c r="E10" s="56" t="n">
        <f aca="false">Item1!D3</f>
        <v>500</v>
      </c>
      <c r="F10" s="58" t="n">
        <f aca="false">Item1!E3</f>
        <v>63.85</v>
      </c>
      <c r="G10" s="58" t="n">
        <f aca="false">(ROUND(F10,2)*E10)</f>
        <v>31925</v>
      </c>
      <c r="H10" s="59" t="s">
        <v>219</v>
      </c>
    </row>
    <row r="11" customFormat="false" ht="30.55" hidden="false" customHeight="false" outlineLevel="0" collapsed="false">
      <c r="A11" s="55"/>
      <c r="B11" s="56" t="n">
        <v>2</v>
      </c>
      <c r="C11" s="57" t="str">
        <f aca="false">Item2!B3</f>
        <v>LIVRO
Miolo: • dimensões: 210 mm X 297 mm (fechado); • aproximadamente 60 páginas (30 folhas); • 4 X 4; papel couche 120 g. Capa: • dimensões: 210 mm X 297 mm (fechada); • 4 X 0; • papel reciclato 220 g.</v>
      </c>
      <c r="D11" s="56" t="str">
        <f aca="false">Item2!C3</f>
        <v>exemplar</v>
      </c>
      <c r="E11" s="56" t="n">
        <f aca="false">Item2!D3</f>
        <v>1000</v>
      </c>
      <c r="F11" s="58" t="n">
        <f aca="false">Item2!E3</f>
        <v>13.41</v>
      </c>
      <c r="G11" s="58" t="n">
        <f aca="false">(ROUND(F11,2)*E11)</f>
        <v>13410</v>
      </c>
      <c r="H11" s="59"/>
    </row>
    <row r="12" customFormat="false" ht="49.95" hidden="false" customHeight="false" outlineLevel="0" collapsed="false">
      <c r="A12" s="55"/>
      <c r="B12" s="56" t="n">
        <v>3</v>
      </c>
      <c r="C12" s="57" t="str">
        <f aca="false">Item3!B3</f>
        <v>LIVRO
Miolo: • dimensões: 170 mm X 240 mm (fechado); • aproximadamente 700 páginas (350 folhas); • l X 1 preta; papel offset 75 g, alta alvura; • acabamento costurado e colado. Capa: • dimensões: 175 mm X 245 mm (fechada); • com lombada e com orelha; • 4 X 0 cores (policromia); • cartão supremo 300 g, com guarda; • laminação fosca com verniz localizado.</v>
      </c>
      <c r="D12" s="56" t="str">
        <f aca="false">Item3!C3</f>
        <v>exemplar</v>
      </c>
      <c r="E12" s="56" t="n">
        <f aca="false">Item3!D3</f>
        <v>1000</v>
      </c>
      <c r="F12" s="58" t="n">
        <f aca="false">Item3!E3</f>
        <v>26.96</v>
      </c>
      <c r="G12" s="58" t="n">
        <f aca="false">(ROUND(F12,2)*E12)</f>
        <v>26960</v>
      </c>
      <c r="H12" s="59"/>
    </row>
    <row r="13" customFormat="false" ht="30.55" hidden="false" customHeight="false" outlineLevel="0" collapsed="false">
      <c r="A13" s="55"/>
      <c r="B13" s="56" t="n">
        <v>4</v>
      </c>
      <c r="C13" s="57" t="str">
        <f aca="false">Item4!B3</f>
        <v>LIVRO
Capa: • dimensões: 420 mm X 2l0 mm (aberto); • 1 dobra; • impressão 4X0; • papel reciclato 220 g. Miolo: • dimensões: 297 mm X 2l0 mm; • Aproximadamente 60 páginas (30 folhas); • impressão 4X4; • papel reciclato 120 g.</v>
      </c>
      <c r="D13" s="56" t="str">
        <f aca="false">Item4!C3</f>
        <v>exemplar</v>
      </c>
      <c r="E13" s="56" t="n">
        <f aca="false">Item4!D3</f>
        <v>600</v>
      </c>
      <c r="F13" s="58" t="n">
        <f aca="false">Item4!E3</f>
        <v>13.7</v>
      </c>
      <c r="G13" s="58" t="n">
        <f aca="false">(ROUND(F13,2)*E13)</f>
        <v>8220</v>
      </c>
      <c r="H13" s="59"/>
    </row>
    <row r="14" customFormat="false" ht="40.25" hidden="false" customHeight="false" outlineLevel="0" collapsed="false">
      <c r="A14" s="55"/>
      <c r="B14" s="56" t="n">
        <v>5</v>
      </c>
      <c r="C14" s="57" t="str">
        <f aca="false">Item5!B3</f>
        <v>LIVRO
Miolo: • dimensões: 210 mm X 297 mm; • aproximadamente 32 páginas (16 folhas); • 4 X 4; • papel reciclato 120 g; • acabamento com 2 grampos. Capa: • dimensões: 420 mm X 210 mm (aberta); • 1 dobra; • 4 X 0; • papel reciclato 220 g.</v>
      </c>
      <c r="D14" s="56" t="str">
        <f aca="false">Item5!C3</f>
        <v>exemplar</v>
      </c>
      <c r="E14" s="56" t="n">
        <f aca="false">Item5!D3</f>
        <v>600</v>
      </c>
      <c r="F14" s="58" t="n">
        <f aca="false">Item5!E3</f>
        <v>3.15</v>
      </c>
      <c r="G14" s="58" t="n">
        <f aca="false">(ROUND(F14,2)*E14)</f>
        <v>1890</v>
      </c>
      <c r="H14" s="59"/>
    </row>
    <row r="15" customFormat="false" ht="40.25" hidden="false" customHeight="false" outlineLevel="0" collapsed="false">
      <c r="A15" s="55"/>
      <c r="B15" s="56" t="n">
        <v>6</v>
      </c>
      <c r="C15" s="57" t="str">
        <f aca="false">Item6!B3</f>
        <v>LIVRO
Miolo: • dimensões: 155 mm X 215 mm (fechado); • aproximadamente 150 páginas (75 folhas); • l X 1 preta; papel offset 90 g, branco; • acabamento colado. Capa: • dimensões 155 mm X 215 mm (fechada); • 4 X 0 cores (policromia); • papel 180 g, couche liso.</v>
      </c>
      <c r="D15" s="56" t="str">
        <f aca="false">Item6!C3</f>
        <v>exemplar</v>
      </c>
      <c r="E15" s="56" t="n">
        <f aca="false">Item6!D3</f>
        <v>500</v>
      </c>
      <c r="F15" s="58" t="n">
        <f aca="false">Item6!E3</f>
        <v>12.14</v>
      </c>
      <c r="G15" s="58" t="n">
        <f aca="false">(ROUND(F15,2)*E15)</f>
        <v>6070</v>
      </c>
      <c r="H15" s="59"/>
    </row>
    <row r="16" customFormat="false" ht="40.25" hidden="false" customHeight="false" outlineLevel="0" collapsed="false">
      <c r="A16" s="55"/>
      <c r="B16" s="56" t="n">
        <v>7</v>
      </c>
      <c r="C16" s="57" t="str">
        <f aca="false">Item7!B3</f>
        <v>LIVRO
Miolo: • dimensões: 155 mm X 215 mm (fechado); • aproximadamente 150 páginas (75 folhas); • l X 1 preta; papel offset 90 g, branco; • acabamento colado. Capa: • dimensões 155 mm X 215 mm (fechada); • 4 X 0 cores (policromia); • papel 180 g, couche liso, com lombada.</v>
      </c>
      <c r="D16" s="56" t="str">
        <f aca="false">Item7!C3</f>
        <v>exemplar</v>
      </c>
      <c r="E16" s="56" t="n">
        <f aca="false">Item7!D3</f>
        <v>500</v>
      </c>
      <c r="F16" s="58" t="n">
        <f aca="false">Item7!E3</f>
        <v>12.14</v>
      </c>
      <c r="G16" s="58" t="n">
        <f aca="false">(ROUND(F16,2)*E16)</f>
        <v>6070</v>
      </c>
      <c r="H16" s="59"/>
    </row>
    <row r="17" customFormat="false" ht="40.25" hidden="false" customHeight="false" outlineLevel="0" collapsed="false">
      <c r="A17" s="55"/>
      <c r="B17" s="56" t="n">
        <v>8</v>
      </c>
      <c r="C17" s="57" t="str">
        <f aca="false">Item8!B3</f>
        <v>LIVRO
Miolo: • dimensões: 220 mm X 300 mm (fechado); • aproximadamente 120 páginas (60 folhas); • 4 X 4; papel couche fosco 150 g; • acabamento costurado e colado, com fita. Capa: • dimensões: 225 mm X 305 mm (fechada); • 4 X 4 cores (policromia); • Laminação fosca com verniz localizado; • capa dura, com guarda.</v>
      </c>
      <c r="D17" s="56" t="str">
        <f aca="false">Item8!C3</f>
        <v>exemplar</v>
      </c>
      <c r="E17" s="56" t="n">
        <f aca="false">Item8!D3</f>
        <v>250</v>
      </c>
      <c r="F17" s="58" t="n">
        <f aca="false">Item8!E3</f>
        <v>36.35</v>
      </c>
      <c r="G17" s="58" t="n">
        <f aca="false">(ROUND(F17,2)*E17)</f>
        <v>9087.5</v>
      </c>
      <c r="H17" s="59"/>
    </row>
    <row r="18" customFormat="false" ht="30.55" hidden="false" customHeight="false" outlineLevel="0" collapsed="false">
      <c r="A18" s="55"/>
      <c r="B18" s="56" t="n">
        <v>9</v>
      </c>
      <c r="C18" s="57" t="str">
        <f aca="false">Item9!B3</f>
        <v>CARTILHA
Capa e Miolo: • papel couche liso l50 gr, branco; • impressão offset 4 X 4; • acabamento com 2 grampos; • dimensões: l80 mm X l80 mm (fechado) e l80 mm X 360 mm (aberto); • aproximadamente 30 páginas.</v>
      </c>
      <c r="D18" s="56" t="str">
        <f aca="false">Item9!C3</f>
        <v>exemplar</v>
      </c>
      <c r="E18" s="56" t="n">
        <f aca="false">Item9!D3</f>
        <v>3000</v>
      </c>
      <c r="F18" s="58" t="n">
        <f aca="false">Item9!E3</f>
        <v>2.77</v>
      </c>
      <c r="G18" s="58" t="n">
        <f aca="false">(ROUND(F18,2)*E18)</f>
        <v>8310</v>
      </c>
      <c r="H18" s="59"/>
    </row>
    <row r="19" customFormat="false" ht="40.25" hidden="false" customHeight="false" outlineLevel="0" collapsed="false">
      <c r="A19" s="55"/>
      <c r="B19" s="56" t="n">
        <v>10</v>
      </c>
      <c r="C19" s="57" t="str">
        <f aca="false">Item10!B3</f>
        <v>CARTILHA
Capa: • Impressão 4 X 0; • papel couche liso, 150 g; • envernizada; • dimensões: A4 (aberta); • 1 dobra • Encadernação tipo canoa, com 2 grampos. Miolo: • Impressão 4 X 4; • papel couche liso, 115 g; • dimensões: A4 (aberta); • 1 dobra; • 20 páginas.</v>
      </c>
      <c r="D19" s="56" t="str">
        <f aca="false">Item10!C3</f>
        <v>exemplar</v>
      </c>
      <c r="E19" s="56" t="n">
        <f aca="false">Item10!D3</f>
        <v>3000</v>
      </c>
      <c r="F19" s="58" t="n">
        <f aca="false">Item10!E3</f>
        <v>7.19</v>
      </c>
      <c r="G19" s="58" t="n">
        <f aca="false">(ROUND(F19,2)*E19)</f>
        <v>21570</v>
      </c>
      <c r="H19" s="59"/>
    </row>
    <row r="20" customFormat="false" ht="40.25" hidden="false" customHeight="false" outlineLevel="0" collapsed="false">
      <c r="A20" s="55"/>
      <c r="B20" s="56" t="n">
        <v>11</v>
      </c>
      <c r="C20" s="57" t="str">
        <f aca="false">Item11!B3</f>
        <v>CARTILHA
Miolo: • dimensões: 148,5 mm X 210 mm (fechado); • aproximadamente 20 páginas (10 folhas); • impressão: 1 X 1; • papel offset 90 g, alta alvura; • acabamento com 2 grampos. Capa: • dimensões: 148,5 mm X 210 mm (fechada); • 4 X 0 cores (policromia); • papel couche liso, 130 g.</v>
      </c>
      <c r="D20" s="56" t="str">
        <f aca="false">Item11!C3</f>
        <v>unidade</v>
      </c>
      <c r="E20" s="56" t="n">
        <f aca="false">Item11!D3</f>
        <v>1000</v>
      </c>
      <c r="F20" s="58" t="n">
        <f aca="false">Item11!E3</f>
        <v>5.74</v>
      </c>
      <c r="G20" s="58" t="n">
        <f aca="false">(ROUND(F20,2)*E20)</f>
        <v>5740</v>
      </c>
      <c r="H20" s="59"/>
    </row>
    <row r="21" customFormat="false" ht="40.25" hidden="false" customHeight="false" outlineLevel="0" collapsed="false">
      <c r="A21" s="55"/>
      <c r="B21" s="56" t="n">
        <v>12</v>
      </c>
      <c r="C21" s="57" t="str">
        <f aca="false">Item12!B3</f>
        <v>CARTILHA
Miolo: • dimensões: 210 mm X 297 mm (fechado); • aproximadamente 80 páginas (40 folhas); • impressão: 4 X 4; • papel offset 90 g, alta alvura; • acabamento com 2 grampos. Capa: • dimensões: 210 mm X 297 mm (fechada); • 4 X 0 cores (policromia); • papel couche liso, 130 g.</v>
      </c>
      <c r="D21" s="56" t="str">
        <f aca="false">Item12!C3</f>
        <v>exemplar</v>
      </c>
      <c r="E21" s="56" t="n">
        <f aca="false">Item12!D3</f>
        <v>300</v>
      </c>
      <c r="F21" s="58" t="n">
        <f aca="false">Item12!E3</f>
        <v>36.85</v>
      </c>
      <c r="G21" s="58" t="n">
        <f aca="false">(ROUND(F21,2)*E21)</f>
        <v>11055</v>
      </c>
      <c r="H21" s="59"/>
    </row>
    <row r="22" customFormat="false" ht="40.25" hidden="false" customHeight="false" outlineLevel="0" collapsed="false">
      <c r="A22" s="55"/>
      <c r="B22" s="56" t="n">
        <v>13</v>
      </c>
      <c r="C22" s="57" t="str">
        <f aca="false">Item13!B3</f>
        <v>CARTILHA
Miolo: • dimensões: 148,5 mm X 210 mm (fechado); • aproximadamente 100 páginas (50 folhas); • impressão: 4 X 4; • papel offset 90 g, alta alvura; • acabamento com 2 grampos. Capa: • dimensões: 148,5 mm X 210 mm (fechada); • 4 X 0 cores (policromia); • papel couche liso, 130 g.</v>
      </c>
      <c r="D22" s="56" t="str">
        <f aca="false">Item13!C3</f>
        <v>exemplar</v>
      </c>
      <c r="E22" s="56" t="n">
        <f aca="false">Item13!D3</f>
        <v>200</v>
      </c>
      <c r="F22" s="58" t="n">
        <f aca="false">Item13!E3</f>
        <v>12.25</v>
      </c>
      <c r="G22" s="58" t="n">
        <f aca="false">(ROUND(F22,2)*E22)</f>
        <v>2450</v>
      </c>
      <c r="H22" s="59"/>
    </row>
    <row r="23" customFormat="false" ht="40.25" hidden="false" customHeight="false" outlineLevel="0" collapsed="false">
      <c r="A23" s="55"/>
      <c r="B23" s="56" t="n">
        <v>14</v>
      </c>
      <c r="C23" s="57" t="str">
        <f aca="false">Item14!B3</f>
        <v>CARTILHA
Miolo: • dimensões: 190 mm X 260 mm (fechado); • aproximadamente 50 páginas (25 folhas); • impressão: 1 X 1; • papel offset 90 g, alta alvura; • acabamento com 2 grampos. Capa: • dimensões: 190 mm X 260 mm (fechada); • 4 X 0 cores (policromia); • papel 130 g, papel couche liso.</v>
      </c>
      <c r="D23" s="56" t="str">
        <f aca="false">Item14!C3</f>
        <v>exemplar</v>
      </c>
      <c r="E23" s="56" t="n">
        <f aca="false">Item14!D3</f>
        <v>200</v>
      </c>
      <c r="F23" s="58" t="n">
        <f aca="false">Item14!E3</f>
        <v>5.98</v>
      </c>
      <c r="G23" s="58" t="n">
        <f aca="false">(ROUND(F23,2)*E23)</f>
        <v>1196</v>
      </c>
      <c r="H23" s="59"/>
    </row>
    <row r="24" customFormat="false" ht="40.25" hidden="false" customHeight="false" outlineLevel="0" collapsed="false">
      <c r="A24" s="55"/>
      <c r="B24" s="56" t="n">
        <v>15</v>
      </c>
      <c r="C24" s="57" t="str">
        <f aca="false">Item15!B3</f>
        <v>CARTILHA
Miolo: • dimensões:170 mm X 240 mm (fechado); • aproximadamente 70 páginas (35 folhas); • impressão: 1 X 1; • papel offset 90 g, alta alvura; • acabamento com 2 grampos. Capa: • dimensões: 170 mm X 240 mm (fechada); • 4 X 0 cores (policromia); • papel 130 g, papel couche liso;</v>
      </c>
      <c r="D24" s="56" t="str">
        <f aca="false">Item15!C3</f>
        <v>exemplar</v>
      </c>
      <c r="E24" s="56" t="n">
        <f aca="false">Item15!D3</f>
        <v>100</v>
      </c>
      <c r="F24" s="58" t="n">
        <f aca="false">Item15!E3</f>
        <v>13.76</v>
      </c>
      <c r="G24" s="58" t="n">
        <f aca="false">(ROUND(F24,2)*E24)</f>
        <v>1376</v>
      </c>
      <c r="H24" s="60" t="n">
        <f aca="false">SUM(G10:G24)</f>
        <v>155329.5</v>
      </c>
    </row>
    <row r="25" customFormat="false" ht="20.85" hidden="false" customHeight="true" outlineLevel="0" collapsed="false">
      <c r="A25" s="55" t="s">
        <v>220</v>
      </c>
      <c r="B25" s="56" t="n">
        <v>16</v>
      </c>
      <c r="C25" s="57" t="str">
        <f aca="false">Item16!B3</f>
        <v>CARTÃO
• dimensões: 55 mm X 95 mm. • lâmina em 1 X 0 cores em Opaline 180 g.</v>
      </c>
      <c r="D25" s="56" t="str">
        <f aca="false">Item16!C3</f>
        <v>unidade</v>
      </c>
      <c r="E25" s="56" t="n">
        <f aca="false">Item16!D3</f>
        <v>8000</v>
      </c>
      <c r="F25" s="58" t="n">
        <f aca="false">Item16!E3</f>
        <v>0.15</v>
      </c>
      <c r="G25" s="58" t="n">
        <f aca="false">(ROUND(F25,2)*E25)</f>
        <v>1200</v>
      </c>
      <c r="H25" s="61" t="s">
        <v>221</v>
      </c>
    </row>
    <row r="26" customFormat="false" ht="20.85" hidden="false" customHeight="false" outlineLevel="0" collapsed="false">
      <c r="A26" s="55"/>
      <c r="B26" s="56" t="n">
        <v>17</v>
      </c>
      <c r="C26" s="57" t="str">
        <f aca="false">Item17!B3</f>
        <v>CARTÃO
• dimensões: 55 mm X 95 mm. • lâmina em 4 X 0 cores em Opaline 180 g.</v>
      </c>
      <c r="D26" s="56" t="str">
        <f aca="false">Item17!C3</f>
        <v>unidade</v>
      </c>
      <c r="E26" s="56" t="n">
        <f aca="false">Item17!D3</f>
        <v>3000</v>
      </c>
      <c r="F26" s="58" t="n">
        <f aca="false">Item17!E3</f>
        <v>0.3</v>
      </c>
      <c r="G26" s="58" t="n">
        <f aca="false">(ROUND(F26,2)*E26)</f>
        <v>900</v>
      </c>
      <c r="H26" s="61"/>
    </row>
    <row r="27" customFormat="false" ht="20.85" hidden="false" customHeight="false" outlineLevel="0" collapsed="false">
      <c r="A27" s="55"/>
      <c r="B27" s="56" t="n">
        <v>18</v>
      </c>
      <c r="C27" s="57" t="str">
        <f aca="false">Item18!B3</f>
        <v>CARTÃO
• dimensões: 102 mm X 152 mm; • lâminas em 4 X 0 cores em couche fosco 240 g</v>
      </c>
      <c r="D27" s="56" t="str">
        <f aca="false">Item18!C3</f>
        <v>exemplar</v>
      </c>
      <c r="E27" s="56" t="n">
        <f aca="false">Item18!D3</f>
        <v>1000</v>
      </c>
      <c r="F27" s="58" t="n">
        <f aca="false">Item18!E3</f>
        <v>0.37</v>
      </c>
      <c r="G27" s="58" t="n">
        <f aca="false">(ROUND(F27,2)*E27)</f>
        <v>370</v>
      </c>
      <c r="H27" s="61"/>
    </row>
    <row r="28" customFormat="false" ht="30.55" hidden="false" customHeight="false" outlineLevel="0" collapsed="false">
      <c r="A28" s="55"/>
      <c r="B28" s="56" t="n">
        <v>19</v>
      </c>
      <c r="C28" s="57" t="str">
        <f aca="false">Item19!B3</f>
        <v>PASTA
• dimensões: 450 mm X 320 mm (aberto); • 1 dobra e bolso interno; • impresso 4 X 0; • cartão supremo 250 g com plastificação.</v>
      </c>
      <c r="D28" s="56" t="str">
        <f aca="false">Item19!C3</f>
        <v>exemplar</v>
      </c>
      <c r="E28" s="56" t="n">
        <f aca="false">Item19!D3</f>
        <v>4000</v>
      </c>
      <c r="F28" s="58" t="n">
        <f aca="false">Item19!E3</f>
        <v>1.6</v>
      </c>
      <c r="G28" s="58" t="n">
        <f aca="false">(ROUND(F28,2)*E28)</f>
        <v>6400</v>
      </c>
      <c r="H28" s="61"/>
    </row>
    <row r="29" customFormat="false" ht="20.85" hidden="false" customHeight="false" outlineLevel="0" collapsed="false">
      <c r="A29" s="55"/>
      <c r="B29" s="56" t="n">
        <v>20</v>
      </c>
      <c r="C29" s="57" t="str">
        <f aca="false">Item20!B3</f>
        <v>PASTA
• dimensões 325 mm X 474 mm (aberto); • lâminas em 1 X 0 cores em OffSet 280 g; • 1 dobra.</v>
      </c>
      <c r="D29" s="56" t="str">
        <f aca="false">Item20!C3</f>
        <v>exemplar</v>
      </c>
      <c r="E29" s="56" t="n">
        <f aca="false">Item20!D3</f>
        <v>10000</v>
      </c>
      <c r="F29" s="58" t="n">
        <f aca="false">Item20!E3</f>
        <v>1.38</v>
      </c>
      <c r="G29" s="58" t="n">
        <f aca="false">(ROUND(F29,2)*E29)</f>
        <v>13800</v>
      </c>
      <c r="H29" s="61"/>
    </row>
    <row r="30" customFormat="false" ht="20.85" hidden="false" customHeight="false" outlineLevel="0" collapsed="false">
      <c r="A30" s="55"/>
      <c r="B30" s="56" t="n">
        <v>21</v>
      </c>
      <c r="C30" s="57" t="str">
        <f aca="false">Item21!B3</f>
        <v>CARTAZ
• dimensões: 297 mm X 420 mm; • lâminas em 4 X 0 cores em couche liso 150 g;</v>
      </c>
      <c r="D30" s="56" t="str">
        <f aca="false">Item21!C3</f>
        <v>exemplar</v>
      </c>
      <c r="E30" s="56" t="n">
        <f aca="false">Item21!D3</f>
        <v>4000</v>
      </c>
      <c r="F30" s="58" t="n">
        <f aca="false">Item21!E3</f>
        <v>1.87</v>
      </c>
      <c r="G30" s="58" t="n">
        <f aca="false">(ROUND(F30,2)*E30)</f>
        <v>7480</v>
      </c>
      <c r="H30" s="61"/>
    </row>
    <row r="31" customFormat="false" ht="20.85" hidden="false" customHeight="false" outlineLevel="0" collapsed="false">
      <c r="A31" s="55"/>
      <c r="B31" s="56" t="n">
        <v>22</v>
      </c>
      <c r="C31" s="57" t="str">
        <f aca="false">Item22!B3</f>
        <v>CARTAZ
• dimensões: 420 mm X 600 mm; • lâminas em 4 X 0 cores em couche liso 150 g;</v>
      </c>
      <c r="D31" s="56" t="str">
        <f aca="false">Item22!C3</f>
        <v>exemplar</v>
      </c>
      <c r="E31" s="56" t="n">
        <f aca="false">Item22!D3</f>
        <v>1000</v>
      </c>
      <c r="F31" s="58" t="n">
        <f aca="false">Item22!E3</f>
        <v>1.55</v>
      </c>
      <c r="G31" s="58" t="n">
        <f aca="false">(ROUND(F31,2)*E31)</f>
        <v>1550</v>
      </c>
      <c r="H31" s="61"/>
    </row>
    <row r="32" customFormat="false" ht="20.85" hidden="false" customHeight="false" outlineLevel="0" collapsed="false">
      <c r="A32" s="55"/>
      <c r="B32" s="56" t="n">
        <v>23</v>
      </c>
      <c r="C32" s="57" t="str">
        <f aca="false">Item23!B3</f>
        <v>CARTAZ
• dimensões: 285 mm X 410 mm; • lâminas em 4 X 0 cores em couche liso 150 g;</v>
      </c>
      <c r="D32" s="56" t="str">
        <f aca="false">Item23!C3</f>
        <v>exemplar</v>
      </c>
      <c r="E32" s="56" t="n">
        <f aca="false">Item23!D3</f>
        <v>1000</v>
      </c>
      <c r="F32" s="58" t="n">
        <f aca="false">Item23!E3</f>
        <v>1.85</v>
      </c>
      <c r="G32" s="58" t="n">
        <f aca="false">(ROUND(F32,2)*E32)</f>
        <v>1850</v>
      </c>
      <c r="H32" s="61"/>
    </row>
    <row r="33" customFormat="false" ht="20.85" hidden="false" customHeight="false" outlineLevel="0" collapsed="false">
      <c r="A33" s="55"/>
      <c r="B33" s="56" t="n">
        <v>24</v>
      </c>
      <c r="C33" s="57" t="str">
        <f aca="false">Item24!B3</f>
        <v>CARTAZ
• dimensões: 400 mm X 580 mm; • lâminas em 4 X 0 cores em couche liso 150 g.</v>
      </c>
      <c r="D33" s="56" t="str">
        <f aca="false">Item24!C3</f>
        <v>exemplar</v>
      </c>
      <c r="E33" s="56" t="n">
        <f aca="false">Item24!D3</f>
        <v>1000</v>
      </c>
      <c r="F33" s="58" t="n">
        <f aca="false">Item24!E3</f>
        <v>1.54</v>
      </c>
      <c r="G33" s="58" t="n">
        <f aca="false">(ROUND(F33,2)*E33)</f>
        <v>1540</v>
      </c>
      <c r="H33" s="61"/>
    </row>
    <row r="34" customFormat="false" ht="20.85" hidden="false" customHeight="false" outlineLevel="0" collapsed="false">
      <c r="A34" s="55"/>
      <c r="B34" s="56" t="n">
        <v>25</v>
      </c>
      <c r="C34" s="57" t="str">
        <f aca="false">Item25!B3</f>
        <v>CARTAZ
• dimensões: 210 mm X 297 mm; • lâminas em 4 X 0 cores em couche liso 150 g.</v>
      </c>
      <c r="D34" s="56" t="str">
        <f aca="false">Item25!C3</f>
        <v>exemplar</v>
      </c>
      <c r="E34" s="56" t="n">
        <f aca="false">Item25!D3</f>
        <v>1000</v>
      </c>
      <c r="F34" s="58" t="n">
        <f aca="false">Item25!E3</f>
        <v>1.74</v>
      </c>
      <c r="G34" s="58" t="n">
        <f aca="false">(ROUND(F34,2)*E34)</f>
        <v>1740</v>
      </c>
      <c r="H34" s="61"/>
    </row>
    <row r="35" customFormat="false" ht="30.55" hidden="false" customHeight="false" outlineLevel="0" collapsed="false">
      <c r="A35" s="55"/>
      <c r="B35" s="56" t="n">
        <v>26</v>
      </c>
      <c r="C35" s="57" t="str">
        <f aca="false">Item26!B3</f>
        <v>CONVITE
• dimensões: 287 mm X 410 mm; • 2 dobras; • lâminas em 4 X 4 cores em couche fosco 240 g, com laminação fosca; • com verniz localizado.</v>
      </c>
      <c r="D35" s="56" t="str">
        <f aca="false">Item26!C3</f>
        <v>exemplar</v>
      </c>
      <c r="E35" s="56" t="n">
        <f aca="false">Item26!D3</f>
        <v>5000</v>
      </c>
      <c r="F35" s="58" t="n">
        <f aca="false">Item26!E3</f>
        <v>2.35</v>
      </c>
      <c r="G35" s="58" t="n">
        <f aca="false">(ROUND(F35,2)*E35)</f>
        <v>11750</v>
      </c>
      <c r="H35" s="61"/>
    </row>
    <row r="36" customFormat="false" ht="20.85" hidden="false" customHeight="false" outlineLevel="0" collapsed="false">
      <c r="A36" s="55"/>
      <c r="B36" s="56" t="n">
        <v>27</v>
      </c>
      <c r="C36" s="57" t="str">
        <f aca="false">Item27!B3</f>
        <v>CONVITE
• dimensões: 150 mm X 200 mm; • lâminas em 4 X 0 cores em couche liso 240 g.</v>
      </c>
      <c r="D36" s="56" t="str">
        <f aca="false">Item27!C3</f>
        <v>exemplar</v>
      </c>
      <c r="E36" s="56" t="n">
        <f aca="false">Item27!D3</f>
        <v>3000</v>
      </c>
      <c r="F36" s="58" t="n">
        <f aca="false">Item27!E3</f>
        <v>3.3</v>
      </c>
      <c r="G36" s="58" t="n">
        <f aca="false">(ROUND(F36,2)*E36)</f>
        <v>9900</v>
      </c>
      <c r="H36" s="61"/>
    </row>
    <row r="37" customFormat="false" ht="20.85" hidden="false" customHeight="false" outlineLevel="0" collapsed="false">
      <c r="A37" s="55"/>
      <c r="B37" s="56" t="n">
        <v>28</v>
      </c>
      <c r="C37" s="57" t="str">
        <f aca="false">Item28!B3</f>
        <v>ENVELOPE
• dimensões: 168 mm X 225 mm; • lâminas em 1 X 0 cores, branco, com brasão em alto relevo 290 g.</v>
      </c>
      <c r="D37" s="56" t="str">
        <f aca="false">Item28!C3</f>
        <v>exemplar</v>
      </c>
      <c r="E37" s="56" t="n">
        <f aca="false">Item28!D3</f>
        <v>3000</v>
      </c>
      <c r="F37" s="58" t="n">
        <f aca="false">Item28!E3</f>
        <v>1.9</v>
      </c>
      <c r="G37" s="58" t="n">
        <f aca="false">(ROUND(F37,2)*E37)</f>
        <v>5700</v>
      </c>
      <c r="H37" s="61"/>
    </row>
    <row r="38" customFormat="false" ht="20.85" hidden="false" customHeight="false" outlineLevel="0" collapsed="false">
      <c r="A38" s="55"/>
      <c r="B38" s="56" t="n">
        <v>29</v>
      </c>
      <c r="C38" s="57" t="str">
        <f aca="false">Item29!B3</f>
        <v>ENVELOPE
• dimensões: 105 mm X 158 mm; • lâminas em 1 X 0 cores, branco, 290 g.</v>
      </c>
      <c r="D38" s="56" t="str">
        <f aca="false">Item29!C3</f>
        <v>exemplar</v>
      </c>
      <c r="E38" s="56" t="n">
        <f aca="false">Item29!D3</f>
        <v>1500</v>
      </c>
      <c r="F38" s="58" t="n">
        <f aca="false">Item29!E3</f>
        <v>0.96</v>
      </c>
      <c r="G38" s="58" t="n">
        <f aca="false">(ROUND(F38,2)*E38)</f>
        <v>1440</v>
      </c>
      <c r="H38" s="61"/>
    </row>
    <row r="39" customFormat="false" ht="20.85" hidden="false" customHeight="false" outlineLevel="0" collapsed="false">
      <c r="A39" s="55"/>
      <c r="B39" s="56" t="n">
        <v>30</v>
      </c>
      <c r="C39" s="57" t="str">
        <f aca="false">Item30!B3</f>
        <v>FOLDER
• dimensões: 297 mm X 210 mm; • 2 dobras; • lâminas em 4 X 4 cores em offset 240 g.</v>
      </c>
      <c r="D39" s="56" t="str">
        <f aca="false">Item30!C3</f>
        <v>exemplar</v>
      </c>
      <c r="E39" s="56" t="n">
        <f aca="false">Item30!D3</f>
        <v>700</v>
      </c>
      <c r="F39" s="58" t="n">
        <f aca="false">Item30!E3</f>
        <v>0.5</v>
      </c>
      <c r="G39" s="58" t="n">
        <f aca="false">(ROUND(F39,2)*E39)</f>
        <v>350</v>
      </c>
      <c r="H39" s="61"/>
    </row>
    <row r="40" customFormat="false" ht="20.85" hidden="false" customHeight="false" outlineLevel="0" collapsed="false">
      <c r="A40" s="55"/>
      <c r="B40" s="56" t="n">
        <v>31</v>
      </c>
      <c r="C40" s="57" t="str">
        <f aca="false">Item31!B3</f>
        <v>FOLDER
• dimensões: 297 mm X 210 mm; • 2 dobras; • lâminas em 4 X 4 cores em couche 180 g.</v>
      </c>
      <c r="D40" s="56" t="str">
        <f aca="false">Item31!C3</f>
        <v>exemplar</v>
      </c>
      <c r="E40" s="56" t="n">
        <f aca="false">Item31!D3</f>
        <v>3000</v>
      </c>
      <c r="F40" s="58" t="n">
        <f aca="false">Item31!E3</f>
        <v>1.19</v>
      </c>
      <c r="G40" s="58" t="n">
        <f aca="false">(ROUND(F40,2)*E40)</f>
        <v>3570</v>
      </c>
      <c r="H40" s="61"/>
    </row>
    <row r="41" customFormat="false" ht="20.85" hidden="false" customHeight="false" outlineLevel="0" collapsed="false">
      <c r="A41" s="55"/>
      <c r="B41" s="56" t="n">
        <v>32</v>
      </c>
      <c r="C41" s="57" t="str">
        <f aca="false">Item32!B3</f>
        <v>FOLDER
• dimensões: 297 mm X 210 mm; • 2 dobras; • lâminas em 4 X 4 cores em reciclato 150 g.</v>
      </c>
      <c r="D41" s="56" t="str">
        <f aca="false">Item32!C3</f>
        <v>exemplar</v>
      </c>
      <c r="E41" s="56" t="n">
        <f aca="false">Item32!D3</f>
        <v>800</v>
      </c>
      <c r="F41" s="58" t="n">
        <f aca="false">Item32!E3</f>
        <v>0.61</v>
      </c>
      <c r="G41" s="58" t="n">
        <f aca="false">(ROUND(F41,2)*E41)</f>
        <v>488</v>
      </c>
      <c r="H41" s="61"/>
    </row>
    <row r="42" customFormat="false" ht="20.85" hidden="false" customHeight="false" outlineLevel="0" collapsed="false">
      <c r="A42" s="55"/>
      <c r="B42" s="56" t="n">
        <v>33</v>
      </c>
      <c r="C42" s="57" t="str">
        <f aca="false">Item33!B3</f>
        <v>DIVERSOS
Marcador de Livro • dimensões: 50 mm X 190 mm; • lâminas em 4 X 4 cores em offset 240 g.complastificação.</v>
      </c>
      <c r="D42" s="56" t="str">
        <f aca="false">Item33!C3</f>
        <v>exemplar</v>
      </c>
      <c r="E42" s="56" t="n">
        <f aca="false">Item33!D3</f>
        <v>3000</v>
      </c>
      <c r="F42" s="58" t="n">
        <f aca="false">Item33!E3</f>
        <v>0.33</v>
      </c>
      <c r="G42" s="58" t="n">
        <f aca="false">(ROUND(F42,2)*E42)</f>
        <v>990</v>
      </c>
      <c r="H42" s="61"/>
    </row>
    <row r="43" customFormat="false" ht="20.85" hidden="false" customHeight="false" outlineLevel="0" collapsed="false">
      <c r="A43" s="55"/>
      <c r="B43" s="56" t="n">
        <v>34</v>
      </c>
      <c r="C43" s="57" t="str">
        <f aca="false">Item34!B3</f>
        <v>DIVERSOS
Diploma • dimensões: 350 mm X 245 mm; • lâminas em 4 X 0 cores em Opaline 180 g</v>
      </c>
      <c r="D43" s="56" t="str">
        <f aca="false">Item34!C3</f>
        <v>exemplar</v>
      </c>
      <c r="E43" s="56" t="n">
        <f aca="false">Item34!D3</f>
        <v>10000</v>
      </c>
      <c r="F43" s="58" t="n">
        <f aca="false">Item34!E3</f>
        <v>2.72</v>
      </c>
      <c r="G43" s="58" t="n">
        <f aca="false">(ROUND(F43,2)*E43)</f>
        <v>27200</v>
      </c>
      <c r="H43" s="61"/>
    </row>
    <row r="44" customFormat="false" ht="30.55" hidden="false" customHeight="false" outlineLevel="0" collapsed="false">
      <c r="A44" s="55"/>
      <c r="B44" s="56" t="n">
        <v>35</v>
      </c>
      <c r="C44" s="57" t="str">
        <f aca="false">Item35!B3</f>
        <v>DIVERSOS
Bloco Miolo: • dimensões: 220 mm X 280 mm; • aproximadamente 50 páginas (25 folhas); • páginas em 1 X 0 cores em offset 75. Capa: • dimensões: 220 mm X 280 mm (fechado); • 4 X 0 cores; • cartão supremo 250 g.</v>
      </c>
      <c r="D44" s="56" t="str">
        <f aca="false">Item35!C3</f>
        <v>exemplar</v>
      </c>
      <c r="E44" s="56" t="n">
        <f aca="false">Item35!D3</f>
        <v>2000</v>
      </c>
      <c r="F44" s="58" t="n">
        <f aca="false">Item35!E3</f>
        <v>2</v>
      </c>
      <c r="G44" s="58" t="n">
        <f aca="false">(ROUND(F44,2)*E44)</f>
        <v>4000</v>
      </c>
      <c r="H44" s="61"/>
    </row>
    <row r="45" customFormat="false" ht="30.55" hidden="false" customHeight="false" outlineLevel="0" collapsed="false">
      <c r="A45" s="55"/>
      <c r="B45" s="56" t="n">
        <v>36</v>
      </c>
      <c r="C45" s="57" t="str">
        <f aca="false">Item36!B3</f>
        <v>DIVERSOS
Bloco Miolo: • dimensões: 160 mm X 220 mm; • aproximadamente 50 páginas (25 folhas); • páginas em 1 X 0 cores em papel reciclato 90. Capa: • dimensões: 160 mm X 220 mm (fechado); • 4 X 0 cores; • papel reciclato 150g.</v>
      </c>
      <c r="D45" s="56" t="str">
        <f aca="false">Item36!C3</f>
        <v>exemplar</v>
      </c>
      <c r="E45" s="56" t="n">
        <f aca="false">Item36!D3</f>
        <v>1500</v>
      </c>
      <c r="F45" s="58" t="n">
        <f aca="false">Item36!E3</f>
        <v>1.9</v>
      </c>
      <c r="G45" s="58" t="n">
        <f aca="false">(ROUND(F45,2)*E45)</f>
        <v>2850</v>
      </c>
      <c r="H45" s="61"/>
    </row>
    <row r="46" customFormat="false" ht="88.8" hidden="false" customHeight="false" outlineLevel="0" collapsed="false">
      <c r="A46" s="55"/>
      <c r="B46" s="56" t="n">
        <v>37</v>
      </c>
      <c r="C46" s="57" t="str">
        <f aca="false">Item37!B3</f>
        <v>DIVERSOS
Coletânea de votos e pareceres Miolo: • dimensões: 297 mm X 210 mm; • aproximadamente 250 páginas (250 folhas); • páginas em 1 X 0 cores em papel offset 90g. Capa: • dimensões: 300 mm X 215 mm; • capa dura, cor preta e letras douradas, com Brasão da República; • papel: vulcapel. Confecção a partir de clichês (medindo em média 15 cm) com letras em dourado em baixo relevo contendo o Brasão da República e a assinatura do magistrado, conforme modelos em anexo (NÃO SERÁ ACEITA INSCRIÇÃO EM SILK SCREEN). OBS: 1: serão confeccionados 06 clichês com as assinaturas dos magistrados. OBS.: 2: o clichê referente ao Brasão da República será fornecido pelo TRE-BA. OBS. 3: O TRE-BA não se obriga a executar todo o quantitativo de coletâneas/exemplares indicados, sendo este uma estimativa da necessidade do Órgão para o exercício.</v>
      </c>
      <c r="D46" s="56" t="str">
        <f aca="false">Item37!C3</f>
        <v>exemplar</v>
      </c>
      <c r="E46" s="56" t="n">
        <f aca="false">Item37!D3</f>
        <v>10</v>
      </c>
      <c r="F46" s="58" t="n">
        <f aca="false">Item37!E3</f>
        <v>599</v>
      </c>
      <c r="G46" s="58" t="n">
        <f aca="false">(ROUND(F46,2)*E46)</f>
        <v>5990</v>
      </c>
      <c r="H46" s="60" t="n">
        <f aca="false">SUM(G25:G46)</f>
        <v>111058</v>
      </c>
    </row>
    <row r="47" customFormat="false" ht="59.7" hidden="false" customHeight="false" outlineLevel="0" collapsed="false">
      <c r="A47" s="62" t="s">
        <v>222</v>
      </c>
      <c r="B47" s="56" t="n">
        <v>38</v>
      </c>
      <c r="C47" s="57" t="str">
        <f aca="false">Item38!B3</f>
        <v>DIVERSOS
Agenda Miolo: • papel reciclado, 75g; • dimensões: 120 mm x 160 mm (BxH); • aproximadamente 350 páginas (175 folhas), sendo 12 folhas (24 páginas) 4 x 0 cores e 163 folhas (326 páginas) 1 x 1; • Impressão em Offset. Capa: • papelão espessura 1.1/nº 30 revestido externamente com papel reciclado 120 g; • impressão 4 x 0 cores, e internamente com papel reciclado 90 g, 0 x 0 cores; • dimensões: 125 mm x 165 mm (BxH); • impressão em Offset; • encadernação em espiral verde escuro.</v>
      </c>
      <c r="D47" s="56" t="str">
        <f aca="false">Item38!C3</f>
        <v>exemplar</v>
      </c>
      <c r="E47" s="56" t="n">
        <f aca="false">Item38!D3</f>
        <v>3000</v>
      </c>
      <c r="F47" s="58" t="n">
        <f aca="false">Item38!E3</f>
        <v>35.72</v>
      </c>
      <c r="G47" s="58" t="n">
        <f aca="false">(ROUND(F47,2)*E47)</f>
        <v>107160</v>
      </c>
      <c r="H47" s="61" t="s">
        <v>223</v>
      </c>
    </row>
    <row r="48" customFormat="false" ht="40.25" hidden="false" customHeight="false" outlineLevel="0" collapsed="false">
      <c r="A48" s="62"/>
      <c r="B48" s="56" t="n">
        <v>39</v>
      </c>
      <c r="C48" s="57" t="str">
        <f aca="false">Item39!B3</f>
        <v>DIVERSOS
Calendário Base: • dimensões: 350 mm X 210 mm; • corte/vinco, duas dobras; • Impressão 4X0 em cartão supremo de 350 g. Páginas • aproximadamente 7 folhas (14 páginas): • dimensões: 130mm X 210 mm; • lâminas em 4 X 4 cores em papel couche de 115 g; • acabamento em wire-o branca.</v>
      </c>
      <c r="D48" s="56" t="str">
        <f aca="false">Item39!C3</f>
        <v>unidade</v>
      </c>
      <c r="E48" s="56" t="n">
        <f aca="false">Item39!D3</f>
        <v>2400</v>
      </c>
      <c r="F48" s="58" t="n">
        <f aca="false">Item39!E3</f>
        <v>11.7</v>
      </c>
      <c r="G48" s="58" t="n">
        <f aca="false">(ROUND(F48,2)*E48)</f>
        <v>28080</v>
      </c>
      <c r="H48" s="61"/>
    </row>
    <row r="49" customFormat="false" ht="30.55" hidden="false" customHeight="false" outlineLevel="0" collapsed="false">
      <c r="A49" s="62"/>
      <c r="B49" s="56" t="n">
        <v>40</v>
      </c>
      <c r="C49" s="57" t="str">
        <f aca="false">Item40!B3</f>
        <v>DIVERSOS
Crachá • dimensões 110 mm X 150 mm; • lâminas em 4 X 0 cores em Couche fosco 300g. • plastificado; • cordão branco.</v>
      </c>
      <c r="D49" s="56" t="str">
        <f aca="false">Item40!C3</f>
        <v>unidade</v>
      </c>
      <c r="E49" s="56" t="n">
        <f aca="false">Item40!D3</f>
        <v>1200</v>
      </c>
      <c r="F49" s="58" t="n">
        <f aca="false">Item40!E3</f>
        <v>1.9</v>
      </c>
      <c r="G49" s="58" t="n">
        <f aca="false">(ROUND(F49,2)*E49)</f>
        <v>2280</v>
      </c>
      <c r="H49" s="60" t="n">
        <f aca="false">SUM(G47:G49)</f>
        <v>137520</v>
      </c>
    </row>
    <row r="50" customFormat="false" ht="15.75" hidden="false" customHeight="true" outlineLevel="0" collapsed="false">
      <c r="B50" s="63"/>
      <c r="C50" s="63"/>
      <c r="D50" s="64" t="s">
        <v>224</v>
      </c>
      <c r="E50" s="64"/>
      <c r="F50" s="64"/>
      <c r="G50" s="65" t="n">
        <f aca="false">SUM(G10:G49)</f>
        <v>403907.5</v>
      </c>
    </row>
  </sheetData>
  <mergeCells count="10">
    <mergeCell ref="A5:H5"/>
    <mergeCell ref="A6:H6"/>
    <mergeCell ref="B8:G8"/>
    <mergeCell ref="A10:A24"/>
    <mergeCell ref="H10:H23"/>
    <mergeCell ref="A25:A46"/>
    <mergeCell ref="H25:H45"/>
    <mergeCell ref="A47:A49"/>
    <mergeCell ref="H47:H48"/>
    <mergeCell ref="D50:F50"/>
  </mergeCells>
  <printOptions headings="false" gridLines="false" gridLinesSet="true" horizontalCentered="true" verticalCentered="false"/>
  <pageMargins left="0.511805555555555" right="0.511805555555555" top="0.590277777777778" bottom="0.9125" header="0.511805555555555" footer="0.787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&amp;L&amp;9Estimativa em &amp;D</oddFooter>
  </headerFooter>
  <rowBreaks count="3" manualBreakCount="3">
    <brk id="15" man="true" max="16383" min="0"/>
    <brk id="24" man="true" max="16383" min="0"/>
    <brk id="46" man="true" max="16383" min="0"/>
  </rowBreaks>
  <drawing r:id="rId1"/>
</worksheet>
</file>

<file path=xl/worksheets/sheet5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L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54" activeCellId="0" sqref="B54"/>
    </sheetView>
  </sheetViews>
  <sheetFormatPr defaultColWidth="9.31640625" defaultRowHeight="12.75" zeroHeight="false" outlineLevelRow="0" outlineLevelCol="0"/>
  <cols>
    <col collapsed="false" customWidth="true" hidden="false" outlineLevel="0" max="1" min="1" style="44" width="9.13"/>
    <col collapsed="false" customWidth="true" hidden="false" outlineLevel="0" max="2" min="2" style="44" width="86.85"/>
    <col collapsed="false" customWidth="true" hidden="false" outlineLevel="0" max="4" min="3" style="66" width="13.29"/>
    <col collapsed="false" customWidth="true" hidden="false" outlineLevel="0" max="5" min="5" style="44" width="13.29"/>
    <col collapsed="false" customWidth="true" hidden="false" outlineLevel="0" max="6" min="6" style="44" width="15.57"/>
    <col collapsed="false" customWidth="true" hidden="false" outlineLevel="0" max="14" min="7" style="45" width="9.13"/>
    <col collapsed="false" customWidth="true" hidden="false" outlineLevel="0" max="64" min="15" style="44" width="9.13"/>
  </cols>
  <sheetData>
    <row r="1" customFormat="false" ht="15.75" hidden="false" customHeight="true" outlineLevel="0" collapsed="false">
      <c r="A1" s="64" t="s">
        <v>225</v>
      </c>
      <c r="B1" s="64"/>
      <c r="C1" s="64"/>
      <c r="D1" s="64"/>
      <c r="E1" s="64"/>
      <c r="F1" s="64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</row>
    <row r="2" customFormat="false" ht="25.5" hidden="false" customHeight="false" outlineLevel="0" collapsed="false">
      <c r="A2" s="54" t="s">
        <v>212</v>
      </c>
      <c r="B2" s="54" t="s">
        <v>213</v>
      </c>
      <c r="C2" s="54" t="s">
        <v>214</v>
      </c>
      <c r="D2" s="54" t="s">
        <v>215</v>
      </c>
      <c r="E2" s="54" t="s">
        <v>216</v>
      </c>
      <c r="F2" s="54" t="s">
        <v>217</v>
      </c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</row>
    <row r="3" customFormat="false" ht="17.25" hidden="false" customHeight="false" outlineLevel="0" collapsed="false">
      <c r="A3" s="67" t="s">
        <v>226</v>
      </c>
      <c r="B3" s="68" t="str">
        <f aca="false">Item1!G20</f>
        <v>EMPRESA GRÁFICA DA BAHIA – EGBA</v>
      </c>
      <c r="C3" s="68"/>
      <c r="D3" s="68"/>
      <c r="E3" s="68"/>
      <c r="F3" s="68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</row>
    <row r="4" customFormat="false" ht="40.25" hidden="false" customHeight="false" outlineLevel="0" collapsed="false">
      <c r="A4" s="56" t="n">
        <v>1</v>
      </c>
      <c r="B4" s="57" t="str">
        <f aca="false">Item1!B3</f>
        <v>LIVRO
Miolo: • dimensões: 15,5 mm X 22,5 mm (fechado); • aproximadamente 800 páginas (400 folhas); • 1 X 1 preta; papel offset 75 g, alta alvura; • acabamento colado; Capa: • dimensões:15,5 mm X 22,5 mm (fechada); • 4 X 0; • papel 250 g, supremo, plastificada, com lombada.</v>
      </c>
      <c r="C4" s="56" t="str">
        <f aca="false">Item1!C3</f>
        <v>exemplar</v>
      </c>
      <c r="D4" s="56" t="n">
        <f aca="false">Item1!D3</f>
        <v>500</v>
      </c>
      <c r="E4" s="58" t="n">
        <f aca="false">Item1!F3</f>
        <v>24.04</v>
      </c>
      <c r="F4" s="58" t="n">
        <f aca="false">(ROUND(E4,2)*D4)</f>
        <v>12020</v>
      </c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</row>
    <row r="5" customFormat="false" ht="17.25" hidden="false" customHeight="false" outlineLevel="0" collapsed="false">
      <c r="A5" s="67" t="s">
        <v>226</v>
      </c>
      <c r="B5" s="68" t="str">
        <f aca="false">Item2!G20</f>
        <v>CALGAN EDITORA GRAFICA LTDA</v>
      </c>
      <c r="C5" s="68"/>
      <c r="D5" s="68"/>
      <c r="E5" s="68"/>
      <c r="F5" s="68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customFormat="false" ht="30.55" hidden="false" customHeight="false" outlineLevel="0" collapsed="false">
      <c r="A6" s="56" t="n">
        <v>2</v>
      </c>
      <c r="B6" s="57" t="str">
        <f aca="false">Item2!B3</f>
        <v>LIVRO
Miolo: • dimensões: 210 mm X 297 mm (fechado); • aproximadamente 60 páginas (30 folhas); • 4 X 4; papel couche 120 g. Capa: • dimensões: 210 mm X 297 mm (fechada); • 4 X 0; • papel reciclato 220 g.</v>
      </c>
      <c r="C6" s="56" t="str">
        <f aca="false">Item2!C3</f>
        <v>exemplar</v>
      </c>
      <c r="D6" s="56" t="n">
        <f aca="false">Item2!D3</f>
        <v>1000</v>
      </c>
      <c r="E6" s="58" t="n">
        <f aca="false">Item2!F3</f>
        <v>9.92</v>
      </c>
      <c r="F6" s="58" t="n">
        <f aca="false">(ROUND(E6,2)*D6)</f>
        <v>9920</v>
      </c>
    </row>
    <row r="7" customFormat="false" ht="17.25" hidden="false" customHeight="false" outlineLevel="0" collapsed="false">
      <c r="A7" s="67" t="s">
        <v>226</v>
      </c>
      <c r="B7" s="68" t="str">
        <f aca="false">Item3!G20</f>
        <v>GRAFICA 3 COMUNICACAO E SERVICOS GRAFICOS LTDA</v>
      </c>
      <c r="C7" s="68"/>
      <c r="D7" s="68"/>
      <c r="E7" s="68"/>
      <c r="F7" s="68"/>
    </row>
    <row r="8" customFormat="false" ht="49.95" hidden="false" customHeight="false" outlineLevel="0" collapsed="false">
      <c r="A8" s="56" t="n">
        <v>3</v>
      </c>
      <c r="B8" s="57" t="str">
        <f aca="false">Item3!B3</f>
        <v>LIVRO
Miolo: • dimensões: 170 mm X 240 mm (fechado); • aproximadamente 700 páginas (350 folhas); • l X 1 preta; papel offset 75 g, alta alvura; • acabamento costurado e colado. Capa: • dimensões: 175 mm X 245 mm (fechada); • com lombada e com orelha; • 4 X 0 cores (policromia); • cartão supremo 300 g, com guarda; • laminação fosca com verniz localizado.</v>
      </c>
      <c r="C8" s="56" t="str">
        <f aca="false">Item3!C3</f>
        <v>exemplar</v>
      </c>
      <c r="D8" s="56" t="n">
        <f aca="false">Item3!D3</f>
        <v>1000</v>
      </c>
      <c r="E8" s="58" t="n">
        <f aca="false">Item3!F3</f>
        <v>16.98</v>
      </c>
      <c r="F8" s="58" t="n">
        <f aca="false">(ROUND(E8,2)*D8)</f>
        <v>16980</v>
      </c>
    </row>
    <row r="9" customFormat="false" ht="12.75" hidden="false" customHeight="true" outlineLevel="0" collapsed="false">
      <c r="A9" s="67" t="s">
        <v>226</v>
      </c>
      <c r="B9" s="68" t="str">
        <f aca="false">Item4!G20</f>
        <v>CALGAN EDITORA GRAFICA LTDA</v>
      </c>
      <c r="C9" s="68"/>
      <c r="D9" s="68"/>
      <c r="E9" s="68"/>
      <c r="F9" s="68"/>
    </row>
    <row r="10" customFormat="false" ht="30.55" hidden="false" customHeight="false" outlineLevel="0" collapsed="false">
      <c r="A10" s="56" t="n">
        <v>4</v>
      </c>
      <c r="B10" s="57" t="str">
        <f aca="false">Item4!B3</f>
        <v>LIVRO
Capa: • dimensões: 420 mm X 2l0 mm (aberto); • 1 dobra; • impressão 4X0; • papel reciclato 220 g. Miolo: • dimensões: 297 mm X 2l0 mm; • Aproximadamente 60 páginas (30 folhas); • impressão 4X4; • papel reciclato 120 g.</v>
      </c>
      <c r="C10" s="56" t="str">
        <f aca="false">Item4!C3</f>
        <v>exemplar</v>
      </c>
      <c r="D10" s="56" t="n">
        <f aca="false">Item4!D3</f>
        <v>600</v>
      </c>
      <c r="E10" s="58" t="n">
        <f aca="false">Item4!F3</f>
        <v>9.92</v>
      </c>
      <c r="F10" s="58" t="n">
        <f aca="false">(ROUND(E10,2)*D10)</f>
        <v>5952</v>
      </c>
    </row>
    <row r="11" customFormat="false" ht="17.25" hidden="false" customHeight="false" outlineLevel="0" collapsed="false">
      <c r="A11" s="67" t="s">
        <v>226</v>
      </c>
      <c r="B11" s="68" t="str">
        <f aca="false">Item5!G20</f>
        <v>ARW EDITORA GRAFICA EIRELI</v>
      </c>
      <c r="C11" s="68"/>
      <c r="D11" s="68"/>
      <c r="E11" s="68"/>
      <c r="F11" s="68"/>
    </row>
    <row r="12" customFormat="false" ht="40.25" hidden="false" customHeight="false" outlineLevel="0" collapsed="false">
      <c r="A12" s="56" t="n">
        <v>5</v>
      </c>
      <c r="B12" s="57" t="str">
        <f aca="false">Item5!B3</f>
        <v>LIVRO
Miolo: • dimensões: 210 mm X 297 mm; • aproximadamente 32 páginas (16 folhas); • 4 X 4; • papel reciclato 120 g; • acabamento com 2 grampos. Capa: • dimensões: 420 mm X 210 mm (aberta); • 1 dobra; • 4 X 0; • papel reciclato 220 g.</v>
      </c>
      <c r="C12" s="56" t="str">
        <f aca="false">Item5!C3</f>
        <v>exemplar</v>
      </c>
      <c r="D12" s="56" t="n">
        <f aca="false">Item5!D3</f>
        <v>600</v>
      </c>
      <c r="E12" s="58" t="n">
        <f aca="false">Item5!F3</f>
        <v>1.5</v>
      </c>
      <c r="F12" s="58" t="n">
        <f aca="false">(ROUND(E12,2)*D12)</f>
        <v>900</v>
      </c>
    </row>
    <row r="13" customFormat="false" ht="17.25" hidden="false" customHeight="false" outlineLevel="0" collapsed="false">
      <c r="A13" s="67" t="s">
        <v>226</v>
      </c>
      <c r="B13" s="68" t="str">
        <f aca="false">Item6!G20</f>
        <v>EMPRESA GRÁFICA DA BAHIA – EGBA</v>
      </c>
      <c r="C13" s="68"/>
      <c r="D13" s="68"/>
      <c r="E13" s="68"/>
      <c r="F13" s="68"/>
    </row>
    <row r="14" customFormat="false" ht="40.25" hidden="false" customHeight="false" outlineLevel="0" collapsed="false">
      <c r="A14" s="56" t="n">
        <v>6</v>
      </c>
      <c r="B14" s="57" t="str">
        <f aca="false">Item6!B3</f>
        <v>LIVRO
Miolo: • dimensões: 155 mm X 215 mm (fechado); • aproximadamente 150 páginas (75 folhas); • l X 1 preta; papel offset 90 g, branco; • acabamento colado. Capa: • dimensões 155 mm X 215 mm (fechada); • 4 X 0 cores (policromia); • papel 180 g, couche liso.</v>
      </c>
      <c r="C14" s="56" t="str">
        <f aca="false">Item6!C3</f>
        <v>exemplar</v>
      </c>
      <c r="D14" s="56" t="n">
        <f aca="false">Item6!D3</f>
        <v>500</v>
      </c>
      <c r="E14" s="58" t="n">
        <f aca="false">Item6!F3</f>
        <v>6.31</v>
      </c>
      <c r="F14" s="58" t="n">
        <f aca="false">(ROUND(E14,2)*D14)</f>
        <v>3155</v>
      </c>
    </row>
    <row r="15" customFormat="false" ht="17.25" hidden="false" customHeight="false" outlineLevel="0" collapsed="false">
      <c r="A15" s="67" t="s">
        <v>226</v>
      </c>
      <c r="B15" s="68" t="str">
        <f aca="false">Item7!G20</f>
        <v>EMPRESA GRÁFICA DA BAHIA – EGBA</v>
      </c>
      <c r="C15" s="68"/>
      <c r="D15" s="68"/>
      <c r="E15" s="68"/>
      <c r="F15" s="68"/>
    </row>
    <row r="16" customFormat="false" ht="40.25" hidden="false" customHeight="false" outlineLevel="0" collapsed="false">
      <c r="A16" s="56" t="n">
        <v>7</v>
      </c>
      <c r="B16" s="57" t="str">
        <f aca="false">Item7!B3</f>
        <v>LIVRO
Miolo: • dimensões: 155 mm X 215 mm (fechado); • aproximadamente 150 páginas (75 folhas); • l X 1 preta; papel offset 90 g, branco; • acabamento colado. Capa: • dimensões 155 mm X 215 mm (fechada); • 4 X 0 cores (policromia); • papel 180 g, couche liso, com lombada.</v>
      </c>
      <c r="C16" s="56" t="str">
        <f aca="false">Item7!C3</f>
        <v>exemplar</v>
      </c>
      <c r="D16" s="56" t="n">
        <f aca="false">Item7!D3</f>
        <v>500</v>
      </c>
      <c r="E16" s="58" t="n">
        <f aca="false">Item7!F3</f>
        <v>6.31</v>
      </c>
      <c r="F16" s="58" t="n">
        <f aca="false">(ROUND(E16,2)*D16)</f>
        <v>3155</v>
      </c>
    </row>
    <row r="17" customFormat="false" ht="17.25" hidden="false" customHeight="false" outlineLevel="0" collapsed="false">
      <c r="A17" s="67" t="s">
        <v>226</v>
      </c>
      <c r="B17" s="68" t="str">
        <f aca="false">Item8!G20</f>
        <v>POLIMPRESSOS SERVICOS GRAFICOS LTDA</v>
      </c>
      <c r="C17" s="68"/>
      <c r="D17" s="68"/>
      <c r="E17" s="68"/>
      <c r="F17" s="68"/>
    </row>
    <row r="18" customFormat="false" ht="40.25" hidden="false" customHeight="false" outlineLevel="0" collapsed="false">
      <c r="A18" s="56" t="n">
        <v>8</v>
      </c>
      <c r="B18" s="57" t="str">
        <f aca="false">Item8!B3</f>
        <v>LIVRO
Miolo: • dimensões: 220 mm X 300 mm (fechado); • aproximadamente 120 páginas (60 folhas); • 4 X 4; papel couche fosco 150 g; • acabamento costurado e colado, com fita. Capa: • dimensões: 225 mm X 305 mm (fechada); • 4 X 4 cores (policromia); • Laminação fosca com verniz localizado; • capa dura, com guarda.</v>
      </c>
      <c r="C18" s="56" t="str">
        <f aca="false">Item8!C3</f>
        <v>exemplar</v>
      </c>
      <c r="D18" s="56" t="n">
        <f aca="false">Item8!D3</f>
        <v>250</v>
      </c>
      <c r="E18" s="58" t="n">
        <f aca="false">Item8!F3</f>
        <v>22</v>
      </c>
      <c r="F18" s="58" t="n">
        <f aca="false">(ROUND(E18,2)*D18)</f>
        <v>5500</v>
      </c>
    </row>
    <row r="19" customFormat="false" ht="17.25" hidden="false" customHeight="false" outlineLevel="0" collapsed="false">
      <c r="A19" s="67" t="s">
        <v>226</v>
      </c>
      <c r="B19" s="68" t="str">
        <f aca="false">Item9!G20</f>
        <v>GRAFICA EDITORA FORMULARIOS CONTINUOS E ETIQUETAS F &amp; F</v>
      </c>
      <c r="C19" s="68"/>
      <c r="D19" s="68"/>
      <c r="E19" s="68"/>
      <c r="F19" s="68"/>
    </row>
    <row r="20" customFormat="false" ht="30.55" hidden="false" customHeight="false" outlineLevel="0" collapsed="false">
      <c r="A20" s="56" t="n">
        <v>9</v>
      </c>
      <c r="B20" s="57" t="str">
        <f aca="false">Item9!B3</f>
        <v>CARTILHA
Capa e Miolo: • papel couche liso l50 gr, branco; • impressão offset 4 X 4; • acabamento com 2 grampos; • dimensões: l80 mm X l80 mm (fechado) e l80 mm X 360 mm (aberto); • aproximadamente 30 páginas.</v>
      </c>
      <c r="C20" s="56" t="str">
        <f aca="false">Item9!C3</f>
        <v>exemplar</v>
      </c>
      <c r="D20" s="56" t="n">
        <f aca="false">Item9!D3</f>
        <v>3000</v>
      </c>
      <c r="E20" s="58" t="n">
        <f aca="false">Item9!F3</f>
        <v>1.995</v>
      </c>
      <c r="F20" s="58" t="n">
        <f aca="false">(ROUND(E20,2)*D20)</f>
        <v>6000</v>
      </c>
    </row>
    <row r="21" customFormat="false" ht="17.25" hidden="false" customHeight="false" outlineLevel="0" collapsed="false">
      <c r="A21" s="67" t="s">
        <v>226</v>
      </c>
      <c r="B21" s="68" t="str">
        <f aca="false">Item10!G20</f>
        <v>EMPRESA GRÁFICA DA BAHIA – EGBA</v>
      </c>
      <c r="C21" s="68"/>
      <c r="D21" s="68"/>
      <c r="E21" s="68"/>
      <c r="F21" s="68"/>
    </row>
    <row r="22" customFormat="false" ht="38.25" hidden="false" customHeight="false" outlineLevel="0" collapsed="false">
      <c r="A22" s="56" t="n">
        <v>10</v>
      </c>
      <c r="B22" s="57" t="str">
        <f aca="false">Item10!B3</f>
        <v>CARTILHA
Capa: • Impressão 4 X 0; • papel couche liso, 150 g; • envernizada; • dimensões: A4 (aberta); • 1 dobra • Encadernação tipo canoa, com 2 grampos. Miolo: • Impressão 4 X 4; • papel couche liso, 115 g; • dimensões: A4 (aberta); • 1 dobra; • 20 páginas.</v>
      </c>
      <c r="C22" s="56" t="str">
        <f aca="false">Item10!C3</f>
        <v>exemplar</v>
      </c>
      <c r="D22" s="56" t="n">
        <f aca="false">Item10!D3</f>
        <v>3000</v>
      </c>
      <c r="E22" s="58" t="n">
        <f aca="false">Item10!F3</f>
        <v>2.39</v>
      </c>
      <c r="F22" s="58" t="n">
        <f aca="false">(ROUND(E22,2)*D22)</f>
        <v>7170</v>
      </c>
    </row>
    <row r="23" customFormat="false" ht="17.25" hidden="false" customHeight="false" outlineLevel="0" collapsed="false">
      <c r="A23" s="67" t="s">
        <v>226</v>
      </c>
      <c r="B23" s="68" t="str">
        <f aca="false">Item11!G20</f>
        <v>EMPRESA GRÁFICA DA BAHIA – EGBA</v>
      </c>
      <c r="C23" s="68"/>
      <c r="D23" s="68"/>
      <c r="E23" s="68"/>
      <c r="F23" s="68"/>
    </row>
    <row r="24" customFormat="false" ht="38.25" hidden="false" customHeight="false" outlineLevel="0" collapsed="false">
      <c r="A24" s="56" t="n">
        <v>11</v>
      </c>
      <c r="B24" s="57" t="str">
        <f aca="false">Item11!B3</f>
        <v>CARTILHA
Miolo: • dimensões: 148,5 mm X 210 mm (fechado); • aproximadamente 20 páginas (10 folhas); • impressão: 1 X 1; • papel offset 90 g, alta alvura; • acabamento com 2 grampos. Capa: • dimensões: 148,5 mm X 210 mm (fechada); • 4 X 0 cores (policromia); • papel couche liso, 130 g.</v>
      </c>
      <c r="C24" s="56" t="str">
        <f aca="false">Item11!C3</f>
        <v>unidade</v>
      </c>
      <c r="D24" s="56" t="n">
        <f aca="false">Item11!D3</f>
        <v>1000</v>
      </c>
      <c r="E24" s="58" t="n">
        <f aca="false">Item11!F3</f>
        <v>1.43</v>
      </c>
      <c r="F24" s="58" t="n">
        <f aca="false">(ROUND(E24,2)*D24)</f>
        <v>1430</v>
      </c>
    </row>
    <row r="25" customFormat="false" ht="17.25" hidden="false" customHeight="false" outlineLevel="0" collapsed="false">
      <c r="A25" s="67" t="s">
        <v>226</v>
      </c>
      <c r="B25" s="68" t="str">
        <f aca="false">Item12!G20</f>
        <v>POLIMPRESSOS SERVICOS GRAFICOS LTDA</v>
      </c>
      <c r="C25" s="68"/>
      <c r="D25" s="68"/>
      <c r="E25" s="68"/>
      <c r="F25" s="68"/>
    </row>
    <row r="26" customFormat="false" ht="38.25" hidden="false" customHeight="false" outlineLevel="0" collapsed="false">
      <c r="A26" s="56" t="n">
        <v>12</v>
      </c>
      <c r="B26" s="57" t="str">
        <f aca="false">Item12!B3</f>
        <v>CARTILHA
Miolo: • dimensões: 210 mm X 297 mm (fechado); • aproximadamente 80 páginas (40 folhas); • impressão: 4 X 4; • papel offset 90 g, alta alvura; • acabamento com 2 grampos. Capa: • dimensões: 210 mm X 297 mm (fechada); • 4 X 0 cores (policromia); • papel couche liso, 130 g.</v>
      </c>
      <c r="C26" s="56" t="str">
        <f aca="false">Item12!C3</f>
        <v>exemplar</v>
      </c>
      <c r="D26" s="56" t="n">
        <f aca="false">Item12!D3</f>
        <v>300</v>
      </c>
      <c r="E26" s="58" t="n">
        <f aca="false">Item12!F3</f>
        <v>25.89</v>
      </c>
      <c r="F26" s="58" t="n">
        <f aca="false">(ROUND(E26,2)*D26)</f>
        <v>7767</v>
      </c>
    </row>
    <row r="27" customFormat="false" ht="17.25" hidden="false" customHeight="false" outlineLevel="0" collapsed="false">
      <c r="A27" s="67" t="s">
        <v>226</v>
      </c>
      <c r="B27" s="68" t="str">
        <f aca="false">Item13!G20</f>
        <v>GRAFICA E EDITORA LUAR EIRELI</v>
      </c>
      <c r="C27" s="68"/>
      <c r="D27" s="68"/>
      <c r="E27" s="68"/>
      <c r="F27" s="68"/>
    </row>
    <row r="28" customFormat="false" ht="38.25" hidden="false" customHeight="false" outlineLevel="0" collapsed="false">
      <c r="A28" s="56" t="n">
        <v>13</v>
      </c>
      <c r="B28" s="57" t="str">
        <f aca="false">Item13!B3</f>
        <v>CARTILHA
Miolo: • dimensões: 148,5 mm X 210 mm (fechado); • aproximadamente 100 páginas (50 folhas); • impressão: 4 X 4; • papel offset 90 g, alta alvura; • acabamento com 2 grampos. Capa: • dimensões: 148,5 mm X 210 mm (fechada); • 4 X 0 cores (policromia); • papel couche liso, 130 g.</v>
      </c>
      <c r="C28" s="56" t="str">
        <f aca="false">Item13!C3</f>
        <v>exemplar</v>
      </c>
      <c r="D28" s="56" t="n">
        <f aca="false">Item13!D3</f>
        <v>200</v>
      </c>
      <c r="E28" s="58" t="n">
        <f aca="false">Item13!F3</f>
        <v>8.5</v>
      </c>
      <c r="F28" s="58" t="n">
        <f aca="false">(ROUND(E28,2)*D28)</f>
        <v>1700</v>
      </c>
    </row>
    <row r="29" customFormat="false" ht="17.25" hidden="false" customHeight="false" outlineLevel="0" collapsed="false">
      <c r="A29" s="67" t="s">
        <v>226</v>
      </c>
      <c r="B29" s="68" t="str">
        <f aca="false">Item14!G20</f>
        <v>VIVA - GRAFICA E EDITORA LTDA</v>
      </c>
      <c r="C29" s="68"/>
      <c r="D29" s="68"/>
      <c r="E29" s="68"/>
      <c r="F29" s="68"/>
    </row>
    <row r="30" customFormat="false" ht="38.25" hidden="false" customHeight="false" outlineLevel="0" collapsed="false">
      <c r="A30" s="56" t="n">
        <v>14</v>
      </c>
      <c r="B30" s="57" t="str">
        <f aca="false">Item14!B3</f>
        <v>CARTILHA
Miolo: • dimensões: 190 mm X 260 mm (fechado); • aproximadamente 50 páginas (25 folhas); • impressão: 1 X 1; • papel offset 90 g, alta alvura; • acabamento com 2 grampos. Capa: • dimensões: 190 mm X 260 mm (fechada); • 4 X 0 cores (policromia); • papel 130 g, papel couche liso.</v>
      </c>
      <c r="C30" s="56" t="str">
        <f aca="false">Item14!C3</f>
        <v>exemplar</v>
      </c>
      <c r="D30" s="56" t="n">
        <f aca="false">Item14!D3</f>
        <v>200</v>
      </c>
      <c r="E30" s="58" t="n">
        <f aca="false">Item14!F3</f>
        <v>4.36</v>
      </c>
      <c r="F30" s="58" t="n">
        <f aca="false">(ROUND(E30,2)*D30)</f>
        <v>872</v>
      </c>
    </row>
    <row r="31" customFormat="false" ht="17.25" hidden="false" customHeight="false" outlineLevel="0" collapsed="false">
      <c r="A31" s="67" t="s">
        <v>226</v>
      </c>
      <c r="B31" s="68" t="str">
        <f aca="false">Item15!G20</f>
        <v>EMPRESA GRÁFICA DA BAHIA – EGBA</v>
      </c>
      <c r="C31" s="68"/>
      <c r="D31" s="68"/>
      <c r="E31" s="68"/>
      <c r="F31" s="68"/>
    </row>
    <row r="32" customFormat="false" ht="40.25" hidden="false" customHeight="false" outlineLevel="0" collapsed="false">
      <c r="A32" s="56" t="n">
        <v>15</v>
      </c>
      <c r="B32" s="57" t="str">
        <f aca="false">Item15!B3</f>
        <v>CARTILHA
Miolo: • dimensões:170 mm X 240 mm (fechado); • aproximadamente 70 páginas (35 folhas); • impressão: 1 X 1; • papel offset 90 g, alta alvura; • acabamento com 2 grampos. Capa: • dimensões: 170 mm X 240 mm (fechada); • 4 X 0 cores (policromia); • papel 130 g, papel couche liso;</v>
      </c>
      <c r="C32" s="56" t="str">
        <f aca="false">Item15!C3</f>
        <v>exemplar</v>
      </c>
      <c r="D32" s="56" t="n">
        <f aca="false">Item15!D3</f>
        <v>100</v>
      </c>
      <c r="E32" s="58" t="n">
        <f aca="false">Item15!F3</f>
        <v>11.61</v>
      </c>
      <c r="F32" s="58" t="n">
        <f aca="false">(ROUND(E32,2)*D32)</f>
        <v>1161</v>
      </c>
    </row>
    <row r="33" customFormat="false" ht="17.25" hidden="false" customHeight="false" outlineLevel="0" collapsed="false">
      <c r="A33" s="67" t="s">
        <v>226</v>
      </c>
      <c r="B33" s="68" t="str">
        <f aca="false">Item16!G20</f>
        <v>EMPRESA GRÁFICA DA BAHIA – EGBA</v>
      </c>
      <c r="C33" s="68"/>
      <c r="D33" s="68"/>
      <c r="E33" s="68"/>
      <c r="F33" s="68"/>
    </row>
    <row r="34" customFormat="false" ht="20.85" hidden="false" customHeight="false" outlineLevel="0" collapsed="false">
      <c r="A34" s="56" t="n">
        <v>16</v>
      </c>
      <c r="B34" s="57" t="str">
        <f aca="false">Item16!B3</f>
        <v>CARTÃO
• dimensões: 55 mm X 95 mm. • lâmina em 1 X 0 cores em Opaline 180 g.</v>
      </c>
      <c r="C34" s="56" t="str">
        <f aca="false">Item16!C3</f>
        <v>unidade</v>
      </c>
      <c r="D34" s="56" t="n">
        <f aca="false">Item16!D3</f>
        <v>8000</v>
      </c>
      <c r="E34" s="58" t="n">
        <f aca="false">Item16!F3</f>
        <v>0.1</v>
      </c>
      <c r="F34" s="58" t="n">
        <f aca="false">(ROUND(E34,2)*D34)</f>
        <v>800</v>
      </c>
    </row>
    <row r="35" customFormat="false" ht="17.25" hidden="false" customHeight="false" outlineLevel="0" collapsed="false">
      <c r="A35" s="67" t="s">
        <v>226</v>
      </c>
      <c r="B35" s="68" t="str">
        <f aca="false">Item17!G20</f>
        <v>J.F. GRAFICA E EDICOES EIRELI</v>
      </c>
      <c r="C35" s="68"/>
      <c r="D35" s="68"/>
      <c r="E35" s="68"/>
      <c r="F35" s="68"/>
    </row>
    <row r="36" customFormat="false" ht="20.85" hidden="false" customHeight="false" outlineLevel="0" collapsed="false">
      <c r="A36" s="56" t="n">
        <v>17</v>
      </c>
      <c r="B36" s="57" t="str">
        <f aca="false">Item17!B3</f>
        <v>CARTÃO
• dimensões: 55 mm X 95 mm. • lâmina em 4 X 0 cores em Opaline 180 g.</v>
      </c>
      <c r="C36" s="56" t="str">
        <f aca="false">Item17!C3</f>
        <v>unidade</v>
      </c>
      <c r="D36" s="56" t="n">
        <f aca="false">Item17!D3</f>
        <v>3000</v>
      </c>
      <c r="E36" s="58" t="n">
        <f aca="false">Item17!F3</f>
        <v>0.13</v>
      </c>
      <c r="F36" s="58" t="n">
        <f aca="false">(ROUND(E36,2)*D36)</f>
        <v>390</v>
      </c>
    </row>
    <row r="37" customFormat="false" ht="17.25" hidden="false" customHeight="false" outlineLevel="0" collapsed="false">
      <c r="A37" s="67" t="s">
        <v>226</v>
      </c>
      <c r="B37" s="68" t="str">
        <f aca="false">Item18!G20</f>
        <v>GRAFICA EDITORA FORMULARIOS CONTINUOS E ETIQUETAS F &amp; F</v>
      </c>
      <c r="C37" s="68"/>
      <c r="D37" s="68"/>
      <c r="E37" s="68"/>
      <c r="F37" s="68"/>
    </row>
    <row r="38" customFormat="false" ht="20.85" hidden="false" customHeight="false" outlineLevel="0" collapsed="false">
      <c r="A38" s="56" t="n">
        <v>18</v>
      </c>
      <c r="B38" s="57" t="str">
        <f aca="false">Item18!B3</f>
        <v>CARTÃO
• dimensões: 102 mm X 152 mm; • lâminas em 4 X 0 cores em couche fosco 240 g</v>
      </c>
      <c r="C38" s="56" t="str">
        <f aca="false">Item18!C3</f>
        <v>exemplar</v>
      </c>
      <c r="D38" s="56" t="n">
        <f aca="false">Item18!D3</f>
        <v>1000</v>
      </c>
      <c r="E38" s="58" t="n">
        <f aca="false">Item18!F3</f>
        <v>0.13</v>
      </c>
      <c r="F38" s="58" t="n">
        <f aca="false">(ROUND(E38,2)*D38)</f>
        <v>130</v>
      </c>
    </row>
    <row r="39" customFormat="false" ht="17.25" hidden="false" customHeight="false" outlineLevel="0" collapsed="false">
      <c r="A39" s="67" t="s">
        <v>226</v>
      </c>
      <c r="B39" s="68" t="str">
        <f aca="false">Item19!G20</f>
        <v>A VIEIRA SERVICOS</v>
      </c>
      <c r="C39" s="68"/>
      <c r="D39" s="68"/>
      <c r="E39" s="68"/>
      <c r="F39" s="68"/>
    </row>
    <row r="40" customFormat="false" ht="30.55" hidden="false" customHeight="false" outlineLevel="0" collapsed="false">
      <c r="A40" s="56" t="n">
        <v>19</v>
      </c>
      <c r="B40" s="57" t="str">
        <f aca="false">Item19!B3</f>
        <v>PASTA
• dimensões: 450 mm X 320 mm (aberto); • 1 dobra e bolso interno; • impresso 4 X 0; • cartão supremo 250 g com plastificação.</v>
      </c>
      <c r="C40" s="56" t="str">
        <f aca="false">Item19!C3</f>
        <v>exemplar</v>
      </c>
      <c r="D40" s="56" t="n">
        <f aca="false">Item19!D3</f>
        <v>4000</v>
      </c>
      <c r="E40" s="58" t="n">
        <f aca="false">Item19!F3</f>
        <v>1</v>
      </c>
      <c r="F40" s="58" t="n">
        <f aca="false">(ROUND(E40,2)*D40)</f>
        <v>4000</v>
      </c>
    </row>
    <row r="41" customFormat="false" ht="17.25" hidden="false" customHeight="false" outlineLevel="0" collapsed="false">
      <c r="A41" s="67" t="s">
        <v>226</v>
      </c>
      <c r="B41" s="68" t="str">
        <f aca="false">Item20!G20</f>
        <v>CALGAN EDITORA GRAFICA LTDA</v>
      </c>
      <c r="C41" s="68"/>
      <c r="D41" s="68"/>
      <c r="E41" s="68"/>
      <c r="F41" s="68"/>
    </row>
    <row r="42" customFormat="false" ht="20.85" hidden="false" customHeight="false" outlineLevel="0" collapsed="false">
      <c r="A42" s="56" t="n">
        <v>20</v>
      </c>
      <c r="B42" s="57" t="str">
        <f aca="false">Item20!B3</f>
        <v>PASTA
• dimensões 325 mm X 474 mm (aberto); • lâminas em 1 X 0 cores em OffSet 280 g; • 1 dobra.</v>
      </c>
      <c r="C42" s="56" t="str">
        <f aca="false">Item20!C3</f>
        <v>exemplar</v>
      </c>
      <c r="D42" s="56" t="n">
        <f aca="false">Item20!D3</f>
        <v>10000</v>
      </c>
      <c r="E42" s="58" t="n">
        <f aca="false">Item20!F3</f>
        <v>0.76</v>
      </c>
      <c r="F42" s="58" t="n">
        <f aca="false">(ROUND(E42,2)*D42)</f>
        <v>7600</v>
      </c>
    </row>
    <row r="43" customFormat="false" ht="17.25" hidden="false" customHeight="false" outlineLevel="0" collapsed="false">
      <c r="A43" s="67" t="s">
        <v>226</v>
      </c>
      <c r="B43" s="68" t="str">
        <f aca="false">Item21!G20</f>
        <v>LM SERVGRAFICA E COPIADORA LTDA</v>
      </c>
      <c r="C43" s="68"/>
      <c r="D43" s="68"/>
      <c r="E43" s="68"/>
      <c r="F43" s="68"/>
    </row>
    <row r="44" customFormat="false" ht="20.85" hidden="false" customHeight="false" outlineLevel="0" collapsed="false">
      <c r="A44" s="56" t="n">
        <v>21</v>
      </c>
      <c r="B44" s="57" t="str">
        <f aca="false">Item21!B3</f>
        <v>CARTAZ
• dimensões: 297 mm X 420 mm; • lâminas em 4 X 0 cores em couche liso 150 g;</v>
      </c>
      <c r="C44" s="56" t="str">
        <f aca="false">Item21!C3</f>
        <v>exemplar</v>
      </c>
      <c r="D44" s="56" t="n">
        <f aca="false">Item21!D3</f>
        <v>4000</v>
      </c>
      <c r="E44" s="58" t="n">
        <f aca="false">Item21!F3</f>
        <v>0.2</v>
      </c>
      <c r="F44" s="58" t="n">
        <f aca="false">(ROUND(E44,2)*D44)</f>
        <v>800</v>
      </c>
    </row>
    <row r="45" customFormat="false" ht="17.25" hidden="false" customHeight="false" outlineLevel="0" collapsed="false">
      <c r="A45" s="67" t="s">
        <v>226</v>
      </c>
      <c r="B45" s="68" t="str">
        <f aca="false">Item22!G20</f>
        <v>EMPRESA GRÁFICA DA BAHIA – EGBA</v>
      </c>
      <c r="C45" s="68"/>
      <c r="D45" s="68"/>
      <c r="E45" s="68"/>
      <c r="F45" s="68"/>
    </row>
    <row r="46" customFormat="false" ht="20.85" hidden="false" customHeight="false" outlineLevel="0" collapsed="false">
      <c r="A46" s="56" t="n">
        <v>22</v>
      </c>
      <c r="B46" s="57" t="str">
        <f aca="false">Item22!B3</f>
        <v>CARTAZ
• dimensões: 420 mm X 600 mm; • lâminas em 4 X 0 cores em couche liso 150 g;</v>
      </c>
      <c r="C46" s="56" t="str">
        <f aca="false">Item22!C3</f>
        <v>exemplar</v>
      </c>
      <c r="D46" s="56" t="n">
        <f aca="false">Item22!D3</f>
        <v>1000</v>
      </c>
      <c r="E46" s="58" t="n">
        <f aca="false">Item22!F3</f>
        <v>1.19</v>
      </c>
      <c r="F46" s="58" t="n">
        <f aca="false">(ROUND(E46,2)*D46)</f>
        <v>1190</v>
      </c>
    </row>
    <row r="47" customFormat="false" ht="17.25" hidden="false" customHeight="false" outlineLevel="0" collapsed="false">
      <c r="A47" s="67" t="s">
        <v>226</v>
      </c>
      <c r="B47" s="68" t="str">
        <f aca="false">Item23!G20</f>
        <v>LM SERVGRAFICA E COPIADORA LTDA</v>
      </c>
      <c r="C47" s="68"/>
      <c r="D47" s="68"/>
      <c r="E47" s="68"/>
      <c r="F47" s="68"/>
    </row>
    <row r="48" customFormat="false" ht="20.85" hidden="false" customHeight="false" outlineLevel="0" collapsed="false">
      <c r="A48" s="56" t="n">
        <v>23</v>
      </c>
      <c r="B48" s="57" t="str">
        <f aca="false">Item23!B3</f>
        <v>CARTAZ
• dimensões: 285 mm X 410 mm; • lâminas em 4 X 0 cores em couche liso 150 g;</v>
      </c>
      <c r="C48" s="56" t="str">
        <f aca="false">Item23!C3</f>
        <v>exemplar</v>
      </c>
      <c r="D48" s="56" t="n">
        <f aca="false">Item23!D3</f>
        <v>1000</v>
      </c>
      <c r="E48" s="58" t="n">
        <f aca="false">Item23!F3</f>
        <v>0.2</v>
      </c>
      <c r="F48" s="58" t="n">
        <f aca="false">(ROUND(E48,2)*D48)</f>
        <v>200</v>
      </c>
    </row>
    <row r="49" customFormat="false" ht="17.25" hidden="false" customHeight="false" outlineLevel="0" collapsed="false">
      <c r="A49" s="67" t="s">
        <v>226</v>
      </c>
      <c r="B49" s="68" t="str">
        <f aca="false">Item24!G20</f>
        <v>EMPRESA GRÁFICA DA BAHIA – EGBA</v>
      </c>
      <c r="C49" s="68"/>
      <c r="D49" s="68"/>
      <c r="E49" s="68"/>
      <c r="F49" s="68"/>
    </row>
    <row r="50" customFormat="false" ht="20.85" hidden="false" customHeight="false" outlineLevel="0" collapsed="false">
      <c r="A50" s="56" t="n">
        <v>24</v>
      </c>
      <c r="B50" s="57" t="str">
        <f aca="false">Item24!B3</f>
        <v>CARTAZ
• dimensões: 400 mm X 580 mm; • lâminas em 4 X 0 cores em couche liso 150 g.</v>
      </c>
      <c r="C50" s="56" t="str">
        <f aca="false">Item24!C3</f>
        <v>exemplar</v>
      </c>
      <c r="D50" s="56" t="n">
        <f aca="false">Item24!D3</f>
        <v>1000</v>
      </c>
      <c r="E50" s="58" t="n">
        <f aca="false">Item24!F3</f>
        <v>1.19</v>
      </c>
      <c r="F50" s="58" t="n">
        <f aca="false">(ROUND(E50,2)*D50)</f>
        <v>1190</v>
      </c>
    </row>
    <row r="51" customFormat="false" ht="17.25" hidden="false" customHeight="false" outlineLevel="0" collapsed="false">
      <c r="A51" s="67" t="s">
        <v>226</v>
      </c>
      <c r="B51" s="68" t="str">
        <f aca="false">Item25!G20</f>
        <v>EMPRESA GRÁFICA DA BAHIA – EGBA</v>
      </c>
      <c r="C51" s="68"/>
      <c r="D51" s="68"/>
      <c r="E51" s="68"/>
      <c r="F51" s="68"/>
    </row>
    <row r="52" customFormat="false" ht="20.85" hidden="false" customHeight="false" outlineLevel="0" collapsed="false">
      <c r="A52" s="56" t="n">
        <v>25</v>
      </c>
      <c r="B52" s="57" t="str">
        <f aca="false">Item25!B3</f>
        <v>CARTAZ
• dimensões: 210 mm X 297 mm; • lâminas em 4 X 0 cores em couche liso 150 g.</v>
      </c>
      <c r="C52" s="56" t="str">
        <f aca="false">Item25!C3</f>
        <v>exemplar</v>
      </c>
      <c r="D52" s="56" t="n">
        <f aca="false">Item25!D3</f>
        <v>1000</v>
      </c>
      <c r="E52" s="58" t="n">
        <f aca="false">Item25!F3</f>
        <v>0.48</v>
      </c>
      <c r="F52" s="58" t="n">
        <f aca="false">(ROUND(E52,2)*D52)</f>
        <v>480</v>
      </c>
    </row>
    <row r="53" customFormat="false" ht="17.25" hidden="false" customHeight="false" outlineLevel="0" collapsed="false">
      <c r="A53" s="67" t="s">
        <v>226</v>
      </c>
      <c r="B53" s="68" t="str">
        <f aca="false">Item26!G20</f>
        <v>PANTOGRAF GRAFICA E EDITORA LTDA</v>
      </c>
      <c r="C53" s="68"/>
      <c r="D53" s="68"/>
      <c r="E53" s="68"/>
      <c r="F53" s="68"/>
    </row>
    <row r="54" customFormat="false" ht="30.55" hidden="false" customHeight="false" outlineLevel="0" collapsed="false">
      <c r="A54" s="56" t="n">
        <v>26</v>
      </c>
      <c r="B54" s="57" t="str">
        <f aca="false">Item26!B3</f>
        <v>CONVITE
• dimensões: 287 mm X 410 mm; • 2 dobras; • lâminas em 4 X 4 cores em couche fosco 240 g, com laminação fosca; • com verniz localizado.</v>
      </c>
      <c r="C54" s="56" t="str">
        <f aca="false">Item26!C3</f>
        <v>exemplar</v>
      </c>
      <c r="D54" s="56" t="n">
        <f aca="false">Item26!D3</f>
        <v>5000</v>
      </c>
      <c r="E54" s="58" t="n">
        <f aca="false">Item26!F3</f>
        <v>1.3</v>
      </c>
      <c r="F54" s="58" t="n">
        <f aca="false">(ROUND(E54,2)*D54)</f>
        <v>6500</v>
      </c>
    </row>
    <row r="55" customFormat="false" ht="17.25" hidden="false" customHeight="false" outlineLevel="0" collapsed="false">
      <c r="A55" s="67" t="s">
        <v>226</v>
      </c>
      <c r="B55" s="68" t="str">
        <f aca="false">Item27!G20</f>
        <v>EMPRESA GRÁFICA DA BAHIA – EGBA</v>
      </c>
      <c r="C55" s="68"/>
      <c r="D55" s="68"/>
      <c r="E55" s="68"/>
      <c r="F55" s="68"/>
    </row>
    <row r="56" customFormat="false" ht="20.85" hidden="false" customHeight="false" outlineLevel="0" collapsed="false">
      <c r="A56" s="56" t="n">
        <v>27</v>
      </c>
      <c r="B56" s="57" t="str">
        <f aca="false">Item27!B3</f>
        <v>CONVITE
• dimensões: 150 mm X 200 mm; • lâminas em 4 X 0 cores em couche liso 240 g.</v>
      </c>
      <c r="C56" s="56" t="str">
        <f aca="false">Item27!C3</f>
        <v>exemplar</v>
      </c>
      <c r="D56" s="56" t="n">
        <f aca="false">Item27!D3</f>
        <v>3000</v>
      </c>
      <c r="E56" s="58" t="n">
        <f aca="false">Item27!F3</f>
        <v>0.27</v>
      </c>
      <c r="F56" s="58" t="n">
        <f aca="false">(ROUND(E56,2)*D56)</f>
        <v>810</v>
      </c>
    </row>
    <row r="57" customFormat="false" ht="17.25" hidden="false" customHeight="false" outlineLevel="0" collapsed="false">
      <c r="A57" s="67" t="s">
        <v>226</v>
      </c>
      <c r="B57" s="68" t="str">
        <f aca="false">Item28!G20</f>
        <v>PANTOGRAF GRAFICA E EDITORA LTDA</v>
      </c>
      <c r="C57" s="68"/>
      <c r="D57" s="68"/>
      <c r="E57" s="68"/>
      <c r="F57" s="68"/>
    </row>
    <row r="58" customFormat="false" ht="20.85" hidden="false" customHeight="false" outlineLevel="0" collapsed="false">
      <c r="A58" s="56" t="n">
        <v>28</v>
      </c>
      <c r="B58" s="57" t="str">
        <f aca="false">Item28!B3</f>
        <v>ENVELOPE
• dimensões: 168 mm X 225 mm; • lâminas em 1 X 0 cores, branco, com brasão em alto relevo 290 g.</v>
      </c>
      <c r="C58" s="56" t="str">
        <f aca="false">Item28!C3</f>
        <v>exemplar</v>
      </c>
      <c r="D58" s="56" t="n">
        <f aca="false">Item28!D3</f>
        <v>3000</v>
      </c>
      <c r="E58" s="58" t="n">
        <f aca="false">Item28!F3</f>
        <v>1.9</v>
      </c>
      <c r="F58" s="58" t="n">
        <f aca="false">(ROUND(E58,2)*D58)</f>
        <v>5700</v>
      </c>
    </row>
    <row r="59" customFormat="false" ht="17.25" hidden="false" customHeight="false" outlineLevel="0" collapsed="false">
      <c r="A59" s="67" t="s">
        <v>226</v>
      </c>
      <c r="B59" s="68" t="str">
        <f aca="false">Item29!G20</f>
        <v>EMPRESA GRÁFICA DA BAHIA – EGBA</v>
      </c>
      <c r="C59" s="68"/>
      <c r="D59" s="68"/>
      <c r="E59" s="68"/>
      <c r="F59" s="68"/>
    </row>
    <row r="60" customFormat="false" ht="20.85" hidden="false" customHeight="false" outlineLevel="0" collapsed="false">
      <c r="A60" s="56" t="n">
        <v>29</v>
      </c>
      <c r="B60" s="57" t="str">
        <f aca="false">Item29!B3</f>
        <v>ENVELOPE
• dimensões: 105 mm X 158 mm; • lâminas em 1 X 0 cores, branco, 290 g.</v>
      </c>
      <c r="C60" s="56" t="str">
        <f aca="false">Item29!C3</f>
        <v>exemplar</v>
      </c>
      <c r="D60" s="56" t="n">
        <f aca="false">Item29!D3</f>
        <v>1500</v>
      </c>
      <c r="E60" s="58" t="n">
        <f aca="false">Item29!F3</f>
        <v>0.46</v>
      </c>
      <c r="F60" s="58" t="n">
        <f aca="false">(ROUND(E60,2)*D60)</f>
        <v>690</v>
      </c>
    </row>
    <row r="61" customFormat="false" ht="17.25" hidden="false" customHeight="false" outlineLevel="0" collapsed="false">
      <c r="A61" s="67" t="s">
        <v>226</v>
      </c>
      <c r="B61" s="68" t="str">
        <f aca="false">Item30!G20</f>
        <v>TOP COLOR EIRELI</v>
      </c>
      <c r="C61" s="68"/>
      <c r="D61" s="68"/>
      <c r="E61" s="68"/>
      <c r="F61" s="68"/>
    </row>
    <row r="62" customFormat="false" ht="20.85" hidden="false" customHeight="false" outlineLevel="0" collapsed="false">
      <c r="A62" s="56" t="n">
        <v>30</v>
      </c>
      <c r="B62" s="57" t="str">
        <f aca="false">Item30!B3</f>
        <v>FOLDER
• dimensões: 297 mm X 210 mm; • 2 dobras; • lâminas em 4 X 4 cores em offset 240 g.</v>
      </c>
      <c r="C62" s="56" t="str">
        <f aca="false">Item30!C3</f>
        <v>exemplar</v>
      </c>
      <c r="D62" s="56" t="n">
        <f aca="false">Item30!D3</f>
        <v>700</v>
      </c>
      <c r="E62" s="58" t="n">
        <f aca="false">Item30!F3</f>
        <v>0.48</v>
      </c>
      <c r="F62" s="58" t="n">
        <f aca="false">(ROUND(E62,2)*D62)</f>
        <v>336</v>
      </c>
    </row>
    <row r="63" customFormat="false" ht="17.25" hidden="false" customHeight="false" outlineLevel="0" collapsed="false">
      <c r="A63" s="67" t="s">
        <v>226</v>
      </c>
      <c r="B63" s="68" t="str">
        <f aca="false">Item31!G20</f>
        <v>EMPRESA GRÁFICA DA BAHIA – EGBA</v>
      </c>
      <c r="C63" s="68"/>
      <c r="D63" s="68"/>
      <c r="E63" s="68"/>
      <c r="F63" s="68"/>
    </row>
    <row r="64" customFormat="false" ht="20.85" hidden="false" customHeight="false" outlineLevel="0" collapsed="false">
      <c r="A64" s="56" t="n">
        <v>31</v>
      </c>
      <c r="B64" s="57" t="str">
        <f aca="false">Item31!B3</f>
        <v>FOLDER
• dimensões: 297 mm X 210 mm; • 2 dobras; • lâminas em 4 X 4 cores em couche 180 g.</v>
      </c>
      <c r="C64" s="56" t="str">
        <f aca="false">Item31!C3</f>
        <v>exemplar</v>
      </c>
      <c r="D64" s="56" t="n">
        <f aca="false">Item31!D3</f>
        <v>3000</v>
      </c>
      <c r="E64" s="58" t="n">
        <f aca="false">Item31!F3</f>
        <v>0.38</v>
      </c>
      <c r="F64" s="58" t="n">
        <f aca="false">(ROUND(E64,2)*D64)</f>
        <v>1140</v>
      </c>
    </row>
    <row r="65" customFormat="false" ht="17.25" hidden="false" customHeight="false" outlineLevel="0" collapsed="false">
      <c r="A65" s="67" t="s">
        <v>226</v>
      </c>
      <c r="B65" s="68" t="str">
        <f aca="false">Item32!G20</f>
        <v>INDUSTRIA GRAFICA POTIGUAR E SERVICOS LTDA</v>
      </c>
      <c r="C65" s="68"/>
      <c r="D65" s="68"/>
      <c r="E65" s="68"/>
      <c r="F65" s="68"/>
    </row>
    <row r="66" customFormat="false" ht="20.85" hidden="false" customHeight="false" outlineLevel="0" collapsed="false">
      <c r="A66" s="56" t="n">
        <v>32</v>
      </c>
      <c r="B66" s="57" t="str">
        <f aca="false">Item32!B3</f>
        <v>FOLDER
• dimensões: 297 mm X 210 mm; • 2 dobras; • lâminas em 4 X 4 cores em reciclato 150 g.</v>
      </c>
      <c r="C66" s="56" t="str">
        <f aca="false">Item32!C3</f>
        <v>exemplar</v>
      </c>
      <c r="D66" s="56" t="n">
        <f aca="false">Item32!D3</f>
        <v>800</v>
      </c>
      <c r="E66" s="58" t="n">
        <f aca="false">Item32!F3</f>
        <v>0.29</v>
      </c>
      <c r="F66" s="58" t="n">
        <f aca="false">(ROUND(E66,2)*D66)</f>
        <v>232</v>
      </c>
    </row>
    <row r="67" customFormat="false" ht="17.25" hidden="false" customHeight="false" outlineLevel="0" collapsed="false">
      <c r="A67" s="67" t="s">
        <v>226</v>
      </c>
      <c r="B67" s="68" t="str">
        <f aca="false">Item33!G20</f>
        <v>MARIA L CAMINHA DA SILVA</v>
      </c>
      <c r="C67" s="68"/>
      <c r="D67" s="68"/>
      <c r="E67" s="68"/>
      <c r="F67" s="68"/>
    </row>
    <row r="68" customFormat="false" ht="20.85" hidden="false" customHeight="false" outlineLevel="0" collapsed="false">
      <c r="A68" s="56" t="n">
        <v>33</v>
      </c>
      <c r="B68" s="57" t="str">
        <f aca="false">Item33!B3</f>
        <v>DIVERSOS
Marcador de Livro • dimensões: 50 mm X 190 mm; • lâminas em 4 X 4 cores em offset 240 g.complastificação.</v>
      </c>
      <c r="C68" s="56" t="str">
        <f aca="false">Item33!C3</f>
        <v>exemplar</v>
      </c>
      <c r="D68" s="56" t="n">
        <f aca="false">Item33!D3</f>
        <v>3000</v>
      </c>
      <c r="E68" s="58" t="n">
        <f aca="false">Item33!F3</f>
        <v>0.25</v>
      </c>
      <c r="F68" s="58" t="n">
        <f aca="false">(ROUND(E68,2)*D68)</f>
        <v>750</v>
      </c>
    </row>
    <row r="69" customFormat="false" ht="17.25" hidden="false" customHeight="false" outlineLevel="0" collapsed="false">
      <c r="A69" s="67" t="s">
        <v>226</v>
      </c>
      <c r="B69" s="68" t="str">
        <f aca="false">Item34!G20</f>
        <v>GRAFICA E EDITORA SANTA CRUZ LTDA</v>
      </c>
      <c r="C69" s="68"/>
      <c r="D69" s="68"/>
      <c r="E69" s="68"/>
      <c r="F69" s="68"/>
    </row>
    <row r="70" customFormat="false" ht="20.85" hidden="false" customHeight="false" outlineLevel="0" collapsed="false">
      <c r="A70" s="56" t="n">
        <v>34</v>
      </c>
      <c r="B70" s="57" t="str">
        <f aca="false">Item34!B3</f>
        <v>DIVERSOS
Diploma • dimensões: 350 mm X 245 mm; • lâminas em 4 X 0 cores em Opaline 180 g</v>
      </c>
      <c r="C70" s="56" t="str">
        <f aca="false">Item34!C3</f>
        <v>exemplar</v>
      </c>
      <c r="D70" s="56" t="n">
        <f aca="false">Item34!D3</f>
        <v>10000</v>
      </c>
      <c r="E70" s="58" t="n">
        <f aca="false">Item34!F3</f>
        <v>0.65</v>
      </c>
      <c r="F70" s="58" t="n">
        <f aca="false">(ROUND(E70,2)*D70)</f>
        <v>6500</v>
      </c>
    </row>
    <row r="71" customFormat="false" ht="17.25" hidden="false" customHeight="false" outlineLevel="0" collapsed="false">
      <c r="A71" s="67" t="s">
        <v>226</v>
      </c>
      <c r="B71" s="68" t="str">
        <f aca="false">Item35!G20</f>
        <v>G.M DE BARROS EIRELI</v>
      </c>
      <c r="C71" s="68"/>
      <c r="D71" s="68"/>
      <c r="E71" s="68"/>
      <c r="F71" s="68"/>
    </row>
    <row r="72" customFormat="false" ht="30.55" hidden="false" customHeight="false" outlineLevel="0" collapsed="false">
      <c r="A72" s="56" t="n">
        <v>35</v>
      </c>
      <c r="B72" s="57" t="str">
        <f aca="false">Item35!B3</f>
        <v>DIVERSOS
Bloco Miolo: • dimensões: 220 mm X 280 mm; • aproximadamente 50 páginas (25 folhas); • páginas em 1 X 0 cores em offset 75. Capa: • dimensões: 220 mm X 280 mm (fechado); • 4 X 0 cores; • cartão supremo 250 g.</v>
      </c>
      <c r="C72" s="56" t="str">
        <f aca="false">Item35!C3</f>
        <v>exemplar</v>
      </c>
      <c r="D72" s="56" t="n">
        <f aca="false">Item35!D3</f>
        <v>2000</v>
      </c>
      <c r="E72" s="58" t="n">
        <f aca="false">Item35!F3</f>
        <v>1.57</v>
      </c>
      <c r="F72" s="58" t="n">
        <f aca="false">(ROUND(E72,2)*D72)</f>
        <v>3140</v>
      </c>
    </row>
    <row r="73" customFormat="false" ht="17.25" hidden="false" customHeight="false" outlineLevel="0" collapsed="false">
      <c r="A73" s="67" t="s">
        <v>226</v>
      </c>
      <c r="B73" s="68" t="str">
        <f aca="false">Item36!G20</f>
        <v>J.F. GRAFICA E EDICOES EIRELI</v>
      </c>
      <c r="C73" s="68"/>
      <c r="D73" s="68"/>
      <c r="E73" s="68"/>
      <c r="F73" s="68"/>
    </row>
    <row r="74" customFormat="false" ht="30.55" hidden="false" customHeight="false" outlineLevel="0" collapsed="false">
      <c r="A74" s="56" t="n">
        <v>36</v>
      </c>
      <c r="B74" s="57" t="str">
        <f aca="false">Item36!B3</f>
        <v>DIVERSOS
Bloco Miolo: • dimensões: 160 mm X 220 mm; • aproximadamente 50 páginas (25 folhas); • páginas em 1 X 0 cores em papel reciclato 90. Capa: • dimensões: 160 mm X 220 mm (fechado); • 4 X 0 cores; • papel reciclato 150g.</v>
      </c>
      <c r="C74" s="56" t="str">
        <f aca="false">Item36!C3</f>
        <v>exemplar</v>
      </c>
      <c r="D74" s="56" t="n">
        <f aca="false">Item36!D3</f>
        <v>1500</v>
      </c>
      <c r="E74" s="58" t="n">
        <f aca="false">Item36!F3</f>
        <v>0.68</v>
      </c>
      <c r="F74" s="58" t="n">
        <f aca="false">(ROUND(E74,2)*D74)</f>
        <v>1020</v>
      </c>
    </row>
    <row r="75" customFormat="false" ht="17.25" hidden="false" customHeight="false" outlineLevel="0" collapsed="false">
      <c r="A75" s="67" t="s">
        <v>226</v>
      </c>
      <c r="B75" s="68" t="str">
        <f aca="false">Item37!G20</f>
        <v>PANTOGRAF GRAFICA E EDITORA LTDA</v>
      </c>
      <c r="C75" s="68"/>
      <c r="D75" s="68"/>
      <c r="E75" s="68"/>
      <c r="F75" s="68"/>
    </row>
    <row r="76" customFormat="false" ht="88.8" hidden="false" customHeight="false" outlineLevel="0" collapsed="false">
      <c r="A76" s="56" t="n">
        <v>37</v>
      </c>
      <c r="B76" s="57" t="str">
        <f aca="false">Item37!B3</f>
        <v>DIVERSOS
Coletânea de votos e pareceres Miolo: • dimensões: 297 mm X 210 mm; • aproximadamente 250 páginas (250 folhas); • páginas em 1 X 0 cores em papel offset 90g. Capa: • dimensões: 300 mm X 215 mm; • capa dura, cor preta e letras douradas, com Brasão da República; • papel: vulcapel. Confecção a partir de clichês (medindo em média 15 cm) com letras em dourado em baixo relevo contendo o Brasão da República e a assinatura do magistrado, conforme modelos em anexo (NÃO SERÁ ACEITA INSCRIÇÃO EM SILK SCREEN). OBS: 1: serão confeccionados 06 clichês com as assinaturas dos magistrados. OBS.: 2: o clichê referente ao Brasão da República será fornecido pelo TRE-BA. OBS. 3: O TRE-BA não se obriga a executar todo o quantitativo de coletâneas/exemplares indicados, sendo este uma estimativa da necessidade do Órgão para o exercício.</v>
      </c>
      <c r="C76" s="56" t="str">
        <f aca="false">Item37!C3</f>
        <v>exemplar</v>
      </c>
      <c r="D76" s="56" t="n">
        <f aca="false">Item37!D3</f>
        <v>10</v>
      </c>
      <c r="E76" s="58" t="n">
        <f aca="false">Item37!F3</f>
        <v>599</v>
      </c>
      <c r="F76" s="58" t="n">
        <f aca="false">(ROUND(E76,2)*D76)</f>
        <v>5990</v>
      </c>
    </row>
    <row r="77" customFormat="false" ht="17.25" hidden="false" customHeight="false" outlineLevel="0" collapsed="false">
      <c r="A77" s="67" t="s">
        <v>226</v>
      </c>
      <c r="B77" s="68" t="str">
        <f aca="false">Item38!G20</f>
        <v>PANTOGRAF GRAFICA E EDITORA LTDA</v>
      </c>
      <c r="C77" s="68"/>
      <c r="D77" s="68"/>
      <c r="E77" s="68"/>
      <c r="F77" s="68"/>
    </row>
    <row r="78" customFormat="false" ht="59.7" hidden="false" customHeight="false" outlineLevel="0" collapsed="false">
      <c r="A78" s="56" t="n">
        <v>38</v>
      </c>
      <c r="B78" s="57" t="str">
        <f aca="false">Item38!B3</f>
        <v>DIVERSOS
Agenda Miolo: • papel reciclado, 75g; • dimensões: 120 mm x 160 mm (BxH); • aproximadamente 350 páginas (175 folhas), sendo 12 folhas (24 páginas) 4 x 0 cores e 163 folhas (326 páginas) 1 x 1; • Impressão em Offset. Capa: • papelão espessura 1.1/nº 30 revestido externamente com papel reciclado 120 g; • impressão 4 x 0 cores, e internamente com papel reciclado 90 g, 0 x 0 cores; • dimensões: 125 mm x 165 mm (BxH); • impressão em Offset; • encadernação em espiral verde escuro.</v>
      </c>
      <c r="C78" s="56" t="str">
        <f aca="false">Item38!C3</f>
        <v>exemplar</v>
      </c>
      <c r="D78" s="56" t="n">
        <f aca="false">Item38!D3</f>
        <v>3000</v>
      </c>
      <c r="E78" s="58" t="n">
        <f aca="false">Item38!F3</f>
        <v>22.1</v>
      </c>
      <c r="F78" s="58" t="n">
        <f aca="false">(ROUND(E78,2)*D78)</f>
        <v>66300</v>
      </c>
    </row>
    <row r="79" customFormat="false" ht="17.25" hidden="false" customHeight="false" outlineLevel="0" collapsed="false">
      <c r="A79" s="67" t="s">
        <v>226</v>
      </c>
      <c r="B79" s="68" t="str">
        <f aca="false">Item39!G20</f>
        <v>EMPRESA GRÁFICA DA BAHIA – EGBA</v>
      </c>
      <c r="C79" s="68"/>
      <c r="D79" s="68"/>
      <c r="E79" s="68"/>
      <c r="F79" s="68"/>
    </row>
    <row r="80" customFormat="false" ht="40.25" hidden="false" customHeight="false" outlineLevel="0" collapsed="false">
      <c r="A80" s="56" t="n">
        <v>39</v>
      </c>
      <c r="B80" s="57" t="str">
        <f aca="false">Item39!B3</f>
        <v>DIVERSOS
Calendário Base: • dimensões: 350 mm X 210 mm; • corte/vinco, duas dobras; • Impressão 4X0 em cartão supremo de 350 g. Páginas • aproximadamente 7 folhas (14 páginas): • dimensões: 130mm X 210 mm; • lâminas em 4 X 4 cores em papel couche de 115 g; • acabamento em wire-o branca.</v>
      </c>
      <c r="C80" s="56" t="str">
        <f aca="false">Item39!C3</f>
        <v>unidade</v>
      </c>
      <c r="D80" s="56" t="n">
        <f aca="false">Item39!D3</f>
        <v>2400</v>
      </c>
      <c r="E80" s="58" t="n">
        <f aca="false">Item39!F3</f>
        <v>5.99</v>
      </c>
      <c r="F80" s="58" t="n">
        <f aca="false">(ROUND(E80,2)*D80)</f>
        <v>14376</v>
      </c>
    </row>
    <row r="81" customFormat="false" ht="17.25" hidden="false" customHeight="false" outlineLevel="0" collapsed="false">
      <c r="A81" s="67" t="s">
        <v>226</v>
      </c>
      <c r="B81" s="68" t="str">
        <f aca="false">Item40!G20</f>
        <v>EMPRESA GRÁFICA DA BAHIA – EGBA</v>
      </c>
      <c r="C81" s="68"/>
      <c r="D81" s="68"/>
      <c r="E81" s="68"/>
      <c r="F81" s="68"/>
    </row>
    <row r="82" customFormat="false" ht="30.55" hidden="false" customHeight="false" outlineLevel="0" collapsed="false">
      <c r="A82" s="56" t="n">
        <v>40</v>
      </c>
      <c r="B82" s="57" t="str">
        <f aca="false">Item40!B3</f>
        <v>DIVERSOS
Crachá • dimensões 110 mm X 150 mm; • lâminas em 4 X 0 cores em Couche fosco 300g. • plastificado; • cordão branco.</v>
      </c>
      <c r="C82" s="56" t="str">
        <f aca="false">Item40!C3</f>
        <v>unidade</v>
      </c>
      <c r="D82" s="56" t="n">
        <f aca="false">Item40!D3</f>
        <v>1200</v>
      </c>
      <c r="E82" s="58" t="n">
        <f aca="false">Item40!F3</f>
        <v>0.4</v>
      </c>
      <c r="F82" s="58" t="n">
        <f aca="false">(ROUND(E82,2)*D82)</f>
        <v>480</v>
      </c>
    </row>
    <row r="83" customFormat="false" ht="25.35" hidden="false" customHeight="true" outlineLevel="0" collapsed="false">
      <c r="A83" s="63"/>
      <c r="B83" s="63"/>
      <c r="C83" s="64" t="s">
        <v>227</v>
      </c>
      <c r="D83" s="64"/>
      <c r="E83" s="64"/>
      <c r="F83" s="65" t="n">
        <f aca="false">SUM(F4:F82)</f>
        <v>214426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2">
    <mergeCell ref="A1:F1"/>
    <mergeCell ref="B3:F3"/>
    <mergeCell ref="B5:F5"/>
    <mergeCell ref="B7:F7"/>
    <mergeCell ref="B9:F9"/>
    <mergeCell ref="B11:F11"/>
    <mergeCell ref="B13:F13"/>
    <mergeCell ref="B15:F15"/>
    <mergeCell ref="B17:F17"/>
    <mergeCell ref="B19:F19"/>
    <mergeCell ref="B21:F21"/>
    <mergeCell ref="B23:F23"/>
    <mergeCell ref="B25:F25"/>
    <mergeCell ref="B27:F27"/>
    <mergeCell ref="B29:F29"/>
    <mergeCell ref="B31:F31"/>
    <mergeCell ref="B33:F33"/>
    <mergeCell ref="B35:F35"/>
    <mergeCell ref="B37:F37"/>
    <mergeCell ref="B39:F39"/>
    <mergeCell ref="B41:F41"/>
    <mergeCell ref="B43:F43"/>
    <mergeCell ref="B45:F45"/>
    <mergeCell ref="B47:F47"/>
    <mergeCell ref="B49:F49"/>
    <mergeCell ref="B51:F51"/>
    <mergeCell ref="B53:F53"/>
    <mergeCell ref="B55:F55"/>
    <mergeCell ref="B57:F57"/>
    <mergeCell ref="B59:F59"/>
    <mergeCell ref="B61:F61"/>
    <mergeCell ref="B63:F63"/>
    <mergeCell ref="B65:F65"/>
    <mergeCell ref="B67:F67"/>
    <mergeCell ref="B69:F69"/>
    <mergeCell ref="B71:F71"/>
    <mergeCell ref="B73:F73"/>
    <mergeCell ref="B75:F75"/>
    <mergeCell ref="B77:F77"/>
    <mergeCell ref="B79:F79"/>
    <mergeCell ref="B81:F81"/>
    <mergeCell ref="C83:E8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E1" colorId="64" zoomScale="100" zoomScaleNormal="100" zoomScalePageLayoutView="100" workbookViewId="0">
      <selection pane="topLeft" activeCell="G15" activeCellId="0" sqref="G15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70</v>
      </c>
      <c r="C3" s="9" t="s">
        <v>11</v>
      </c>
      <c r="D3" s="10" t="n">
        <v>500</v>
      </c>
      <c r="E3" s="11" t="n">
        <f aca="false">IF(C20&lt;=25%,D20,MIN(E20:F20))</f>
        <v>12.14</v>
      </c>
      <c r="F3" s="11" t="n">
        <f aca="false">MIN(H3:H17)</f>
        <v>6.31</v>
      </c>
      <c r="G3" s="12" t="s">
        <v>12</v>
      </c>
      <c r="H3" s="13" t="n">
        <v>19.7</v>
      </c>
      <c r="I3" s="14" t="str">
        <f aca="false">IF(H3="","",(IF($C$20&lt;25%,"N/A",IF(H3&lt;=($D$20+$A$20),H3,"Descartado"))))</f>
        <v>Descartado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f aca="false">0.068*150</f>
        <v>10.2</v>
      </c>
      <c r="I4" s="14" t="n">
        <f aca="false">IF(H4="","",(IF($C$20&lt;25%,"N/A",IF(H4&lt;=($D$20+$A$20),H4,"Descartado"))))</f>
        <v>10.2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f aca="false">0.07*150</f>
        <v>10.5</v>
      </c>
      <c r="I5" s="14" t="n">
        <f aca="false">IF(H5="","",(IF($C$20&lt;25%,"N/A",IF(H5&lt;=($D$20+$A$20),H5,"Descartado"))))</f>
        <v>10.5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f aca="false">0.1*150</f>
        <v>15</v>
      </c>
      <c r="I6" s="14" t="n">
        <f aca="false">IF(H6="","",(IF($C$20&lt;25%,"N/A",IF(H6&lt;=($D$20+$A$20),H6,"Descartado"))))</f>
        <v>15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f aca="false">0.1*150</f>
        <v>15</v>
      </c>
      <c r="I7" s="14" t="n">
        <f aca="false">IF(H7="","",(IF($C$20&lt;25%,"N/A",IF(H7&lt;=($D$20+$A$20),H7,"Descartado"))))</f>
        <v>15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f aca="false">0.1*150</f>
        <v>15</v>
      </c>
      <c r="I8" s="14" t="n">
        <f aca="false">IF(H8="","",(IF($C$20&lt;25%,"N/A",IF(H8&lt;=($D$20+$A$20),H8,"Descartado"))))</f>
        <v>15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f aca="false">0.0799*150</f>
        <v>11.985</v>
      </c>
      <c r="I9" s="14" t="n">
        <f aca="false">IF(H9="","",(IF($C$20&lt;25%,"N/A",IF(H9&lt;=($D$20+$A$20),H9,"Descartado"))))</f>
        <v>11.985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f aca="false">0.06*150</f>
        <v>9</v>
      </c>
      <c r="I10" s="14" t="n">
        <f aca="false">IF(H10="","",(IF($C$20&lt;25%,"N/A",IF(H10&lt;=($D$20+$A$20),H10,"Descartado"))))</f>
        <v>9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f aca="false">0.1*150</f>
        <v>15</v>
      </c>
      <c r="I11" s="14" t="n">
        <f aca="false">IF(H11="","",(IF($C$20&lt;25%,"N/A",IF(H11&lt;=($D$20+$A$20),H11,"Descartado"))))</f>
        <v>15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f aca="false">0.07*150</f>
        <v>10.5</v>
      </c>
      <c r="I12" s="14" t="n">
        <f aca="false">IF(H12="","",(IF($C$20&lt;25%,"N/A",IF(H12&lt;=($D$20+$A$20),H12,"Descartado"))))</f>
        <v>10.5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22</v>
      </c>
      <c r="H13" s="13" t="n">
        <f aca="false">0.1*150</f>
        <v>15</v>
      </c>
      <c r="I13" s="14" t="n">
        <f aca="false">IF(H13="","",(IF($C$20&lt;25%,"N/A",IF(H13&lt;=($D$20+$A$20),H13,"Descartado"))))</f>
        <v>15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42" t="s">
        <v>23</v>
      </c>
      <c r="H14" s="13" t="n">
        <v>6.31</v>
      </c>
      <c r="I14" s="14" t="n">
        <f aca="false">IF(H14="","",(IF($C$20&lt;25%,"N/A",IF(H14&lt;=($D$20+$A$20),H14,"Descartado"))))</f>
        <v>6.31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3.64767243657451</v>
      </c>
      <c r="B20" s="25" t="n">
        <f aca="false">COUNT(H3:H17)</f>
        <v>12</v>
      </c>
      <c r="C20" s="26" t="n">
        <f aca="false">IF(B20&lt;2,"N/A",(A20/D20))</f>
        <v>0.285643886967464</v>
      </c>
      <c r="D20" s="27" t="n">
        <f aca="false">ROUND(AVERAGE(H3:H17),2)</f>
        <v>12.77</v>
      </c>
      <c r="E20" s="28" t="n">
        <f aca="false">IFERROR(ROUND(IF(B20&lt;2,"N/A",(IF(C20&lt;=25%,"N/A",AVERAGE(I3:I17)))),2),"N/A")</f>
        <v>12.14</v>
      </c>
      <c r="F20" s="28" t="n">
        <f aca="false">ROUND(MEDIAN(H3:H17),2)</f>
        <v>13.49</v>
      </c>
      <c r="G20" s="29" t="str">
        <f aca="false">INDEX(G3:G17,MATCH(H20,H3:H17,0))</f>
        <v>EMPRESA GRÁFICA DA BAHIA – EGBA</v>
      </c>
      <c r="H20" s="30" t="n">
        <f aca="false">MIN(H3:H17)</f>
        <v>6.31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12.14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6070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G15" activeCellId="0" sqref="G15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72</v>
      </c>
      <c r="C3" s="9" t="s">
        <v>11</v>
      </c>
      <c r="D3" s="10" t="n">
        <v>500</v>
      </c>
      <c r="E3" s="11" t="n">
        <f aca="false">IF(C20&lt;=25%,D20,MIN(E20:F20))</f>
        <v>12.14</v>
      </c>
      <c r="F3" s="11" t="n">
        <f aca="false">MIN(H3:H17)</f>
        <v>6.31</v>
      </c>
      <c r="G3" s="12" t="s">
        <v>12</v>
      </c>
      <c r="H3" s="13" t="n">
        <v>19.7</v>
      </c>
      <c r="I3" s="14" t="str">
        <f aca="false">IF(H3="","",(IF($C$20&lt;25%,"N/A",IF(H3&lt;=($D$20+$A$20),H3,"Descartado"))))</f>
        <v>Descartado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f aca="false">0.068*150</f>
        <v>10.2</v>
      </c>
      <c r="I4" s="14" t="n">
        <f aca="false">IF(H4="","",(IF($C$20&lt;25%,"N/A",IF(H4&lt;=($D$20+$A$20),H4,"Descartado"))))</f>
        <v>10.2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f aca="false">0.07*150</f>
        <v>10.5</v>
      </c>
      <c r="I5" s="14" t="n">
        <f aca="false">IF(H5="","",(IF($C$20&lt;25%,"N/A",IF(H5&lt;=($D$20+$A$20),H5,"Descartado"))))</f>
        <v>10.5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f aca="false">0.1*150</f>
        <v>15</v>
      </c>
      <c r="I6" s="14" t="n">
        <f aca="false">IF(H6="","",(IF($C$20&lt;25%,"N/A",IF(H6&lt;=($D$20+$A$20),H6,"Descartado"))))</f>
        <v>15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f aca="false">0.1*150</f>
        <v>15</v>
      </c>
      <c r="I7" s="14" t="n">
        <f aca="false">IF(H7="","",(IF($C$20&lt;25%,"N/A",IF(H7&lt;=($D$20+$A$20),H7,"Descartado"))))</f>
        <v>15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f aca="false">0.1*150</f>
        <v>15</v>
      </c>
      <c r="I8" s="14" t="n">
        <f aca="false">IF(H8="","",(IF($C$20&lt;25%,"N/A",IF(H8&lt;=($D$20+$A$20),H8,"Descartado"))))</f>
        <v>15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f aca="false">0.0799*150</f>
        <v>11.985</v>
      </c>
      <c r="I9" s="14" t="n">
        <f aca="false">IF(H9="","",(IF($C$20&lt;25%,"N/A",IF(H9&lt;=($D$20+$A$20),H9,"Descartado"))))</f>
        <v>11.985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f aca="false">0.06*150</f>
        <v>9</v>
      </c>
      <c r="I10" s="14" t="n">
        <f aca="false">IF(H10="","",(IF($C$20&lt;25%,"N/A",IF(H10&lt;=($D$20+$A$20),H10,"Descartado"))))</f>
        <v>9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f aca="false">0.1*150</f>
        <v>15</v>
      </c>
      <c r="I11" s="14" t="n">
        <f aca="false">IF(H11="","",(IF($C$20&lt;25%,"N/A",IF(H11&lt;=($D$20+$A$20),H11,"Descartado"))))</f>
        <v>15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f aca="false">0.07*150</f>
        <v>10.5</v>
      </c>
      <c r="I12" s="14" t="n">
        <f aca="false">IF(H12="","",(IF($C$20&lt;25%,"N/A",IF(H12&lt;=($D$20+$A$20),H12,"Descartado"))))</f>
        <v>10.5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22</v>
      </c>
      <c r="H13" s="13" t="n">
        <f aca="false">0.1*150</f>
        <v>15</v>
      </c>
      <c r="I13" s="14" t="n">
        <f aca="false">IF(H13="","",(IF($C$20&lt;25%,"N/A",IF(H13&lt;=($D$20+$A$20),H13,"Descartado"))))</f>
        <v>15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42" t="s">
        <v>23</v>
      </c>
      <c r="H14" s="13" t="n">
        <v>6.31</v>
      </c>
      <c r="I14" s="14" t="n">
        <f aca="false">IF(H14="","",(IF($C$20&lt;25%,"N/A",IF(H14&lt;=($D$20+$A$20),H14,"Descartado"))))</f>
        <v>6.31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3.64767243657451</v>
      </c>
      <c r="B20" s="25" t="n">
        <f aca="false">COUNT(H3:H17)</f>
        <v>12</v>
      </c>
      <c r="C20" s="26" t="n">
        <f aca="false">IF(B20&lt;2,"N/A",(A20/D20))</f>
        <v>0.285643886967464</v>
      </c>
      <c r="D20" s="27" t="n">
        <f aca="false">ROUND(AVERAGE(H3:H17),2)</f>
        <v>12.77</v>
      </c>
      <c r="E20" s="28" t="n">
        <f aca="false">IFERROR(ROUND(IF(B20&lt;2,"N/A",(IF(C20&lt;=25%,"N/A",AVERAGE(I3:I17)))),2),"N/A")</f>
        <v>12.14</v>
      </c>
      <c r="F20" s="28" t="n">
        <f aca="false">ROUND(MEDIAN(H3:H17),2)</f>
        <v>13.49</v>
      </c>
      <c r="G20" s="29" t="str">
        <f aca="false">INDEX(G3:G17,MATCH(H20,H3:H17,0))</f>
        <v>EMPRESA GRÁFICA DA BAHIA – EGBA</v>
      </c>
      <c r="H20" s="30" t="n">
        <f aca="false">MIN(H3:H17)</f>
        <v>6.31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12.14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6070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D1" colorId="64" zoomScale="100" zoomScaleNormal="100" zoomScalePageLayoutView="100" workbookViewId="0">
      <selection pane="topLeft" activeCell="G14" activeCellId="0" sqref="G14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74</v>
      </c>
      <c r="C3" s="9" t="s">
        <v>11</v>
      </c>
      <c r="D3" s="10" t="n">
        <v>250</v>
      </c>
      <c r="E3" s="11" t="n">
        <f aca="false">IF(C20&lt;=25%,D20,MIN(E20:F20))</f>
        <v>36.35</v>
      </c>
      <c r="F3" s="11" t="n">
        <f aca="false">MIN(H3:H17)</f>
        <v>22</v>
      </c>
      <c r="G3" s="12" t="s">
        <v>12</v>
      </c>
      <c r="H3" s="13" t="n">
        <v>98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75</v>
      </c>
      <c r="H4" s="13" t="n">
        <v>38</v>
      </c>
      <c r="I4" s="14" t="n">
        <f aca="false">IF(H4="","",(IF($C$20&lt;25%,"N/A",IF(H4&lt;=($D$20+$A$20),H4,"Descartado"))))</f>
        <v>38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76</v>
      </c>
      <c r="H5" s="13" t="n">
        <v>36.5</v>
      </c>
      <c r="I5" s="14" t="n">
        <f aca="false">IF(H5="","",(IF($C$20&lt;25%,"N/A",IF(H5&lt;=($D$20+$A$20),H5,"Descartado"))))</f>
        <v>36.5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77</v>
      </c>
      <c r="H6" s="13" t="n">
        <v>23</v>
      </c>
      <c r="I6" s="14" t="n">
        <f aca="false">IF(H6="","",(IF($C$20&lt;25%,"N/A",IF(H6&lt;=($D$20+$A$20),H6,"Descartado"))))</f>
        <v>23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46</v>
      </c>
      <c r="H7" s="13" t="n">
        <v>22</v>
      </c>
      <c r="I7" s="14" t="n">
        <f aca="false">IF(H7="","",(IF($C$20&lt;25%,"N/A",IF(H7&lt;=($D$20+$A$20),H7,"Descartado"))))</f>
        <v>22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78</v>
      </c>
      <c r="H8" s="13" t="n">
        <v>70</v>
      </c>
      <c r="I8" s="14" t="n">
        <f aca="false">IF(H8="","",(IF($C$20&lt;25%,"N/A",IF(H8&lt;=($D$20+$A$20),H8,"Descartado"))))</f>
        <v>70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79</v>
      </c>
      <c r="H9" s="13" t="n">
        <v>42.4</v>
      </c>
      <c r="I9" s="14" t="n">
        <f aca="false">IF(H9="","",(IF($C$20&lt;25%,"N/A",IF(H9&lt;=($D$20+$A$20),H9,"Descartado"))))</f>
        <v>42.4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80</v>
      </c>
      <c r="H10" s="13" t="n">
        <v>33.3</v>
      </c>
      <c r="I10" s="14" t="n">
        <f aca="false">IF(H10="","",(IF($C$20&lt;25%,"N/A",IF(H10&lt;=($D$20+$A$20),H10,"Descartado"))))</f>
        <v>33.3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17</v>
      </c>
      <c r="H11" s="13" t="n">
        <v>100</v>
      </c>
      <c r="I11" s="14" t="str">
        <f aca="false">IF(H11="","",(IF($C$20&lt;25%,"N/A",IF(H11&lt;=($D$20+$A$20),H11,"Descartado"))))</f>
        <v>Descartado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45</v>
      </c>
      <c r="H12" s="13" t="n">
        <v>38.95</v>
      </c>
      <c r="I12" s="14" t="n">
        <f aca="false">IF(H12="","",(IF($C$20&lt;25%,"N/A",IF(H12&lt;=($D$20+$A$20),H12,"Descartado"))))</f>
        <v>38.95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53</v>
      </c>
      <c r="H13" s="13" t="n">
        <v>22.99</v>
      </c>
      <c r="I13" s="14" t="n">
        <f aca="false">IF(H13="","",(IF($C$20&lt;25%,"N/A",IF(H13&lt;=($D$20+$A$20),H13,"Descartado"))))</f>
        <v>22.99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42" t="s">
        <v>23</v>
      </c>
      <c r="H14" s="13" t="n">
        <v>84.23</v>
      </c>
      <c r="I14" s="14" t="str">
        <f aca="false">IF(H14="","",(IF($C$20&lt;25%,"N/A",IF(H14&lt;=($D$20+$A$20),H14,"Descartado"))))</f>
        <v>Descartado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29.226263238375</v>
      </c>
      <c r="B20" s="25" t="n">
        <f aca="false">COUNT(H3:H17)</f>
        <v>12</v>
      </c>
      <c r="C20" s="26" t="n">
        <f aca="false">IF(B20&lt;2,"N/A",(A20/D20))</f>
        <v>0.575546735690724</v>
      </c>
      <c r="D20" s="27" t="n">
        <f aca="false">ROUND(AVERAGE(H3:H17),2)</f>
        <v>50.78</v>
      </c>
      <c r="E20" s="28" t="n">
        <f aca="false">IFERROR(ROUND(IF(B20&lt;2,"N/A",(IF(C20&lt;=25%,"N/A",AVERAGE(I3:I17)))),2),"N/A")</f>
        <v>36.35</v>
      </c>
      <c r="F20" s="28" t="n">
        <f aca="false">ROUND(MEDIAN(H3:H17),2)</f>
        <v>38.48</v>
      </c>
      <c r="G20" s="29" t="str">
        <f aca="false">INDEX(G3:G17,MATCH(H20,H3:H17,0))</f>
        <v>POLIMPRESSOS SERVICOS GRAFICOS LTDA</v>
      </c>
      <c r="H20" s="30" t="n">
        <f aca="false">MIN(H3:H17)</f>
        <v>22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36.35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9087.5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G18" activeCellId="0" sqref="G18"/>
    </sheetView>
  </sheetViews>
  <sheetFormatPr defaultColWidth="9.31640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81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82</v>
      </c>
      <c r="C3" s="9" t="s">
        <v>11</v>
      </c>
      <c r="D3" s="10" t="n">
        <v>3000</v>
      </c>
      <c r="E3" s="11" t="n">
        <f aca="false">IF(C20&lt;=25%,D20,MIN(E20:F20))</f>
        <v>2.77</v>
      </c>
      <c r="F3" s="11" t="n">
        <f aca="false">MIN(H3:H17)</f>
        <v>1.995</v>
      </c>
      <c r="G3" s="12" t="s">
        <v>12</v>
      </c>
      <c r="H3" s="13" t="n">
        <v>6.9</v>
      </c>
      <c r="I3" s="14" t="str">
        <f aca="false">IF(H3="","",(IF($C$20&lt;25%,"N/A",IF(H3&lt;=($D$20+$A$20),H3,"Descartado"))))</f>
        <v>Descartado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83</v>
      </c>
      <c r="H4" s="13" t="n">
        <f aca="false">4500/2000</f>
        <v>2.25</v>
      </c>
      <c r="I4" s="14" t="n">
        <f aca="false">IF(H4="","",(IF($C$20&lt;25%,"N/A",IF(H4&lt;=($D$20+$A$20),H4,"Descartado"))))</f>
        <v>2.25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84</v>
      </c>
      <c r="H5" s="13" t="n">
        <f aca="false">5600/2000</f>
        <v>2.8</v>
      </c>
      <c r="I5" s="14" t="n">
        <f aca="false">IF(H5="","",(IF($C$20&lt;25%,"N/A",IF(H5&lt;=($D$20+$A$20),H5,"Descartado"))))</f>
        <v>2.8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80</v>
      </c>
      <c r="H6" s="13" t="n">
        <f aca="false">7000/2000</f>
        <v>3.5</v>
      </c>
      <c r="I6" s="14" t="n">
        <f aca="false">IF(H6="","",(IF($C$20&lt;25%,"N/A",IF(H6&lt;=($D$20+$A$20),H6,"Descartado"))))</f>
        <v>3.5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57</v>
      </c>
      <c r="H7" s="13" t="n">
        <f aca="false">5780/2000</f>
        <v>2.89</v>
      </c>
      <c r="I7" s="14" t="n">
        <f aca="false">IF(H7="","",(IF($C$20&lt;25%,"N/A",IF(H7&lt;=($D$20+$A$20),H7,"Descartado"))))</f>
        <v>2.89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f aca="false">3990/2000</f>
        <v>1.995</v>
      </c>
      <c r="I8" s="14" t="n">
        <f aca="false">IF(H8="","",(IF($C$20&lt;25%,"N/A",IF(H8&lt;=($D$20+$A$20),H8,"Descartado"))))</f>
        <v>1.995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65</v>
      </c>
      <c r="H9" s="13" t="n">
        <f aca="false">6720/2000</f>
        <v>3.36</v>
      </c>
      <c r="I9" s="14" t="n">
        <f aca="false">IF(H9="","",(IF($C$20&lt;25%,"N/A",IF(H9&lt;=($D$20+$A$20),H9,"Descartado"))))</f>
        <v>3.36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15</v>
      </c>
      <c r="H10" s="13" t="n">
        <f aca="false">6000/2000</f>
        <v>3</v>
      </c>
      <c r="I10" s="14" t="n">
        <f aca="false">IF(H10="","",(IF($C$20&lt;25%,"N/A",IF(H10&lt;=($D$20+$A$20),H10,"Descartado"))))</f>
        <v>3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85</v>
      </c>
      <c r="H11" s="13" t="n">
        <f aca="false">4000/2000</f>
        <v>2</v>
      </c>
      <c r="I11" s="14" t="n">
        <f aca="false">IF(H11="","",(IF($C$20&lt;25%,"N/A",IF(H11&lt;=($D$20+$A$20),H11,"Descartado"))))</f>
        <v>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86</v>
      </c>
      <c r="H12" s="13" t="n">
        <f aca="false">7660/2000</f>
        <v>3.83</v>
      </c>
      <c r="I12" s="14" t="n">
        <f aca="false">IF(H12="","",(IF($C$20&lt;25%,"N/A",IF(H12&lt;=($D$20+$A$20),H12,"Descartado"))))</f>
        <v>3.83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87</v>
      </c>
      <c r="H13" s="13" t="n">
        <f aca="false">4300/2000</f>
        <v>2.15</v>
      </c>
      <c r="I13" s="14" t="n">
        <f aca="false">IF(H13="","",(IF($C$20&lt;25%,"N/A",IF(H13&lt;=($D$20+$A$20),H13,"Descartado"))))</f>
        <v>2.15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88</v>
      </c>
      <c r="H14" s="13" t="n">
        <f aca="false">7280/2000</f>
        <v>3.64</v>
      </c>
      <c r="I14" s="14" t="n">
        <f aca="false">IF(H14="","",(IF($C$20&lt;25%,"N/A",IF(H14&lt;=($D$20+$A$20),H14,"Descartado"))))</f>
        <v>3.64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 t="s">
        <v>49</v>
      </c>
      <c r="H15" s="13" t="n">
        <f aca="false">4800/2000</f>
        <v>2.4</v>
      </c>
      <c r="I15" s="14" t="n">
        <f aca="false">IF(H15="","",(IF($C$20&lt;25%,"N/A",IF(H15&lt;=($D$20+$A$20),H15,"Descartado"))))</f>
        <v>2.4</v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 t="s">
        <v>89</v>
      </c>
      <c r="H16" s="13" t="n">
        <f aca="false">5320/2000</f>
        <v>2.66</v>
      </c>
      <c r="I16" s="14" t="n">
        <f aca="false">IF(H16="","",(IF($C$20&lt;25%,"N/A",IF(H16&lt;=($D$20+$A$20),H16,"Descartado"))))</f>
        <v>2.66</v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42" t="s">
        <v>23</v>
      </c>
      <c r="H17" s="13" t="n">
        <v>2.37</v>
      </c>
      <c r="I17" s="14" t="n">
        <f aca="false">IF(H17="","",(IF($C$20&lt;25%,"N/A",IF(H17&lt;=($D$20+$A$20),H17,"Descartado"))))</f>
        <v>2.37</v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1.2209692675825</v>
      </c>
      <c r="B20" s="25" t="n">
        <f aca="false">COUNT(H3:H17)</f>
        <v>15</v>
      </c>
      <c r="C20" s="26" t="n">
        <f aca="false">IF(B20&lt;2,"N/A",(A20/D20))</f>
        <v>0.400317792650001</v>
      </c>
      <c r="D20" s="27" t="n">
        <f aca="false">ROUND(AVERAGE(H3:H17),2)</f>
        <v>3.05</v>
      </c>
      <c r="E20" s="28" t="n">
        <f aca="false">IFERROR(ROUND(IF(B20&lt;2,"N/A",(IF(C20&lt;=25%,"N/A",AVERAGE(I3:I17)))),2),"N/A")</f>
        <v>2.77</v>
      </c>
      <c r="F20" s="28" t="n">
        <f aca="false">ROUND(MEDIAN(H3:H17),2)</f>
        <v>2.8</v>
      </c>
      <c r="G20" s="29" t="str">
        <f aca="false">INDEX(G3:G17,MATCH(H20,H3:H17,0))</f>
        <v>GRAFICA EDITORA FORMULARIOS CONTINUOS E ETIQUETAS F &amp; F</v>
      </c>
      <c r="H20" s="30" t="n">
        <f aca="false">MIN(H3:H17)</f>
        <v>1.995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2.77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8310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603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2019-01-16T20:04:04Z</dcterms:created>
  <dc:creator>Marconni Rodrigues de AlcGntara Santos</dc:creator>
  <dc:description/>
  <dc:language>pt-BR</dc:language>
  <cp:lastModifiedBy/>
  <cp:lastPrinted>2021-01-13T17:14:34Z</cp:lastPrinted>
  <dcterms:modified xsi:type="dcterms:W3CDTF">2021-03-17T19:00:14Z</dcterms:modified>
  <cp:revision>75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