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tec" sheetId="1" r:id="rId1"/>
    <sheet name="Total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9" i="2" l="1"/>
  <c r="D19" i="2"/>
  <c r="C19" i="2"/>
  <c r="B14" i="2"/>
  <c r="E9" i="2"/>
  <c r="D150" i="1"/>
  <c r="C137" i="1"/>
  <c r="C144" i="1" s="1"/>
  <c r="D129" i="1"/>
  <c r="D154" i="1" s="1"/>
  <c r="C102" i="1"/>
  <c r="C101" i="1"/>
  <c r="C100" i="1"/>
  <c r="C99" i="1"/>
  <c r="C98" i="1"/>
  <c r="C88" i="1"/>
  <c r="D88" i="1" s="1"/>
  <c r="C86" i="1"/>
  <c r="D86" i="1" s="1"/>
  <c r="D87" i="1" s="1"/>
  <c r="D85" i="1"/>
  <c r="C85" i="1"/>
  <c r="C83" i="1"/>
  <c r="D83" i="1" s="1"/>
  <c r="D65" i="1"/>
  <c r="D64" i="1"/>
  <c r="D63" i="1"/>
  <c r="D68" i="1" s="1"/>
  <c r="D76" i="1" s="1"/>
  <c r="C57" i="1"/>
  <c r="C87" i="1" s="1"/>
  <c r="C42" i="1"/>
  <c r="C41" i="1"/>
  <c r="D41" i="1" s="1"/>
  <c r="D33" i="1"/>
  <c r="D84" i="1" l="1"/>
  <c r="D89" i="1" s="1"/>
  <c r="D152" i="1" s="1"/>
  <c r="C43" i="1"/>
  <c r="D42" i="1"/>
  <c r="D43" i="1" s="1"/>
  <c r="D53" i="1" l="1"/>
  <c r="D52" i="1"/>
  <c r="D51" i="1"/>
  <c r="D74" i="1"/>
  <c r="D49" i="1"/>
  <c r="D56" i="1"/>
  <c r="D55" i="1"/>
  <c r="D50" i="1"/>
  <c r="D54" i="1"/>
  <c r="D57" i="1" l="1"/>
  <c r="D75" i="1" s="1"/>
  <c r="D77" i="1"/>
  <c r="D103" i="1" l="1"/>
  <c r="D100" i="1"/>
  <c r="D102" i="1"/>
  <c r="D98" i="1"/>
  <c r="D151" i="1"/>
  <c r="D110" i="1"/>
  <c r="D111" i="1" s="1"/>
  <c r="D118" i="1" s="1"/>
  <c r="D101" i="1"/>
  <c r="D99" i="1"/>
  <c r="D104" i="1" l="1"/>
  <c r="D117" i="1" s="1"/>
  <c r="D119" i="1" s="1"/>
  <c r="D153" i="1" s="1"/>
  <c r="D155" i="1" s="1"/>
  <c r="D135" i="1" l="1"/>
  <c r="D136" i="1" l="1"/>
  <c r="D137" i="1" s="1"/>
  <c r="D144" i="1" l="1"/>
  <c r="D156" i="1" s="1"/>
  <c r="D157" i="1" s="1"/>
  <c r="D142" i="1" l="1"/>
  <c r="D143" i="1"/>
  <c r="D139" i="1"/>
  <c r="D138" i="1"/>
  <c r="D141" i="1"/>
  <c r="C14" i="2"/>
  <c r="D14" i="2" s="1"/>
  <c r="D140" i="1"/>
  <c r="F19" i="2" l="1"/>
  <c r="F14" i="2"/>
</calcChain>
</file>

<file path=xl/sharedStrings.xml><?xml version="1.0" encoding="utf-8"?>
<sst xmlns="http://schemas.openxmlformats.org/spreadsheetml/2006/main" count="212" uniqueCount="129">
  <si>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</si>
  <si>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</si>
  <si>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</si>
  <si>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</si>
  <si>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</si>
  <si>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</si>
  <si>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</si>
  <si>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</si>
  <si>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</si>
  <si>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</si>
  <si>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</si>
  <si>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</si>
  <si>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</si>
  <si>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</si>
  <si>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Técnico de Urna</t>
  </si>
  <si>
    <t>posto de serviço</t>
  </si>
  <si>
    <t>1 profissional por posto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</si>
  <si>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</si>
  <si>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</si>
  <si>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</si>
  <si>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3132-20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</si>
  <si>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</si>
  <si>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</si>
  <si>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</si>
  <si>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</si>
  <si>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</si>
  <si>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</si>
  <si>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</si>
  <si>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</si>
  <si>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</si>
  <si>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</si>
  <si>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</si>
  <si>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</si>
  <si>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</si>
  <si>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</si>
  <si>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</si>
  <si>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</si>
  <si>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</si>
  <si>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</si>
  <si>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</si>
  <si>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</si>
  <si>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</si>
  <si>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</si>
  <si>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</si>
  <si>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</si>
  <si>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</si>
  <si>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</si>
  <si>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</si>
  <si>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</si>
  <si>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</si>
  <si>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</si>
  <si>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</si>
  <si>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</si>
  <si>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</si>
  <si>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</si>
  <si>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</si>
  <si>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</si>
  <si>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</si>
  <si>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</si>
  <si>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</si>
  <si>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</si>
  <si>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</si>
  <si>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</si>
  <si>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</si>
  <si>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</si>
  <si>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</si>
  <si>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</si>
  <si>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</si>
  <si>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</si>
  <si>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</si>
  <si>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</si>
  <si>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</si>
  <si>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</si>
  <si>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</si>
  <si>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</si>
  <si>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</si>
  <si>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</si>
  <si>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</si>
  <si>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</si>
  <si>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</si>
  <si>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</si>
  <si>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</si>
  <si>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</si>
  <si>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</si>
  <si>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</si>
  <si>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</si>
  <si>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</si>
  <si>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</si>
  <si>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</si>
  <si>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</si>
  <si>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</si>
  <si>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</si>
  <si>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</si>
  <si>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</si>
  <si>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</si>
  <si>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Equipamentos em razão da pandemia de COVID-19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</si>
  <si>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</si>
  <si>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</si>
  <si>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</si>
  <si>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</si>
  <si>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</si>
  <si>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</si>
  <si>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</si>
  <si>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</si>
  <si>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</si>
  <si>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</si>
  <si>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</si>
  <si>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</si>
  <si>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</si>
  <si>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</si>
  <si>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</si>
  <si>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</si>
  <si>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TRIBUNAL REGIONAL ELEITORAL DA BAHIA</t>
  </si>
  <si>
    <t>Seção de Análise e Aquisições</t>
  </si>
  <si>
    <t>QUADRO RESUMO - VALORES ESTIMADOS</t>
  </si>
  <si>
    <t>Valor da UST (Tópico 16.2 do TR) e Valor Mensal</t>
  </si>
  <si>
    <t>item</t>
  </si>
  <si>
    <t>profissional</t>
  </si>
  <si>
    <t>valor mensal por empregado</t>
  </si>
  <si>
    <r>
      <rPr>
        <b/>
        <sz val="11"/>
        <color rgb="FF000000"/>
        <rFont val="Times New Roman"/>
        <family val="1"/>
        <charset val="1"/>
      </rPr>
      <t>valor da UST</t>
    </r>
    <r>
      <rPr>
        <b/>
        <vertAlign val="superscript"/>
        <sz val="11"/>
        <color rgb="FFC9211E"/>
        <rFont val="Times New Roman"/>
        <family val="1"/>
        <charset val="1"/>
      </rPr>
      <t>1</t>
    </r>
  </si>
  <si>
    <t>quantidade de UST mensal</t>
  </si>
  <si>
    <t>valor mensal</t>
  </si>
  <si>
    <t>Valor total estimado (Tópico 14.4 do TR)</t>
  </si>
  <si>
    <t>especificação</t>
  </si>
  <si>
    <t>quantidade de UST anual</t>
  </si>
  <si>
    <t>quantidade de UST total</t>
  </si>
  <si>
    <t>valor total 
(30 meses)</t>
  </si>
  <si>
    <t>serviços de conservação das urnas eletrônicas patrimoniadas no TSE e cedidas ao Tribunal Regional Eleitoral da Bahia</t>
  </si>
  <si>
    <r>
      <rPr>
        <b/>
        <vertAlign val="superscript"/>
        <sz val="11"/>
        <color rgb="FFC9211E"/>
        <rFont val="Times New Roman"/>
        <family val="1"/>
        <charset val="1"/>
      </rPr>
      <t>1</t>
    </r>
    <r>
      <rPr>
        <sz val="10"/>
        <color rgb="FF000000"/>
        <rFont val="Times New Roman"/>
        <family val="1"/>
        <charset val="1"/>
      </rPr>
      <t>calculado um dia do profissional, da seguinte forma: valor de uma hora vezes 8,8. Considerada jornada de 44 horas semanais (divisor 220), e considerado o labor de segunda a sexta (oito horas e quarenta e oito minutos).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</si>
</sst>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R$ &quot;* #,##0.00_-;&quot;-R$ &quot;* #,##0.00_-;_-&quot;R$ &quot;* \-??_-;_-@_-"/>
    <numFmt numFmtId="165" formatCode="[$R$-416]\ #,##0.00;[Red]\-[$R$-416]\ #,##0.00"/>
    <numFmt numFmtId="166" formatCode="_(* #,##0.00_);_(* \(#,##0.00\);_(* \-??_);_(@_)"/>
    <numFmt numFmtId="167" formatCode="_-* #,##0.00_-;\-* #,##0.00_-;_-* \-??_-;_-@_-"/>
    <numFmt numFmtId="168" formatCode="#,##0.0"/>
  </numFmts>
  <fonts count="22" x14ac:knownFonts="1">
    <font>
      <sz val="11"/>
      <color rgb="FF000000"/>
      <name val="Calibri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charset val="1"/>
    </font>
    <font>
      <sz val="10"/>
      <name val="Arial"/>
      <family val="2"/>
      <charset val="1"/>
    </font>
    <font>
      <sz val="10"/>
      <color rgb="FF8080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color rgb="FFFFFFFF"/>
      <name val="Times New Roman"/>
      <family val="1"/>
      <charset val="1"/>
    </font>
    <font>
      <b/>
      <sz val="11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vertAlign val="superscript"/>
      <sz val="11"/>
      <color rgb="FFC9211E"/>
      <name val="Times New Roman"/>
      <family val="1"/>
      <charset val="1"/>
    </font>
    <font>
      <sz val="11"/>
      <color rgb="FF000000"/>
      <name val="Calibri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7F7F7F"/>
      </patternFill>
    </fill>
    <fill>
      <patternFill patternType="solid">
        <fgColor rgb="FFCCCCFF"/>
        <bgColor rgb="FFD9D9D9"/>
      </patternFill>
    </fill>
    <fill>
      <patternFill patternType="solid">
        <fgColor rgb="FFFFCC99"/>
        <bgColor rgb="FFE6B9B8"/>
      </patternFill>
    </fill>
    <fill>
      <patternFill patternType="solid">
        <fgColor rgb="FFFF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595959"/>
        <bgColor rgb="FF7F7F7F"/>
      </patternFill>
    </fill>
    <fill>
      <patternFill patternType="solid">
        <fgColor rgb="FF7F7F7F"/>
        <bgColor rgb="FF808080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CCCCFF"/>
      </patternFill>
    </fill>
    <fill>
      <patternFill patternType="solid">
        <fgColor rgb="FFA6A6A6"/>
        <bgColor rgb="FFBFBFBF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8">
    <xf numFmtId="0" fontId="0" fillId="0" borderId="0"/>
    <xf numFmtId="167" fontId="21" fillId="0" borderId="0" applyBorder="0" applyProtection="0"/>
    <xf numFmtId="9" fontId="21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164" fontId="6" fillId="0" borderId="0" applyBorder="0" applyProtection="0"/>
    <xf numFmtId="164" fontId="7" fillId="0" borderId="0" applyBorder="0" applyProtection="0"/>
    <xf numFmtId="0" fontId="8" fillId="8" borderId="0" applyBorder="0" applyProtection="0"/>
    <xf numFmtId="0" fontId="21" fillId="0" borderId="0"/>
    <xf numFmtId="0" fontId="7" fillId="0" borderId="0"/>
    <xf numFmtId="0" fontId="21" fillId="0" borderId="0"/>
    <xf numFmtId="0" fontId="9" fillId="8" borderId="1" applyProtection="0"/>
    <xf numFmtId="0" fontId="10" fillId="0" borderId="0" applyBorder="0" applyProtection="0"/>
    <xf numFmtId="165" fontId="10" fillId="0" borderId="0" applyBorder="0" applyProtection="0"/>
    <xf numFmtId="166" fontId="2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>
      <alignment horizontal="center" textRotation="90"/>
    </xf>
    <xf numFmtId="166" fontId="7" fillId="0" borderId="0" applyBorder="0" applyProtection="0"/>
    <xf numFmtId="167" fontId="21" fillId="0" borderId="0" applyBorder="0" applyProtection="0"/>
    <xf numFmtId="167" fontId="21" fillId="0" borderId="0" applyBorder="0" applyProtection="0"/>
    <xf numFmtId="167" fontId="21" fillId="0" borderId="0" applyBorder="0" applyProtection="0"/>
    <xf numFmtId="167" fontId="21" fillId="0" borderId="0" applyBorder="0" applyProtection="0"/>
    <xf numFmtId="167" fontId="21" fillId="0" borderId="0" applyBorder="0" applyProtection="0"/>
    <xf numFmtId="167" fontId="21" fillId="0" borderId="0" applyBorder="0" applyProtection="0"/>
    <xf numFmtId="167" fontId="21" fillId="0" borderId="0" applyBorder="0" applyProtection="0"/>
    <xf numFmtId="167" fontId="21" fillId="0" borderId="0" applyBorder="0" applyProtection="0"/>
    <xf numFmtId="167" fontId="21" fillId="0" borderId="0" applyBorder="0" applyProtection="0"/>
    <xf numFmtId="0" fontId="3" fillId="0" borderId="0" applyBorder="0" applyProtection="0"/>
  </cellStyleXfs>
  <cellXfs count="62">
    <xf numFmtId="0" fontId="0" fillId="0" borderId="0" xfId="0"/>
    <xf numFmtId="0" fontId="17" fillId="9" borderId="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11" borderId="0" xfId="0" applyFont="1" applyFill="1" applyBorder="1" applyAlignment="1">
      <alignment horizontal="center" vertical="center" wrapText="1"/>
    </xf>
    <xf numFmtId="0" fontId="14" fillId="11" borderId="0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center" vertical="center"/>
    </xf>
    <xf numFmtId="0" fontId="13" fillId="9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2" fillId="0" borderId="2" xfId="0" applyFont="1" applyBorder="1"/>
    <xf numFmtId="0" fontId="12" fillId="0" borderId="3" xfId="0" applyFont="1" applyBorder="1"/>
    <xf numFmtId="0" fontId="12" fillId="0" borderId="4" xfId="0" applyFont="1" applyBorder="1" applyAlignment="1"/>
    <xf numFmtId="0" fontId="12" fillId="0" borderId="2" xfId="0" applyFont="1" applyBorder="1" applyAlignment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67" fontId="12" fillId="0" borderId="2" xfId="1" applyFont="1" applyBorder="1" applyAlignment="1" applyProtection="1">
      <alignment horizontal="center" vertical="center" wrapText="1"/>
    </xf>
    <xf numFmtId="167" fontId="14" fillId="0" borderId="2" xfId="1" applyFont="1" applyBorder="1" applyAlignment="1" applyProtection="1">
      <alignment horizontal="center" vertical="center" wrapText="1"/>
    </xf>
    <xf numFmtId="0" fontId="14" fillId="0" borderId="0" xfId="0" applyFont="1" applyAlignment="1">
      <alignment vertical="center"/>
    </xf>
    <xf numFmtId="10" fontId="12" fillId="0" borderId="2" xfId="2" applyNumberFormat="1" applyFont="1" applyBorder="1" applyAlignment="1" applyProtection="1">
      <alignment horizontal="center" vertical="center" wrapText="1"/>
    </xf>
    <xf numFmtId="10" fontId="14" fillId="0" borderId="4" xfId="0" applyNumberFormat="1" applyFont="1" applyBorder="1" applyAlignment="1">
      <alignment vertical="center" wrapText="1"/>
    </xf>
    <xf numFmtId="167" fontId="14" fillId="0" borderId="2" xfId="0" applyNumberFormat="1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0" fontId="12" fillId="12" borderId="2" xfId="2" applyNumberFormat="1" applyFont="1" applyFill="1" applyBorder="1" applyAlignment="1" applyProtection="1">
      <alignment horizontal="center"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67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0" fontId="12" fillId="0" borderId="0" xfId="2" applyNumberFormat="1" applyFont="1" applyBorder="1" applyAlignment="1" applyProtection="1"/>
    <xf numFmtId="167" fontId="12" fillId="0" borderId="0" xfId="0" applyNumberFormat="1" applyFont="1"/>
    <xf numFmtId="0" fontId="12" fillId="0" borderId="2" xfId="0" applyFont="1" applyBorder="1" applyAlignment="1">
      <alignment horizontal="justify" vertical="center" wrapText="1"/>
    </xf>
    <xf numFmtId="0" fontId="14" fillId="0" borderId="2" xfId="0" applyFont="1" applyBorder="1" applyAlignment="1">
      <alignment vertical="center" wrapText="1"/>
    </xf>
    <xf numFmtId="10" fontId="15" fillId="0" borderId="4" xfId="2" applyNumberFormat="1" applyFont="1" applyBorder="1" applyAlignment="1" applyProtection="1">
      <alignment horizontal="center" vertical="center" wrapText="1"/>
    </xf>
    <xf numFmtId="167" fontId="12" fillId="0" borderId="2" xfId="0" applyNumberFormat="1" applyFont="1" applyBorder="1" applyAlignment="1">
      <alignment vertical="center" wrapText="1"/>
    </xf>
    <xf numFmtId="167" fontId="14" fillId="0" borderId="2" xfId="0" applyNumberFormat="1" applyFont="1" applyBorder="1" applyAlignment="1">
      <alignment vertical="center" wrapText="1"/>
    </xf>
    <xf numFmtId="167" fontId="12" fillId="0" borderId="2" xfId="1" applyFont="1" applyBorder="1" applyAlignment="1" applyProtection="1">
      <alignment vertical="center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wrapText="1"/>
    </xf>
    <xf numFmtId="167" fontId="16" fillId="0" borderId="2" xfId="1" applyFont="1" applyBorder="1" applyAlignment="1" applyProtection="1">
      <alignment vertical="center"/>
    </xf>
    <xf numFmtId="4" fontId="16" fillId="0" borderId="2" xfId="1" applyNumberFormat="1" applyFont="1" applyBorder="1" applyAlignment="1" applyProtection="1">
      <alignment vertical="center"/>
    </xf>
    <xf numFmtId="0" fontId="19" fillId="0" borderId="0" xfId="0" applyFont="1" applyBorder="1" applyAlignment="1">
      <alignment horizontal="center"/>
    </xf>
    <xf numFmtId="167" fontId="19" fillId="0" borderId="0" xfId="1" applyFont="1" applyBorder="1" applyAlignment="1" applyProtection="1"/>
    <xf numFmtId="0" fontId="16" fillId="0" borderId="2" xfId="0" applyFont="1" applyBorder="1" applyAlignment="1">
      <alignment wrapText="1"/>
    </xf>
    <xf numFmtId="168" fontId="16" fillId="0" borderId="2" xfId="0" applyNumberFormat="1" applyFont="1" applyBorder="1" applyAlignment="1"/>
    <xf numFmtId="167" fontId="19" fillId="0" borderId="2" xfId="1" applyFont="1" applyBorder="1" applyAlignment="1" applyProtection="1"/>
    <xf numFmtId="0" fontId="19" fillId="13" borderId="0" xfId="0" applyFont="1" applyFill="1" applyBorder="1" applyAlignment="1">
      <alignment horizontal="center"/>
    </xf>
    <xf numFmtId="0" fontId="19" fillId="14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left" vertical="center" wrapText="1"/>
    </xf>
  </cellXfs>
  <cellStyles count="38">
    <cellStyle name="Accent 1 1" xfId="3"/>
    <cellStyle name="Accent 2 1" xfId="4"/>
    <cellStyle name="Accent 3 1" xfId="5"/>
    <cellStyle name="Accent 4" xfId="6"/>
    <cellStyle name="Bad 1" xfId="7"/>
    <cellStyle name="Error 1" xfId="8"/>
    <cellStyle name="Footnote 1" xfId="9"/>
    <cellStyle name="Good 1" xfId="10"/>
    <cellStyle name="Heading 1 1" xfId="11"/>
    <cellStyle name="Heading 2 1" xfId="12"/>
    <cellStyle name="Heading 3" xfId="13"/>
    <cellStyle name="Moeda 2" xfId="14"/>
    <cellStyle name="Moeda 3" xfId="15"/>
    <cellStyle name="Neutral 1" xfId="16"/>
    <cellStyle name="Normal" xfId="0" builtinId="0"/>
    <cellStyle name="Normal 2" xfId="17"/>
    <cellStyle name="Normal 3" xfId="18"/>
    <cellStyle name="Normal 4" xfId="19"/>
    <cellStyle name="Note 1" xfId="20"/>
    <cellStyle name="Porcentagem" xfId="2" builtinId="5"/>
    <cellStyle name="Resultado" xfId="21"/>
    <cellStyle name="Resultado2" xfId="22"/>
    <cellStyle name="Separador de milhares 2" xfId="23"/>
    <cellStyle name="Status 1" xfId="24"/>
    <cellStyle name="Text 1" xfId="25"/>
    <cellStyle name="Título1" xfId="26"/>
    <cellStyle name="Vírgula" xfId="1" builtinId="3"/>
    <cellStyle name="Vírgula 2" xfId="27"/>
    <cellStyle name="Vírgula 3" xfId="28"/>
    <cellStyle name="Vírgula 3 2" xfId="29"/>
    <cellStyle name="Vírgula 4" xfId="30"/>
    <cellStyle name="Vírgula 4 2" xfId="31"/>
    <cellStyle name="Vírgula 5" xfId="32"/>
    <cellStyle name="Vírgula 5 2" xfId="33"/>
    <cellStyle name="Vírgula 6" xfId="34"/>
    <cellStyle name="Vírgula 7" xfId="35"/>
    <cellStyle name="Vírgula 8" xfId="36"/>
    <cellStyle name="Warning 1" xfId="3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9D9D9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A6A6A6"/>
      <rgbColor rgb="FF003366"/>
      <rgbColor rgb="FF7F7F7F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2673000</xdr:colOff>
      <xdr:row>0</xdr:row>
      <xdr:rowOff>0</xdr:rowOff>
    </xdr:from>
    <xdr:to>
      <xdr:col>2</xdr:col>
      <xdr:colOff>327960</xdr:colOff>
      <xdr:row>4</xdr:row>
      <xdr:rowOff>72720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00000" y="0"/>
          <a:ext cx="769680" cy="773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tabSelected="1" topLeftCell="A112" zoomScaleNormal="100" workbookViewId="0">
      <selection activeCell="D63" sqref="D63"/>
    </sheetView>
  </sheetViews>
  <sheetFormatPr defaultColWidth="9.140625" defaultRowHeight="15" x14ac:dyDescent="0.25"/>
  <cols>
    <col min="1" max="1" width="9.140625" style="15"/>
    <col min="2" max="2" width="60.28515625" style="15" customWidth="1"/>
    <col min="3" max="3" width="18" style="15" customWidth="1"/>
    <col min="4" max="4" width="21.42578125" style="15" customWidth="1"/>
    <col min="5" max="5" width="12.7109375" style="15" customWidth="1"/>
    <col min="6" max="6" width="12" style="15" customWidth="1"/>
    <col min="7" max="7" width="15.140625" style="15" customWidth="1"/>
    <col min="8" max="1024" width="9.140625" style="15"/>
  </cols>
  <sheetData>
    <row r="1" spans="1:4" ht="15.75" x14ac:dyDescent="0.25">
      <c r="A1" s="14" t="s">
        <v>0</v>
      </c>
      <c r="B1" s="14"/>
      <c r="C1" s="14"/>
      <c r="D1" s="14"/>
    </row>
    <row r="2" spans="1:4" ht="15.75" x14ac:dyDescent="0.25">
      <c r="A2" s="16"/>
      <c r="B2" s="16"/>
      <c r="C2" s="16"/>
      <c r="D2" s="16"/>
    </row>
    <row r="3" spans="1:4" x14ac:dyDescent="0.25">
      <c r="A3" s="13" t="s">
        <v>1</v>
      </c>
      <c r="B3" s="13"/>
      <c r="C3" s="13"/>
      <c r="D3" s="13"/>
    </row>
    <row r="4" spans="1:4" x14ac:dyDescent="0.25">
      <c r="A4" s="17"/>
      <c r="B4" s="17"/>
      <c r="C4" s="17"/>
      <c r="D4" s="17"/>
    </row>
    <row r="5" spans="1:4" x14ac:dyDescent="0.25">
      <c r="A5" s="18" t="s">
        <v>2</v>
      </c>
      <c r="B5" s="19" t="s">
        <v>3</v>
      </c>
      <c r="C5" s="20"/>
      <c r="D5" s="21"/>
    </row>
    <row r="6" spans="1:4" x14ac:dyDescent="0.25">
      <c r="A6" s="18" t="s">
        <v>4</v>
      </c>
      <c r="B6" s="19" t="s">
        <v>5</v>
      </c>
      <c r="C6" s="20"/>
      <c r="D6" s="21"/>
    </row>
    <row r="7" spans="1:4" x14ac:dyDescent="0.25">
      <c r="A7" s="18" t="s">
        <v>6</v>
      </c>
      <c r="B7" s="19" t="s">
        <v>7</v>
      </c>
      <c r="C7" s="20"/>
      <c r="D7" s="21"/>
    </row>
    <row r="8" spans="1:4" x14ac:dyDescent="0.25">
      <c r="A8" s="18" t="s">
        <v>8</v>
      </c>
      <c r="B8" s="19" t="s">
        <v>9</v>
      </c>
      <c r="C8" s="20"/>
      <c r="D8" s="21">
        <v>30</v>
      </c>
    </row>
    <row r="10" spans="1:4" x14ac:dyDescent="0.25">
      <c r="A10" s="13" t="s">
        <v>10</v>
      </c>
      <c r="B10" s="13"/>
      <c r="C10" s="13"/>
      <c r="D10" s="13"/>
    </row>
    <row r="11" spans="1:4" x14ac:dyDescent="0.25">
      <c r="A11" s="17"/>
      <c r="B11" s="17"/>
      <c r="C11" s="17"/>
      <c r="D11" s="17"/>
    </row>
    <row r="12" spans="1:4" ht="38.25" customHeight="1" x14ac:dyDescent="0.25">
      <c r="A12" s="12" t="s">
        <v>11</v>
      </c>
      <c r="B12" s="12"/>
      <c r="C12" s="22" t="s">
        <v>12</v>
      </c>
      <c r="D12" s="23" t="s">
        <v>13</v>
      </c>
    </row>
    <row r="13" spans="1:4" x14ac:dyDescent="0.25">
      <c r="A13" s="11" t="s">
        <v>14</v>
      </c>
      <c r="B13" s="11"/>
      <c r="C13" s="25" t="s">
        <v>15</v>
      </c>
      <c r="D13" s="24" t="s">
        <v>16</v>
      </c>
    </row>
    <row r="15" spans="1:4" x14ac:dyDescent="0.25">
      <c r="A15" s="13" t="s">
        <v>17</v>
      </c>
      <c r="B15" s="13"/>
      <c r="C15" s="13"/>
      <c r="D15" s="13"/>
    </row>
    <row r="16" spans="1:4" x14ac:dyDescent="0.25">
      <c r="A16" s="17"/>
      <c r="B16" s="17"/>
      <c r="C16" s="17"/>
      <c r="D16" s="17"/>
    </row>
    <row r="17" spans="1:4" x14ac:dyDescent="0.25">
      <c r="A17" s="18">
        <v>1</v>
      </c>
      <c r="B17" s="18" t="s">
        <v>18</v>
      </c>
      <c r="C17" s="11" t="s">
        <v>14</v>
      </c>
      <c r="D17" s="11"/>
    </row>
    <row r="18" spans="1:4" x14ac:dyDescent="0.25">
      <c r="A18" s="18">
        <v>2</v>
      </c>
      <c r="B18" s="18" t="s">
        <v>19</v>
      </c>
      <c r="C18" s="11" t="s">
        <v>20</v>
      </c>
      <c r="D18" s="11"/>
    </row>
    <row r="19" spans="1:4" x14ac:dyDescent="0.25">
      <c r="A19" s="18">
        <v>3</v>
      </c>
      <c r="B19" s="18" t="s">
        <v>21</v>
      </c>
      <c r="C19" s="11"/>
      <c r="D19" s="11"/>
    </row>
    <row r="20" spans="1:4" x14ac:dyDescent="0.25">
      <c r="A20" s="18">
        <v>4</v>
      </c>
      <c r="B20" s="18" t="s">
        <v>22</v>
      </c>
      <c r="C20" s="11"/>
      <c r="D20" s="11"/>
    </row>
    <row r="21" spans="1:4" x14ac:dyDescent="0.25">
      <c r="A21" s="18">
        <v>5</v>
      </c>
      <c r="B21" s="18" t="s">
        <v>23</v>
      </c>
      <c r="C21" s="11"/>
      <c r="D21" s="11"/>
    </row>
    <row r="23" spans="1:4" x14ac:dyDescent="0.25">
      <c r="A23" s="13" t="s">
        <v>24</v>
      </c>
      <c r="B23" s="13"/>
      <c r="C23" s="13"/>
      <c r="D23" s="13"/>
    </row>
    <row r="25" spans="1:4" ht="12.75" customHeight="1" x14ac:dyDescent="0.25">
      <c r="A25" s="26">
        <v>1</v>
      </c>
      <c r="B25" s="10" t="s">
        <v>25</v>
      </c>
      <c r="C25" s="10"/>
      <c r="D25" s="26" t="s">
        <v>26</v>
      </c>
    </row>
    <row r="26" spans="1:4" ht="12.75" customHeight="1" x14ac:dyDescent="0.25">
      <c r="A26" s="22" t="s">
        <v>2</v>
      </c>
      <c r="B26" s="9" t="s">
        <v>27</v>
      </c>
      <c r="C26" s="9"/>
      <c r="D26" s="28">
        <v>1100</v>
      </c>
    </row>
    <row r="27" spans="1:4" ht="12.75" customHeight="1" x14ac:dyDescent="0.25">
      <c r="A27" s="22" t="s">
        <v>4</v>
      </c>
      <c r="B27" s="9" t="s">
        <v>28</v>
      </c>
      <c r="C27" s="9"/>
      <c r="D27" s="28"/>
    </row>
    <row r="28" spans="1:4" ht="12.75" customHeight="1" x14ac:dyDescent="0.25">
      <c r="A28" s="22" t="s">
        <v>6</v>
      </c>
      <c r="B28" s="9" t="s">
        <v>29</v>
      </c>
      <c r="C28" s="9"/>
      <c r="D28" s="28"/>
    </row>
    <row r="29" spans="1:4" ht="12.75" customHeight="1" x14ac:dyDescent="0.25">
      <c r="A29" s="22" t="s">
        <v>8</v>
      </c>
      <c r="B29" s="9" t="s">
        <v>30</v>
      </c>
      <c r="C29" s="9"/>
      <c r="D29" s="28"/>
    </row>
    <row r="30" spans="1:4" ht="12.75" customHeight="1" x14ac:dyDescent="0.25">
      <c r="A30" s="22" t="s">
        <v>31</v>
      </c>
      <c r="B30" s="9" t="s">
        <v>32</v>
      </c>
      <c r="C30" s="9"/>
      <c r="D30" s="28"/>
    </row>
    <row r="31" spans="1:4" x14ac:dyDescent="0.25">
      <c r="A31" s="22"/>
      <c r="B31" s="9"/>
      <c r="C31" s="9"/>
      <c r="D31" s="28"/>
    </row>
    <row r="32" spans="1:4" ht="12.75" customHeight="1" x14ac:dyDescent="0.25">
      <c r="A32" s="22" t="s">
        <v>33</v>
      </c>
      <c r="B32" s="9" t="s">
        <v>34</v>
      </c>
      <c r="C32" s="9"/>
      <c r="D32" s="28"/>
    </row>
    <row r="33" spans="1:4" ht="12.75" customHeight="1" x14ac:dyDescent="0.25">
      <c r="A33" s="10" t="s">
        <v>35</v>
      </c>
      <c r="B33" s="10"/>
      <c r="C33" s="10"/>
      <c r="D33" s="29">
        <f>SUM(D26:D32)</f>
        <v>1100</v>
      </c>
    </row>
    <row r="36" spans="1:4" x14ac:dyDescent="0.25">
      <c r="A36" s="13" t="s">
        <v>36</v>
      </c>
      <c r="B36" s="13"/>
      <c r="C36" s="13"/>
      <c r="D36" s="13"/>
    </row>
    <row r="37" spans="1:4" x14ac:dyDescent="0.25">
      <c r="A37" s="30"/>
    </row>
    <row r="38" spans="1:4" x14ac:dyDescent="0.25">
      <c r="A38" s="8" t="s">
        <v>37</v>
      </c>
      <c r="B38" s="8"/>
      <c r="C38" s="8"/>
      <c r="D38" s="8"/>
    </row>
    <row r="40" spans="1:4" ht="12.75" customHeight="1" x14ac:dyDescent="0.25">
      <c r="A40" s="26" t="s">
        <v>38</v>
      </c>
      <c r="B40" s="10" t="s">
        <v>39</v>
      </c>
      <c r="C40" s="10"/>
      <c r="D40" s="26" t="s">
        <v>26</v>
      </c>
    </row>
    <row r="41" spans="1:4" x14ac:dyDescent="0.25">
      <c r="A41" s="22" t="s">
        <v>2</v>
      </c>
      <c r="B41" s="27" t="s">
        <v>40</v>
      </c>
      <c r="C41" s="31">
        <f>TRUNC(1/12,4)</f>
        <v>8.3299999999999999E-2</v>
      </c>
      <c r="D41" s="28">
        <f>TRUNC($D$33*C41,2)</f>
        <v>91.63</v>
      </c>
    </row>
    <row r="42" spans="1:4" x14ac:dyDescent="0.25">
      <c r="A42" s="22" t="s">
        <v>4</v>
      </c>
      <c r="B42" s="27" t="s">
        <v>41</v>
      </c>
      <c r="C42" s="31">
        <f>TRUNC(((1+1/3)/12),4)</f>
        <v>0.1111</v>
      </c>
      <c r="D42" s="28">
        <f>TRUNC($D$33*C42,2)</f>
        <v>122.21</v>
      </c>
    </row>
    <row r="43" spans="1:4" ht="12.75" customHeight="1" x14ac:dyDescent="0.25">
      <c r="A43" s="10" t="s">
        <v>35</v>
      </c>
      <c r="B43" s="10"/>
      <c r="C43" s="32">
        <f>SUM(C41:C42)</f>
        <v>0.19440000000000002</v>
      </c>
      <c r="D43" s="33">
        <f>SUM(D41:D42)</f>
        <v>213.83999999999997</v>
      </c>
    </row>
    <row r="46" spans="1:4" ht="12.75" customHeight="1" x14ac:dyDescent="0.25">
      <c r="A46" s="7" t="s">
        <v>42</v>
      </c>
      <c r="B46" s="7"/>
      <c r="C46" s="7"/>
      <c r="D46" s="7"/>
    </row>
    <row r="48" spans="1:4" x14ac:dyDescent="0.25">
      <c r="A48" s="26" t="s">
        <v>43</v>
      </c>
      <c r="B48" s="26" t="s">
        <v>44</v>
      </c>
      <c r="C48" s="26" t="s">
        <v>45</v>
      </c>
      <c r="D48" s="26" t="s">
        <v>26</v>
      </c>
    </row>
    <row r="49" spans="1:4" x14ac:dyDescent="0.25">
      <c r="A49" s="22" t="s">
        <v>2</v>
      </c>
      <c r="B49" s="27" t="s">
        <v>46</v>
      </c>
      <c r="C49" s="34">
        <v>0.2</v>
      </c>
      <c r="D49" s="28">
        <f t="shared" ref="D49:D56" si="0">TRUNC(($D$33+$D$43)*C49,2)</f>
        <v>262.76</v>
      </c>
    </row>
    <row r="50" spans="1:4" x14ac:dyDescent="0.25">
      <c r="A50" s="22" t="s">
        <v>4</v>
      </c>
      <c r="B50" s="27" t="s">
        <v>47</v>
      </c>
      <c r="C50" s="34">
        <v>2.5000000000000001E-2</v>
      </c>
      <c r="D50" s="28">
        <f t="shared" si="0"/>
        <v>32.840000000000003</v>
      </c>
    </row>
    <row r="51" spans="1:4" x14ac:dyDescent="0.25">
      <c r="A51" s="22" t="s">
        <v>6</v>
      </c>
      <c r="B51" s="27" t="s">
        <v>48</v>
      </c>
      <c r="C51" s="35">
        <v>0.03</v>
      </c>
      <c r="D51" s="28">
        <f t="shared" si="0"/>
        <v>39.409999999999997</v>
      </c>
    </row>
    <row r="52" spans="1:4" x14ac:dyDescent="0.25">
      <c r="A52" s="22" t="s">
        <v>8</v>
      </c>
      <c r="B52" s="27" t="s">
        <v>49</v>
      </c>
      <c r="C52" s="34">
        <v>1.4999999999999999E-2</v>
      </c>
      <c r="D52" s="28">
        <f t="shared" si="0"/>
        <v>19.7</v>
      </c>
    </row>
    <row r="53" spans="1:4" x14ac:dyDescent="0.25">
      <c r="A53" s="22" t="s">
        <v>31</v>
      </c>
      <c r="B53" s="27" t="s">
        <v>50</v>
      </c>
      <c r="C53" s="34">
        <v>0.01</v>
      </c>
      <c r="D53" s="28">
        <f t="shared" si="0"/>
        <v>13.13</v>
      </c>
    </row>
    <row r="54" spans="1:4" x14ac:dyDescent="0.25">
      <c r="A54" s="22" t="s">
        <v>51</v>
      </c>
      <c r="B54" s="27" t="s">
        <v>52</v>
      </c>
      <c r="C54" s="34">
        <v>6.0000000000000001E-3</v>
      </c>
      <c r="D54" s="28">
        <f t="shared" si="0"/>
        <v>7.88</v>
      </c>
    </row>
    <row r="55" spans="1:4" x14ac:dyDescent="0.25">
      <c r="A55" s="22" t="s">
        <v>33</v>
      </c>
      <c r="B55" s="27" t="s">
        <v>53</v>
      </c>
      <c r="C55" s="34">
        <v>2E-3</v>
      </c>
      <c r="D55" s="28">
        <f t="shared" si="0"/>
        <v>2.62</v>
      </c>
    </row>
    <row r="56" spans="1:4" x14ac:dyDescent="0.25">
      <c r="A56" s="22" t="s">
        <v>54</v>
      </c>
      <c r="B56" s="27" t="s">
        <v>55</v>
      </c>
      <c r="C56" s="34">
        <v>0.08</v>
      </c>
      <c r="D56" s="28">
        <f t="shared" si="0"/>
        <v>105.1</v>
      </c>
    </row>
    <row r="57" spans="1:4" ht="12.75" customHeight="1" x14ac:dyDescent="0.25">
      <c r="A57" s="10" t="s">
        <v>56</v>
      </c>
      <c r="B57" s="10"/>
      <c r="C57" s="36">
        <f>SUM(C49:C56)</f>
        <v>0.36800000000000005</v>
      </c>
      <c r="D57" s="33">
        <f>SUM(D49:D56)</f>
        <v>483.43999999999994</v>
      </c>
    </row>
    <row r="60" spans="1:4" x14ac:dyDescent="0.25">
      <c r="A60" s="8" t="s">
        <v>57</v>
      </c>
      <c r="B60" s="8"/>
      <c r="C60" s="8"/>
      <c r="D60" s="8"/>
    </row>
    <row r="62" spans="1:4" ht="12.75" customHeight="1" x14ac:dyDescent="0.25">
      <c r="A62" s="26" t="s">
        <v>58</v>
      </c>
      <c r="B62" s="6" t="s">
        <v>59</v>
      </c>
      <c r="C62" s="6"/>
      <c r="D62" s="26" t="s">
        <v>26</v>
      </c>
    </row>
    <row r="63" spans="1:4" ht="12.75" customHeight="1" x14ac:dyDescent="0.25">
      <c r="A63" s="22" t="s">
        <v>2</v>
      </c>
      <c r="B63" s="9" t="s">
        <v>60</v>
      </c>
      <c r="C63" s="9"/>
      <c r="D63" s="28">
        <f>(22*2*4.4)-(D26*0.06)</f>
        <v>127.60000000000002</v>
      </c>
    </row>
    <row r="64" spans="1:4" ht="12.75" customHeight="1" x14ac:dyDescent="0.25">
      <c r="A64" s="22" t="s">
        <v>4</v>
      </c>
      <c r="B64" s="9" t="s">
        <v>61</v>
      </c>
      <c r="C64" s="9"/>
      <c r="D64" s="28">
        <f>(29-1)*22</f>
        <v>616</v>
      </c>
    </row>
    <row r="65" spans="1:5" ht="12.75" customHeight="1" x14ac:dyDescent="0.25">
      <c r="A65" s="22" t="s">
        <v>6</v>
      </c>
      <c r="B65" s="9" t="s">
        <v>62</v>
      </c>
      <c r="C65" s="9"/>
      <c r="D65" s="28">
        <f>200*0.85</f>
        <v>170</v>
      </c>
    </row>
    <row r="66" spans="1:5" ht="12.75" customHeight="1" x14ac:dyDescent="0.25">
      <c r="A66" s="22" t="s">
        <v>8</v>
      </c>
      <c r="B66" s="9" t="s">
        <v>63</v>
      </c>
      <c r="C66" s="9"/>
      <c r="D66" s="28"/>
    </row>
    <row r="67" spans="1:5" ht="12.75" customHeight="1" x14ac:dyDescent="0.25">
      <c r="A67" s="22" t="s">
        <v>31</v>
      </c>
      <c r="B67" s="9" t="s">
        <v>34</v>
      </c>
      <c r="C67" s="9"/>
      <c r="D67" s="28"/>
    </row>
    <row r="68" spans="1:5" ht="12.75" customHeight="1" x14ac:dyDescent="0.25">
      <c r="A68" s="10" t="s">
        <v>35</v>
      </c>
      <c r="B68" s="10"/>
      <c r="C68" s="10"/>
      <c r="D68" s="33">
        <f>SUM(D63:D67)</f>
        <v>913.6</v>
      </c>
    </row>
    <row r="71" spans="1:5" x14ac:dyDescent="0.25">
      <c r="A71" s="8" t="s">
        <v>64</v>
      </c>
      <c r="B71" s="8"/>
      <c r="C71" s="8"/>
      <c r="D71" s="8"/>
    </row>
    <row r="73" spans="1:5" ht="12.75" customHeight="1" x14ac:dyDescent="0.25">
      <c r="A73" s="26">
        <v>2</v>
      </c>
      <c r="B73" s="6" t="s">
        <v>65</v>
      </c>
      <c r="C73" s="6"/>
      <c r="D73" s="26" t="s">
        <v>26</v>
      </c>
    </row>
    <row r="74" spans="1:5" ht="12.75" customHeight="1" x14ac:dyDescent="0.25">
      <c r="A74" s="22" t="s">
        <v>38</v>
      </c>
      <c r="B74" s="9" t="s">
        <v>39</v>
      </c>
      <c r="C74" s="9"/>
      <c r="D74" s="37">
        <f>D43</f>
        <v>213.83999999999997</v>
      </c>
    </row>
    <row r="75" spans="1:5" ht="12.75" customHeight="1" x14ac:dyDescent="0.25">
      <c r="A75" s="22" t="s">
        <v>43</v>
      </c>
      <c r="B75" s="9" t="s">
        <v>44</v>
      </c>
      <c r="C75" s="9"/>
      <c r="D75" s="37">
        <f>D57</f>
        <v>483.43999999999994</v>
      </c>
    </row>
    <row r="76" spans="1:5" ht="12.75" customHeight="1" x14ac:dyDescent="0.25">
      <c r="A76" s="22" t="s">
        <v>58</v>
      </c>
      <c r="B76" s="9" t="s">
        <v>59</v>
      </c>
      <c r="C76" s="9"/>
      <c r="D76" s="37">
        <f>D68</f>
        <v>913.6</v>
      </c>
    </row>
    <row r="77" spans="1:5" ht="12.75" customHeight="1" x14ac:dyDescent="0.25">
      <c r="A77" s="10" t="s">
        <v>35</v>
      </c>
      <c r="B77" s="10"/>
      <c r="C77" s="10"/>
      <c r="D77" s="33">
        <f>SUM(D74:D76)</f>
        <v>1610.88</v>
      </c>
    </row>
    <row r="78" spans="1:5" x14ac:dyDescent="0.25">
      <c r="A78" s="38"/>
      <c r="E78" s="39"/>
    </row>
    <row r="80" spans="1:5" x14ac:dyDescent="0.25">
      <c r="A80" s="13" t="s">
        <v>66</v>
      </c>
      <c r="B80" s="13"/>
      <c r="C80" s="13"/>
      <c r="D80" s="13"/>
      <c r="E80" s="40"/>
    </row>
    <row r="81" spans="1:5" ht="12.75" customHeight="1" x14ac:dyDescent="0.25">
      <c r="E81" s="39"/>
    </row>
    <row r="82" spans="1:5" ht="12.75" customHeight="1" x14ac:dyDescent="0.25">
      <c r="A82" s="26">
        <v>3</v>
      </c>
      <c r="B82" s="6" t="s">
        <v>67</v>
      </c>
      <c r="C82" s="6"/>
      <c r="D82" s="26" t="s">
        <v>26</v>
      </c>
    </row>
    <row r="83" spans="1:5" x14ac:dyDescent="0.25">
      <c r="A83" s="22" t="s">
        <v>2</v>
      </c>
      <c r="B83" s="41" t="s">
        <v>68</v>
      </c>
      <c r="C83" s="34">
        <f>TRUNC(((1/12)*5%),4)</f>
        <v>4.1000000000000003E-3</v>
      </c>
      <c r="D83" s="28">
        <f>TRUNC($D$33*C83,2)</f>
        <v>4.51</v>
      </c>
    </row>
    <row r="84" spans="1:5" x14ac:dyDescent="0.25">
      <c r="A84" s="22" t="s">
        <v>4</v>
      </c>
      <c r="B84" s="41" t="s">
        <v>69</v>
      </c>
      <c r="C84" s="34">
        <v>0.08</v>
      </c>
      <c r="D84" s="28">
        <f>TRUNC(D83*C84,2)</f>
        <v>0.36</v>
      </c>
    </row>
    <row r="85" spans="1:5" x14ac:dyDescent="0.25">
      <c r="A85" s="22" t="s">
        <v>6</v>
      </c>
      <c r="B85" s="41" t="s">
        <v>70</v>
      </c>
      <c r="C85" s="34">
        <f>TRUNC(8%*5%*40%,4)</f>
        <v>1.6000000000000001E-3</v>
      </c>
      <c r="D85" s="28">
        <f>TRUNC($D$33*C85,2)</f>
        <v>1.76</v>
      </c>
    </row>
    <row r="86" spans="1:5" x14ac:dyDescent="0.25">
      <c r="A86" s="22" t="s">
        <v>8</v>
      </c>
      <c r="B86" s="41" t="s">
        <v>71</v>
      </c>
      <c r="C86" s="34">
        <f>TRUNC(((7/30)/12)*95%,4)</f>
        <v>1.84E-2</v>
      </c>
      <c r="D86" s="28">
        <f>TRUNC($D$33*C86,2)</f>
        <v>20.239999999999998</v>
      </c>
    </row>
    <row r="87" spans="1:5" ht="25.5" x14ac:dyDescent="0.25">
      <c r="A87" s="22" t="s">
        <v>31</v>
      </c>
      <c r="B87" s="41" t="s">
        <v>72</v>
      </c>
      <c r="C87" s="34">
        <f>C57</f>
        <v>0.36800000000000005</v>
      </c>
      <c r="D87" s="28">
        <f>TRUNC(D86*C87,2)</f>
        <v>7.44</v>
      </c>
    </row>
    <row r="88" spans="1:5" x14ac:dyDescent="0.25">
      <c r="A88" s="22" t="s">
        <v>51</v>
      </c>
      <c r="B88" s="41" t="s">
        <v>73</v>
      </c>
      <c r="C88" s="34">
        <f>TRUNC(8%*95%*40%,4)</f>
        <v>3.04E-2</v>
      </c>
      <c r="D88" s="28">
        <f>TRUNC($D$33*C88,2)</f>
        <v>33.44</v>
      </c>
    </row>
    <row r="89" spans="1:5" ht="12.75" customHeight="1" x14ac:dyDescent="0.25">
      <c r="A89" s="10" t="s">
        <v>35</v>
      </c>
      <c r="B89" s="10"/>
      <c r="C89" s="10"/>
      <c r="D89" s="33">
        <f>SUM(D83:D88)</f>
        <v>67.75</v>
      </c>
    </row>
    <row r="92" spans="1:5" x14ac:dyDescent="0.25">
      <c r="A92" s="13" t="s">
        <v>74</v>
      </c>
      <c r="B92" s="13"/>
      <c r="C92" s="13"/>
      <c r="D92" s="13"/>
    </row>
    <row r="95" spans="1:5" x14ac:dyDescent="0.25">
      <c r="A95" s="8" t="s">
        <v>75</v>
      </c>
      <c r="B95" s="8"/>
      <c r="C95" s="8"/>
      <c r="D95" s="8"/>
    </row>
    <row r="96" spans="1:5" x14ac:dyDescent="0.25">
      <c r="A96" s="30"/>
    </row>
    <row r="97" spans="1:6" ht="12.75" customHeight="1" x14ac:dyDescent="0.25">
      <c r="A97" s="26" t="s">
        <v>76</v>
      </c>
      <c r="B97" s="6" t="s">
        <v>77</v>
      </c>
      <c r="C97" s="6"/>
      <c r="D97" s="26" t="s">
        <v>26</v>
      </c>
    </row>
    <row r="98" spans="1:6" x14ac:dyDescent="0.25">
      <c r="A98" s="22" t="s">
        <v>2</v>
      </c>
      <c r="B98" s="27" t="s">
        <v>78</v>
      </c>
      <c r="C98" s="34">
        <f>TRUNC(((1+1/3)/12)/12,4)</f>
        <v>9.1999999999999998E-3</v>
      </c>
      <c r="D98" s="28">
        <f t="shared" ref="D98:D103" si="1">TRUNC(($D$33+$D$77+$D$89)*C98,2)</f>
        <v>25.56</v>
      </c>
    </row>
    <row r="99" spans="1:6" x14ac:dyDescent="0.25">
      <c r="A99" s="22" t="s">
        <v>4</v>
      </c>
      <c r="B99" s="27" t="s">
        <v>79</v>
      </c>
      <c r="C99" s="34">
        <f>TRUNC(((2/30)/12),4)</f>
        <v>5.4999999999999997E-3</v>
      </c>
      <c r="D99" s="28">
        <f t="shared" si="1"/>
        <v>15.28</v>
      </c>
    </row>
    <row r="100" spans="1:6" x14ac:dyDescent="0.25">
      <c r="A100" s="22" t="s">
        <v>6</v>
      </c>
      <c r="B100" s="27" t="s">
        <v>80</v>
      </c>
      <c r="C100" s="34">
        <f>TRUNC(((5/30)/12)*2%,4)</f>
        <v>2.0000000000000001E-4</v>
      </c>
      <c r="D100" s="28">
        <f t="shared" si="1"/>
        <v>0.55000000000000004</v>
      </c>
    </row>
    <row r="101" spans="1:6" x14ac:dyDescent="0.25">
      <c r="A101" s="22" t="s">
        <v>8</v>
      </c>
      <c r="B101" s="27" t="s">
        <v>81</v>
      </c>
      <c r="C101" s="34">
        <f>TRUNC(((15/30)/12)*8%,4)</f>
        <v>3.3E-3</v>
      </c>
      <c r="D101" s="28">
        <f t="shared" si="1"/>
        <v>9.16</v>
      </c>
    </row>
    <row r="102" spans="1:6" x14ac:dyDescent="0.25">
      <c r="A102" s="22" t="s">
        <v>31</v>
      </c>
      <c r="B102" s="27" t="s">
        <v>82</v>
      </c>
      <c r="C102" s="34">
        <f>((1+1/3)/12)*3%*(4/12)</f>
        <v>1.1111111111111109E-3</v>
      </c>
      <c r="D102" s="28">
        <f t="shared" si="1"/>
        <v>3.08</v>
      </c>
    </row>
    <row r="103" spans="1:6" x14ac:dyDescent="0.25">
      <c r="A103" s="22" t="s">
        <v>51</v>
      </c>
      <c r="B103" s="27" t="s">
        <v>83</v>
      </c>
      <c r="C103" s="34"/>
      <c r="D103" s="28">
        <f t="shared" si="1"/>
        <v>0</v>
      </c>
    </row>
    <row r="104" spans="1:6" ht="12.75" customHeight="1" x14ac:dyDescent="0.25">
      <c r="A104" s="10" t="s">
        <v>56</v>
      </c>
      <c r="B104" s="10"/>
      <c r="C104" s="10"/>
      <c r="D104" s="33">
        <f>SUM(D98:D103)</f>
        <v>53.629999999999995</v>
      </c>
      <c r="E104" s="40"/>
      <c r="F104" s="40"/>
    </row>
    <row r="107" spans="1:6" x14ac:dyDescent="0.25">
      <c r="A107" s="8" t="s">
        <v>84</v>
      </c>
      <c r="B107" s="8"/>
      <c r="C107" s="8"/>
      <c r="D107" s="8"/>
    </row>
    <row r="108" spans="1:6" x14ac:dyDescent="0.25">
      <c r="A108" s="30"/>
    </row>
    <row r="109" spans="1:6" ht="12.75" customHeight="1" x14ac:dyDescent="0.25">
      <c r="A109" s="26" t="s">
        <v>85</v>
      </c>
      <c r="B109" s="6" t="s">
        <v>86</v>
      </c>
      <c r="C109" s="6"/>
      <c r="D109" s="26" t="s">
        <v>26</v>
      </c>
    </row>
    <row r="110" spans="1:6" ht="12.75" customHeight="1" x14ac:dyDescent="0.25">
      <c r="A110" s="22" t="s">
        <v>2</v>
      </c>
      <c r="B110" s="9" t="s">
        <v>87</v>
      </c>
      <c r="C110" s="9"/>
      <c r="D110" s="28">
        <f>((D33+D77+D89)/220)*22*0</f>
        <v>0</v>
      </c>
    </row>
    <row r="111" spans="1:6" ht="12.75" customHeight="1" x14ac:dyDescent="0.25">
      <c r="A111" s="10" t="s">
        <v>35</v>
      </c>
      <c r="B111" s="10"/>
      <c r="C111" s="10"/>
      <c r="D111" s="33">
        <f>SUM(D110)</f>
        <v>0</v>
      </c>
    </row>
    <row r="114" spans="1:4" x14ac:dyDescent="0.25">
      <c r="A114" s="8" t="s">
        <v>88</v>
      </c>
      <c r="B114" s="8"/>
      <c r="C114" s="8"/>
      <c r="D114" s="8"/>
    </row>
    <row r="115" spans="1:4" x14ac:dyDescent="0.25">
      <c r="A115" s="30"/>
    </row>
    <row r="116" spans="1:4" ht="12.75" customHeight="1" x14ac:dyDescent="0.25">
      <c r="A116" s="26">
        <v>4</v>
      </c>
      <c r="B116" s="10" t="s">
        <v>89</v>
      </c>
      <c r="C116" s="10"/>
      <c r="D116" s="26" t="s">
        <v>26</v>
      </c>
    </row>
    <row r="117" spans="1:4" ht="12.75" customHeight="1" x14ac:dyDescent="0.25">
      <c r="A117" s="22" t="s">
        <v>76</v>
      </c>
      <c r="B117" s="9" t="s">
        <v>77</v>
      </c>
      <c r="C117" s="9"/>
      <c r="D117" s="37">
        <f>D104</f>
        <v>53.629999999999995</v>
      </c>
    </row>
    <row r="118" spans="1:4" ht="12.75" customHeight="1" x14ac:dyDescent="0.25">
      <c r="A118" s="22" t="s">
        <v>85</v>
      </c>
      <c r="B118" s="9" t="s">
        <v>86</v>
      </c>
      <c r="C118" s="9"/>
      <c r="D118" s="37">
        <f>D111</f>
        <v>0</v>
      </c>
    </row>
    <row r="119" spans="1:4" ht="12.75" customHeight="1" x14ac:dyDescent="0.25">
      <c r="A119" s="10" t="s">
        <v>35</v>
      </c>
      <c r="B119" s="10"/>
      <c r="C119" s="10"/>
      <c r="D119" s="33">
        <f>SUM(D117:D118)</f>
        <v>53.629999999999995</v>
      </c>
    </row>
    <row r="122" spans="1:4" x14ac:dyDescent="0.25">
      <c r="A122" s="13" t="s">
        <v>90</v>
      </c>
      <c r="B122" s="13"/>
      <c r="C122" s="13"/>
      <c r="D122" s="13"/>
    </row>
    <row r="124" spans="1:4" ht="12.75" customHeight="1" x14ac:dyDescent="0.25">
      <c r="A124" s="26">
        <v>5</v>
      </c>
      <c r="B124" s="5" t="s">
        <v>91</v>
      </c>
      <c r="C124" s="5"/>
      <c r="D124" s="26" t="s">
        <v>26</v>
      </c>
    </row>
    <row r="125" spans="1:4" x14ac:dyDescent="0.25">
      <c r="A125" s="22" t="s">
        <v>2</v>
      </c>
      <c r="B125" s="27" t="s">
        <v>92</v>
      </c>
      <c r="C125" s="27"/>
      <c r="D125" s="28">
        <v>8.5</v>
      </c>
    </row>
    <row r="126" spans="1:4" x14ac:dyDescent="0.25">
      <c r="A126" s="22" t="s">
        <v>4</v>
      </c>
      <c r="B126" s="27" t="s">
        <v>93</v>
      </c>
      <c r="C126" s="27"/>
      <c r="D126" s="28"/>
    </row>
    <row r="127" spans="1:4" x14ac:dyDescent="0.25">
      <c r="A127" s="22" t="s">
        <v>6</v>
      </c>
      <c r="B127" s="27" t="s">
        <v>94</v>
      </c>
      <c r="C127" s="27"/>
      <c r="D127" s="28">
        <v>0.27</v>
      </c>
    </row>
    <row r="128" spans="1:4" x14ac:dyDescent="0.25">
      <c r="A128" s="22" t="s">
        <v>8</v>
      </c>
      <c r="B128" s="27" t="s">
        <v>95</v>
      </c>
      <c r="C128" s="27"/>
      <c r="D128" s="28">
        <v>5.56</v>
      </c>
    </row>
    <row r="129" spans="1:4" ht="12.75" customHeight="1" x14ac:dyDescent="0.25">
      <c r="A129" s="10" t="s">
        <v>56</v>
      </c>
      <c r="B129" s="10"/>
      <c r="C129" s="10"/>
      <c r="D129" s="29">
        <f>SUM(D125:D128)</f>
        <v>14.329999999999998</v>
      </c>
    </row>
    <row r="132" spans="1:4" x14ac:dyDescent="0.25">
      <c r="A132" s="13" t="s">
        <v>96</v>
      </c>
      <c r="B132" s="13"/>
      <c r="C132" s="13"/>
      <c r="D132" s="13"/>
    </row>
    <row r="134" spans="1:4" x14ac:dyDescent="0.25">
      <c r="A134" s="26">
        <v>6</v>
      </c>
      <c r="B134" s="42" t="s">
        <v>97</v>
      </c>
      <c r="C134" s="26" t="s">
        <v>45</v>
      </c>
      <c r="D134" s="26" t="s">
        <v>26</v>
      </c>
    </row>
    <row r="135" spans="1:4" x14ac:dyDescent="0.25">
      <c r="A135" s="22" t="s">
        <v>2</v>
      </c>
      <c r="B135" s="27" t="s">
        <v>98</v>
      </c>
      <c r="C135" s="34">
        <v>0.05</v>
      </c>
      <c r="D135" s="37">
        <f>D155*C135</f>
        <v>142.32950000000002</v>
      </c>
    </row>
    <row r="136" spans="1:4" x14ac:dyDescent="0.25">
      <c r="A136" s="22" t="s">
        <v>4</v>
      </c>
      <c r="B136" s="27" t="s">
        <v>99</v>
      </c>
      <c r="C136" s="34">
        <v>0.06</v>
      </c>
      <c r="D136" s="28">
        <f>(D155+D135)*C136</f>
        <v>179.33517000000001</v>
      </c>
    </row>
    <row r="137" spans="1:4" x14ac:dyDescent="0.25">
      <c r="A137" s="22" t="s">
        <v>6</v>
      </c>
      <c r="B137" s="27" t="s">
        <v>100</v>
      </c>
      <c r="C137" s="31">
        <f>SUM(C138:C143)</f>
        <v>8.6499999999999994E-2</v>
      </c>
      <c r="D137" s="28">
        <f>(D155+D135+D136)*C137/(1-C137)</f>
        <v>300.0044104597701</v>
      </c>
    </row>
    <row r="138" spans="1:4" x14ac:dyDescent="0.25">
      <c r="A138" s="22"/>
      <c r="B138" s="27" t="s">
        <v>101</v>
      </c>
      <c r="C138" s="34"/>
      <c r="D138" s="37">
        <f t="shared" ref="D138:D143" si="2">$D$157*C138</f>
        <v>0</v>
      </c>
    </row>
    <row r="139" spans="1:4" x14ac:dyDescent="0.25">
      <c r="A139" s="22"/>
      <c r="B139" s="27" t="s">
        <v>102</v>
      </c>
      <c r="C139" s="34">
        <v>6.4999999999999997E-3</v>
      </c>
      <c r="D139" s="37">
        <f t="shared" si="2"/>
        <v>22.543684022988504</v>
      </c>
    </row>
    <row r="140" spans="1:4" x14ac:dyDescent="0.25">
      <c r="A140" s="22"/>
      <c r="B140" s="27" t="s">
        <v>103</v>
      </c>
      <c r="C140" s="34">
        <v>0.03</v>
      </c>
      <c r="D140" s="37">
        <f t="shared" si="2"/>
        <v>104.04777241379311</v>
      </c>
    </row>
    <row r="141" spans="1:4" x14ac:dyDescent="0.25">
      <c r="A141" s="22"/>
      <c r="B141" s="27" t="s">
        <v>104</v>
      </c>
      <c r="C141" s="22"/>
      <c r="D141" s="37">
        <f t="shared" si="2"/>
        <v>0</v>
      </c>
    </row>
    <row r="142" spans="1:4" x14ac:dyDescent="0.25">
      <c r="A142" s="22"/>
      <c r="B142" s="27" t="s">
        <v>105</v>
      </c>
      <c r="C142" s="34"/>
      <c r="D142" s="37">
        <f t="shared" si="2"/>
        <v>0</v>
      </c>
    </row>
    <row r="143" spans="1:4" x14ac:dyDescent="0.25">
      <c r="A143" s="22"/>
      <c r="B143" s="27" t="s">
        <v>106</v>
      </c>
      <c r="C143" s="34">
        <v>0.05</v>
      </c>
      <c r="D143" s="37">
        <f t="shared" si="2"/>
        <v>173.41295402298852</v>
      </c>
    </row>
    <row r="144" spans="1:4" ht="13.5" customHeight="1" x14ac:dyDescent="0.25">
      <c r="A144" s="4" t="s">
        <v>56</v>
      </c>
      <c r="B144" s="4"/>
      <c r="C144" s="43">
        <f>(1+C136)*(1+C135)/(1-C137)-1</f>
        <v>0.21839080459770144</v>
      </c>
      <c r="D144" s="33">
        <f>SUM(D135:D137)</f>
        <v>621.66908045977016</v>
      </c>
    </row>
    <row r="147" spans="1:4" x14ac:dyDescent="0.25">
      <c r="A147" s="13" t="s">
        <v>107</v>
      </c>
      <c r="B147" s="13"/>
      <c r="C147" s="13"/>
      <c r="D147" s="13"/>
    </row>
    <row r="149" spans="1:4" ht="12.75" customHeight="1" x14ac:dyDescent="0.25">
      <c r="A149" s="26"/>
      <c r="B149" s="10" t="s">
        <v>108</v>
      </c>
      <c r="C149" s="10"/>
      <c r="D149" s="26" t="s">
        <v>26</v>
      </c>
    </row>
    <row r="150" spans="1:4" ht="12.75" customHeight="1" x14ac:dyDescent="0.25">
      <c r="A150" s="26" t="s">
        <v>2</v>
      </c>
      <c r="B150" s="9" t="s">
        <v>24</v>
      </c>
      <c r="C150" s="9"/>
      <c r="D150" s="44">
        <f>D33</f>
        <v>1100</v>
      </c>
    </row>
    <row r="151" spans="1:4" ht="12.75" customHeight="1" x14ac:dyDescent="0.25">
      <c r="A151" s="26" t="s">
        <v>4</v>
      </c>
      <c r="B151" s="9" t="s">
        <v>36</v>
      </c>
      <c r="C151" s="9"/>
      <c r="D151" s="44">
        <f>D77</f>
        <v>1610.88</v>
      </c>
    </row>
    <row r="152" spans="1:4" ht="12.75" customHeight="1" x14ac:dyDescent="0.25">
      <c r="A152" s="26" t="s">
        <v>6</v>
      </c>
      <c r="B152" s="9" t="s">
        <v>66</v>
      </c>
      <c r="C152" s="9"/>
      <c r="D152" s="44">
        <f>D89</f>
        <v>67.75</v>
      </c>
    </row>
    <row r="153" spans="1:4" ht="12.75" customHeight="1" x14ac:dyDescent="0.25">
      <c r="A153" s="26" t="s">
        <v>8</v>
      </c>
      <c r="B153" s="9" t="s">
        <v>74</v>
      </c>
      <c r="C153" s="9"/>
      <c r="D153" s="44">
        <f>D119</f>
        <v>53.629999999999995</v>
      </c>
    </row>
    <row r="154" spans="1:4" ht="12.75" customHeight="1" x14ac:dyDescent="0.25">
      <c r="A154" s="26" t="s">
        <v>31</v>
      </c>
      <c r="B154" s="9" t="s">
        <v>90</v>
      </c>
      <c r="C154" s="9"/>
      <c r="D154" s="44">
        <f>D129</f>
        <v>14.329999999999998</v>
      </c>
    </row>
    <row r="155" spans="1:4" ht="12.75" customHeight="1" x14ac:dyDescent="0.25">
      <c r="A155" s="10" t="s">
        <v>109</v>
      </c>
      <c r="B155" s="10"/>
      <c r="C155" s="10"/>
      <c r="D155" s="45">
        <f>SUM(D150:D154)</f>
        <v>2846.59</v>
      </c>
    </row>
    <row r="156" spans="1:4" ht="12.75" customHeight="1" x14ac:dyDescent="0.25">
      <c r="A156" s="26" t="s">
        <v>51</v>
      </c>
      <c r="B156" s="9" t="s">
        <v>110</v>
      </c>
      <c r="C156" s="9"/>
      <c r="D156" s="46">
        <f>D144</f>
        <v>621.66908045977016</v>
      </c>
    </row>
    <row r="157" spans="1:4" ht="12.75" customHeight="1" x14ac:dyDescent="0.25">
      <c r="A157" s="10" t="s">
        <v>111</v>
      </c>
      <c r="B157" s="10"/>
      <c r="C157" s="10"/>
      <c r="D157" s="45">
        <f>SUM(D155:D156)</f>
        <v>3468.2590804597703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1"/>
  <sheetViews>
    <sheetView topLeftCell="A4" zoomScaleNormal="100" workbookViewId="0">
      <selection activeCell="F14" sqref="F14"/>
    </sheetView>
  </sheetViews>
  <sheetFormatPr defaultColWidth="9.140625" defaultRowHeight="15" x14ac:dyDescent="0.25"/>
  <cols>
    <col min="1" max="1" width="13.140625" style="47" customWidth="1"/>
    <col min="2" max="2" width="44.140625" style="48" customWidth="1"/>
    <col min="3" max="5" width="13.140625" style="47" customWidth="1"/>
    <col min="6" max="6" width="14.5703125" style="47" customWidth="1"/>
    <col min="7" max="1024" width="9.140625" style="47"/>
  </cols>
  <sheetData>
    <row r="1" spans="1:6" x14ac:dyDescent="0.25">
      <c r="A1" s="3"/>
      <c r="B1" s="3"/>
      <c r="C1" s="3"/>
      <c r="D1" s="3"/>
      <c r="E1" s="3"/>
      <c r="F1" s="3"/>
    </row>
    <row r="2" spans="1:6" x14ac:dyDescent="0.25">
      <c r="A2" s="3"/>
      <c r="B2" s="3"/>
      <c r="C2" s="3"/>
      <c r="D2" s="3"/>
      <c r="E2" s="3"/>
      <c r="F2" s="3"/>
    </row>
    <row r="3" spans="1:6" x14ac:dyDescent="0.25">
      <c r="A3" s="3"/>
      <c r="B3" s="3"/>
      <c r="C3" s="3"/>
      <c r="D3" s="3"/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2" t="s">
        <v>112</v>
      </c>
      <c r="B6" s="2"/>
      <c r="C6" s="2"/>
      <c r="D6" s="2"/>
      <c r="E6" s="2"/>
      <c r="F6" s="2"/>
    </row>
    <row r="7" spans="1:6" x14ac:dyDescent="0.25">
      <c r="A7" s="2" t="s">
        <v>113</v>
      </c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1" t="s">
        <v>114</v>
      </c>
      <c r="B9" s="1"/>
      <c r="C9" s="1"/>
      <c r="D9" s="1"/>
      <c r="E9" s="1">
        <f ca="1">TODAY()</f>
        <v>44396</v>
      </c>
      <c r="F9" s="1"/>
    </row>
    <row r="11" spans="1:6" x14ac:dyDescent="0.25">
      <c r="A11" s="59" t="s">
        <v>115</v>
      </c>
      <c r="B11" s="59"/>
      <c r="C11" s="59"/>
      <c r="D11" s="59"/>
      <c r="E11" s="59"/>
      <c r="F11" s="59"/>
    </row>
    <row r="13" spans="1:6" ht="42.75" x14ac:dyDescent="0.25">
      <c r="A13" s="49" t="s">
        <v>116</v>
      </c>
      <c r="B13" s="49" t="s">
        <v>117</v>
      </c>
      <c r="C13" s="49" t="s">
        <v>118</v>
      </c>
      <c r="D13" s="49" t="s">
        <v>119</v>
      </c>
      <c r="E13" s="49" t="s">
        <v>120</v>
      </c>
      <c r="F13" s="49" t="s">
        <v>121</v>
      </c>
    </row>
    <row r="14" spans="1:6" x14ac:dyDescent="0.25">
      <c r="A14" s="50">
        <v>1</v>
      </c>
      <c r="B14" s="51" t="str">
        <f>tec!A13</f>
        <v>Técnico de Urna</v>
      </c>
      <c r="C14" s="52">
        <f>tec!D157</f>
        <v>3468.2590804597703</v>
      </c>
      <c r="D14" s="52">
        <f>TRUNC((C14/220)*8.8,2)</f>
        <v>138.72999999999999</v>
      </c>
      <c r="E14" s="50">
        <v>450.8</v>
      </c>
      <c r="F14" s="53">
        <f>ROUND(D14*E14,2)</f>
        <v>62539.48</v>
      </c>
    </row>
    <row r="15" spans="1:6" x14ac:dyDescent="0.25">
      <c r="A15" s="54"/>
      <c r="B15" s="54"/>
      <c r="C15" s="54"/>
      <c r="D15" s="54"/>
      <c r="E15" s="54"/>
      <c r="F15" s="55"/>
    </row>
    <row r="16" spans="1:6" x14ac:dyDescent="0.25">
      <c r="A16" s="60" t="s">
        <v>122</v>
      </c>
      <c r="B16" s="60"/>
      <c r="C16" s="60"/>
      <c r="D16" s="60"/>
      <c r="E16" s="60"/>
      <c r="F16" s="60"/>
    </row>
    <row r="17" spans="1:6" x14ac:dyDescent="0.25">
      <c r="A17" s="54"/>
      <c r="B17" s="54"/>
      <c r="C17" s="54"/>
      <c r="D17" s="54"/>
      <c r="E17" s="54"/>
      <c r="F17" s="55"/>
    </row>
    <row r="18" spans="1:6" ht="42.75" x14ac:dyDescent="0.25">
      <c r="A18" s="49" t="s">
        <v>116</v>
      </c>
      <c r="B18" s="49" t="s">
        <v>123</v>
      </c>
      <c r="C18" s="49" t="s">
        <v>120</v>
      </c>
      <c r="D18" s="49" t="s">
        <v>124</v>
      </c>
      <c r="E18" s="49" t="s">
        <v>125</v>
      </c>
      <c r="F18" s="49" t="s">
        <v>126</v>
      </c>
    </row>
    <row r="19" spans="1:6" ht="45" x14ac:dyDescent="0.25">
      <c r="A19" s="50">
        <v>1</v>
      </c>
      <c r="B19" s="56" t="s">
        <v>127</v>
      </c>
      <c r="C19" s="57">
        <f>E14</f>
        <v>450.8</v>
      </c>
      <c r="D19" s="57">
        <f>C19*12</f>
        <v>5409.6</v>
      </c>
      <c r="E19" s="57">
        <f>C19*30</f>
        <v>13524</v>
      </c>
      <c r="F19" s="58">
        <f>D14*E19</f>
        <v>1876184.5199999998</v>
      </c>
    </row>
    <row r="21" spans="1:6" ht="25.35" customHeight="1" x14ac:dyDescent="0.25">
      <c r="A21" s="61" t="s">
        <v>128</v>
      </c>
      <c r="B21" s="61"/>
      <c r="C21" s="61"/>
      <c r="D21" s="61"/>
      <c r="E21" s="61"/>
      <c r="F21" s="61"/>
    </row>
  </sheetData>
  <mergeCells count="12">
    <mergeCell ref="A16:F16"/>
    <mergeCell ref="A21:F21"/>
    <mergeCell ref="A6:F6"/>
    <mergeCell ref="A7:F7"/>
    <mergeCell ref="A8:F8"/>
    <mergeCell ref="A9:F9"/>
    <mergeCell ref="A11:F11"/>
    <mergeCell ref="A1:F1"/>
    <mergeCell ref="A2:F2"/>
    <mergeCell ref="A3:F3"/>
    <mergeCell ref="A4:F4"/>
    <mergeCell ref="A5:F5"/>
  </mergeCells>
  <printOptions horizontalCentered="1"/>
  <pageMargins left="0.51180555555555496" right="0.51180555555555496" top="0.78749999999999998" bottom="0.95416666666666705" header="0.51180555555555496" footer="0.78749999999999998"/>
  <pageSetup paperSize="9" firstPageNumber="0" orientation="portrait" horizontalDpi="300" verticalDpi="300"/>
  <headerFooter>
    <oddFooter>&amp;L&amp;"Times New Roman,Normal"&amp;12Estimativa em &amp;D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tec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revision>12</cp:revision>
  <cp:lastPrinted>2020-09-23T15:48:57Z</cp:lastPrinted>
  <dcterms:created xsi:type="dcterms:W3CDTF">2019-01-29T18:54:26Z</dcterms:created>
  <dcterms:modified xsi:type="dcterms:W3CDTF">2021-07-19T16:16:43Z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