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23" activeTab="50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19" r:id="rId19"/>
    <sheet name="Item20" sheetId="20" r:id="rId20"/>
    <sheet name="Item21" sheetId="21" r:id="rId21"/>
    <sheet name="Item22" sheetId="22" r:id="rId22"/>
    <sheet name="Item23" sheetId="23" r:id="rId23"/>
    <sheet name="Item24" sheetId="24" r:id="rId24"/>
    <sheet name="Item25" sheetId="25" r:id="rId25"/>
    <sheet name="Item26" sheetId="26" r:id="rId26"/>
    <sheet name="Item27" sheetId="27" r:id="rId27"/>
    <sheet name="Item28" sheetId="28" r:id="rId28"/>
    <sheet name="Item29" sheetId="29" r:id="rId29"/>
    <sheet name="Item30" sheetId="30" r:id="rId30"/>
    <sheet name="Item31" sheetId="31" r:id="rId31"/>
    <sheet name="Item32" sheetId="32" state="hidden" r:id="rId32"/>
    <sheet name="Item33" sheetId="33" state="hidden" r:id="rId33"/>
    <sheet name="Item34" sheetId="34" state="hidden" r:id="rId34"/>
    <sheet name="Item35" sheetId="35" state="hidden" r:id="rId35"/>
    <sheet name="Item36" sheetId="36" state="hidden" r:id="rId36"/>
    <sheet name="Item37" sheetId="37" state="hidden" r:id="rId37"/>
    <sheet name="Item38" sheetId="38" state="hidden" r:id="rId38"/>
    <sheet name="Item39" sheetId="39" state="hidden" r:id="rId39"/>
    <sheet name="Item40" sheetId="40" state="hidden" r:id="rId40"/>
    <sheet name="Item41" sheetId="41" state="hidden" r:id="rId41"/>
    <sheet name="Item42" sheetId="42" state="hidden" r:id="rId42"/>
    <sheet name="Item43" sheetId="43" state="hidden" r:id="rId43"/>
    <sheet name="Item44" sheetId="44" state="hidden" r:id="rId44"/>
    <sheet name="Item45" sheetId="45" state="hidden" r:id="rId45"/>
    <sheet name="Item46" sheetId="46" state="hidden" r:id="rId46"/>
    <sheet name="Item47" sheetId="47" state="hidden" r:id="rId47"/>
    <sheet name="Item48" sheetId="48" state="hidden" r:id="rId48"/>
    <sheet name="Item49" sheetId="49" state="hidden" r:id="rId49"/>
    <sheet name="Item50" sheetId="50" state="hidden" r:id="rId50"/>
    <sheet name="TOTAL" sheetId="51" r:id="rId51"/>
  </sheets>
  <definedNames>
    <definedName name="_xlnm.Print_Area" localSheetId="50">TOTAL!$A$1:$F$41</definedName>
    <definedName name="Print_Area_0" localSheetId="50">TOTAL!$A$8:$F$41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0" i="51" l="1"/>
  <c r="C40" i="51"/>
  <c r="B40" i="51"/>
  <c r="D39" i="51"/>
  <c r="C39" i="51"/>
  <c r="B39" i="51"/>
  <c r="D38" i="51"/>
  <c r="C38" i="51"/>
  <c r="B38" i="51"/>
  <c r="D37" i="51"/>
  <c r="C37" i="51"/>
  <c r="B37" i="51"/>
  <c r="D36" i="51"/>
  <c r="C36" i="51"/>
  <c r="B36" i="51"/>
  <c r="D35" i="51"/>
  <c r="C35" i="51"/>
  <c r="B35" i="51"/>
  <c r="D34" i="51"/>
  <c r="C34" i="51"/>
  <c r="B34" i="51"/>
  <c r="D33" i="51"/>
  <c r="C33" i="51"/>
  <c r="B33" i="51"/>
  <c r="D32" i="51"/>
  <c r="C32" i="51"/>
  <c r="B32" i="51"/>
  <c r="D31" i="51"/>
  <c r="C31" i="51"/>
  <c r="B31" i="51"/>
  <c r="D30" i="51"/>
  <c r="C30" i="51"/>
  <c r="B30" i="51"/>
  <c r="D29" i="51"/>
  <c r="C29" i="51"/>
  <c r="B29" i="51"/>
  <c r="D28" i="51"/>
  <c r="C28" i="51"/>
  <c r="B28" i="51"/>
  <c r="D27" i="51"/>
  <c r="C27" i="51"/>
  <c r="B27" i="51"/>
  <c r="D26" i="51"/>
  <c r="C26" i="51"/>
  <c r="B26" i="51"/>
  <c r="D25" i="51"/>
  <c r="C25" i="51"/>
  <c r="B25" i="51"/>
  <c r="D24" i="51"/>
  <c r="C24" i="51"/>
  <c r="B24" i="51"/>
  <c r="D23" i="51"/>
  <c r="C23" i="51"/>
  <c r="B23" i="51"/>
  <c r="D22" i="51"/>
  <c r="C22" i="51"/>
  <c r="B22" i="51"/>
  <c r="D21" i="51"/>
  <c r="C21" i="51"/>
  <c r="B21" i="51"/>
  <c r="D20" i="51"/>
  <c r="C20" i="51"/>
  <c r="B20" i="51"/>
  <c r="D19" i="51"/>
  <c r="C19" i="51"/>
  <c r="B19" i="51"/>
  <c r="D18" i="51"/>
  <c r="C18" i="51"/>
  <c r="B18" i="51"/>
  <c r="D17" i="51"/>
  <c r="C17" i="51"/>
  <c r="B17" i="51"/>
  <c r="D16" i="51"/>
  <c r="C16" i="51"/>
  <c r="B16" i="51"/>
  <c r="D15" i="51"/>
  <c r="C15" i="51"/>
  <c r="B15" i="51"/>
  <c r="D14" i="51"/>
  <c r="C14" i="51"/>
  <c r="B14" i="51"/>
  <c r="D13" i="51"/>
  <c r="C13" i="51"/>
  <c r="B13" i="51"/>
  <c r="D12" i="51"/>
  <c r="C12" i="51"/>
  <c r="B12" i="51"/>
  <c r="D11" i="51"/>
  <c r="C11" i="51"/>
  <c r="B11" i="51"/>
  <c r="D10" i="51"/>
  <c r="C10" i="51"/>
  <c r="B10" i="51"/>
  <c r="H20" i="50"/>
  <c r="G20" i="50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H20" i="49"/>
  <c r="G20" i="49" s="1"/>
  <c r="F20" i="49"/>
  <c r="D20" i="49"/>
  <c r="B20" i="49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H20" i="48"/>
  <c r="G20" i="48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H20" i="47"/>
  <c r="G20" i="47" s="1"/>
  <c r="F20" i="47"/>
  <c r="D20" i="47"/>
  <c r="B20" i="47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H20" i="46"/>
  <c r="G20" i="4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F3" i="45"/>
  <c r="H20" i="44"/>
  <c r="G20" i="44" s="1"/>
  <c r="F20" i="44"/>
  <c r="D20" i="44"/>
  <c r="B20" i="44"/>
  <c r="I17" i="44"/>
  <c r="I16" i="44"/>
  <c r="I15" i="44"/>
  <c r="I14" i="44"/>
  <c r="I13" i="44"/>
  <c r="I12" i="44"/>
  <c r="I11" i="44"/>
  <c r="I10" i="44"/>
  <c r="I9" i="44"/>
  <c r="I8" i="44"/>
  <c r="I7" i="44"/>
  <c r="I6" i="44"/>
  <c r="F3" i="44"/>
  <c r="H20" i="43"/>
  <c r="G20" i="43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F3" i="43"/>
  <c r="H20" i="42"/>
  <c r="G20" i="42" s="1"/>
  <c r="F20" i="42"/>
  <c r="D20" i="42"/>
  <c r="B20" i="42"/>
  <c r="A20" i="42" s="1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I4" i="42"/>
  <c r="F3" i="42"/>
  <c r="H20" i="41"/>
  <c r="G20" i="41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F3" i="41"/>
  <c r="H20" i="40"/>
  <c r="G20" i="40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H20" i="39"/>
  <c r="G20" i="39" s="1"/>
  <c r="F20" i="39"/>
  <c r="D20" i="39"/>
  <c r="B20" i="39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H20" i="38"/>
  <c r="G20" i="38"/>
  <c r="F20" i="38"/>
  <c r="D20" i="38"/>
  <c r="B20" i="38"/>
  <c r="A20" i="38"/>
  <c r="C20" i="38" s="1"/>
  <c r="I17" i="38"/>
  <c r="I16" i="38"/>
  <c r="I15" i="38"/>
  <c r="I14" i="38"/>
  <c r="I13" i="38"/>
  <c r="I12" i="38"/>
  <c r="I11" i="38"/>
  <c r="I10" i="38"/>
  <c r="I9" i="38"/>
  <c r="I8" i="38"/>
  <c r="I7" i="38"/>
  <c r="I6" i="38"/>
  <c r="I4" i="38"/>
  <c r="F3" i="38"/>
  <c r="H20" i="37"/>
  <c r="G20" i="37" s="1"/>
  <c r="F20" i="37"/>
  <c r="D20" i="37"/>
  <c r="B20" i="37"/>
  <c r="I17" i="37"/>
  <c r="I16" i="37"/>
  <c r="I15" i="37"/>
  <c r="I14" i="37"/>
  <c r="I13" i="37"/>
  <c r="I12" i="37"/>
  <c r="I11" i="37"/>
  <c r="I10" i="37"/>
  <c r="I9" i="37"/>
  <c r="I8" i="37"/>
  <c r="I7" i="37"/>
  <c r="I6" i="37"/>
  <c r="F3" i="37"/>
  <c r="H20" i="36"/>
  <c r="G20" i="36"/>
  <c r="F20" i="36"/>
  <c r="D20" i="36"/>
  <c r="B20" i="36"/>
  <c r="A20" i="36"/>
  <c r="C20" i="36" s="1"/>
  <c r="I17" i="36"/>
  <c r="I16" i="36"/>
  <c r="I15" i="36"/>
  <c r="I14" i="36"/>
  <c r="I13" i="36"/>
  <c r="I12" i="36"/>
  <c r="I11" i="36"/>
  <c r="I10" i="36"/>
  <c r="I9" i="36"/>
  <c r="I8" i="36"/>
  <c r="I7" i="36"/>
  <c r="I6" i="36"/>
  <c r="I4" i="36"/>
  <c r="F3" i="36"/>
  <c r="H20" i="35"/>
  <c r="G20" i="35" s="1"/>
  <c r="F20" i="35"/>
  <c r="D20" i="35"/>
  <c r="B20" i="35"/>
  <c r="I17" i="35"/>
  <c r="I16" i="35"/>
  <c r="I15" i="35"/>
  <c r="I14" i="35"/>
  <c r="I13" i="35"/>
  <c r="I12" i="35"/>
  <c r="I11" i="35"/>
  <c r="I10" i="35"/>
  <c r="I9" i="35"/>
  <c r="I8" i="35"/>
  <c r="I7" i="35"/>
  <c r="I6" i="35"/>
  <c r="F3" i="35"/>
  <c r="H20" i="34"/>
  <c r="G20" i="34"/>
  <c r="F20" i="34"/>
  <c r="D20" i="34"/>
  <c r="B20" i="34"/>
  <c r="A20" i="34"/>
  <c r="C20" i="34" s="1"/>
  <c r="I4" i="34" s="1"/>
  <c r="I17" i="34"/>
  <c r="I16" i="34"/>
  <c r="I15" i="34"/>
  <c r="I14" i="34"/>
  <c r="I13" i="34"/>
  <c r="I12" i="34"/>
  <c r="I11" i="34"/>
  <c r="I10" i="34"/>
  <c r="I9" i="34"/>
  <c r="I8" i="34"/>
  <c r="I7" i="34"/>
  <c r="I6" i="34"/>
  <c r="F3" i="34"/>
  <c r="H20" i="33"/>
  <c r="G20" i="33" s="1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I4" i="32"/>
  <c r="F3" i="32"/>
  <c r="I17" i="31"/>
  <c r="I16" i="31"/>
  <c r="I15" i="31"/>
  <c r="I14" i="31"/>
  <c r="I13" i="31"/>
  <c r="H12" i="31"/>
  <c r="H11" i="31"/>
  <c r="H10" i="31"/>
  <c r="H9" i="31"/>
  <c r="H8" i="31"/>
  <c r="H7" i="31"/>
  <c r="B20" i="31" s="1"/>
  <c r="H6" i="31"/>
  <c r="H5" i="31"/>
  <c r="H4" i="31"/>
  <c r="H3" i="31"/>
  <c r="H20" i="30"/>
  <c r="G20" i="30"/>
  <c r="F20" i="30"/>
  <c r="D20" i="30"/>
  <c r="C20" i="30"/>
  <c r="B20" i="30"/>
  <c r="A20" i="30"/>
  <c r="I17" i="30"/>
  <c r="I16" i="30"/>
  <c r="I15" i="30"/>
  <c r="I14" i="30"/>
  <c r="I13" i="30"/>
  <c r="I12" i="30"/>
  <c r="F3" i="30"/>
  <c r="H20" i="29"/>
  <c r="G20" i="29" s="1"/>
  <c r="F20" i="29"/>
  <c r="D20" i="29"/>
  <c r="B20" i="29"/>
  <c r="I17" i="29"/>
  <c r="I16" i="29"/>
  <c r="I15" i="29"/>
  <c r="I14" i="29"/>
  <c r="F3" i="29"/>
  <c r="H20" i="28"/>
  <c r="G20" i="28"/>
  <c r="F20" i="28"/>
  <c r="D20" i="28"/>
  <c r="C20" i="28"/>
  <c r="H22" i="28" s="1"/>
  <c r="H23" i="28" s="1"/>
  <c r="B20" i="28"/>
  <c r="A20" i="28"/>
  <c r="I17" i="28"/>
  <c r="I16" i="28"/>
  <c r="I15" i="28"/>
  <c r="I14" i="28"/>
  <c r="I13" i="28"/>
  <c r="F3" i="28"/>
  <c r="H20" i="27"/>
  <c r="G20" i="27" s="1"/>
  <c r="F20" i="27"/>
  <c r="D20" i="27"/>
  <c r="B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F3" i="27"/>
  <c r="H20" i="26"/>
  <c r="G20" i="26"/>
  <c r="F20" i="26"/>
  <c r="D20" i="26"/>
  <c r="C20" i="26"/>
  <c r="B20" i="26"/>
  <c r="A20" i="26"/>
  <c r="I17" i="26"/>
  <c r="I16" i="26"/>
  <c r="I15" i="26"/>
  <c r="I14" i="26"/>
  <c r="I13" i="26"/>
  <c r="I12" i="26"/>
  <c r="I11" i="26"/>
  <c r="I10" i="26"/>
  <c r="I9" i="26"/>
  <c r="I8" i="26"/>
  <c r="F3" i="26"/>
  <c r="H20" i="25"/>
  <c r="G20" i="25" s="1"/>
  <c r="F20" i="25"/>
  <c r="D20" i="25"/>
  <c r="B20" i="25"/>
  <c r="I17" i="25"/>
  <c r="I16" i="25"/>
  <c r="I15" i="25"/>
  <c r="I14" i="25"/>
  <c r="I13" i="25"/>
  <c r="I12" i="25"/>
  <c r="I11" i="25"/>
  <c r="F3" i="25"/>
  <c r="H20" i="24"/>
  <c r="G20" i="24"/>
  <c r="F20" i="24"/>
  <c r="D20" i="24"/>
  <c r="C20" i="24"/>
  <c r="B20" i="24"/>
  <c r="A20" i="24"/>
  <c r="I17" i="24"/>
  <c r="I16" i="24"/>
  <c r="I15" i="24"/>
  <c r="I14" i="24"/>
  <c r="I13" i="24"/>
  <c r="I12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F3" i="23"/>
  <c r="H20" i="22"/>
  <c r="G20" i="22"/>
  <c r="F20" i="22"/>
  <c r="D20" i="22"/>
  <c r="C20" i="22"/>
  <c r="I8" i="22" s="1"/>
  <c r="B20" i="22"/>
  <c r="A20" i="22"/>
  <c r="I17" i="22"/>
  <c r="I16" i="22"/>
  <c r="I15" i="22"/>
  <c r="I14" i="22"/>
  <c r="I13" i="22"/>
  <c r="I12" i="22"/>
  <c r="I11" i="22"/>
  <c r="I10" i="22"/>
  <c r="I4" i="22"/>
  <c r="F3" i="22"/>
  <c r="H20" i="21"/>
  <c r="G20" i="21" s="1"/>
  <c r="F20" i="21"/>
  <c r="D20" i="21"/>
  <c r="B20" i="21"/>
  <c r="I17" i="21"/>
  <c r="I16" i="21"/>
  <c r="I15" i="21"/>
  <c r="I14" i="21"/>
  <c r="I13" i="21"/>
  <c r="I12" i="21"/>
  <c r="I11" i="21"/>
  <c r="I10" i="21"/>
  <c r="I9" i="21"/>
  <c r="I8" i="21"/>
  <c r="I7" i="21"/>
  <c r="I6" i="21"/>
  <c r="F3" i="21"/>
  <c r="H20" i="20"/>
  <c r="G20" i="20"/>
  <c r="F20" i="20"/>
  <c r="D20" i="20"/>
  <c r="C20" i="20"/>
  <c r="I6" i="20" s="1"/>
  <c r="B20" i="20"/>
  <c r="A20" i="20"/>
  <c r="I17" i="20"/>
  <c r="I16" i="20"/>
  <c r="I15" i="20"/>
  <c r="I14" i="20"/>
  <c r="I13" i="20"/>
  <c r="I12" i="20"/>
  <c r="I11" i="20"/>
  <c r="I10" i="20"/>
  <c r="I9" i="20"/>
  <c r="I8" i="20"/>
  <c r="F3" i="20"/>
  <c r="H20" i="19"/>
  <c r="G20" i="19" s="1"/>
  <c r="F20" i="19"/>
  <c r="D20" i="19"/>
  <c r="B20" i="19"/>
  <c r="I17" i="19"/>
  <c r="I16" i="19"/>
  <c r="I15" i="19"/>
  <c r="I14" i="19"/>
  <c r="I13" i="19"/>
  <c r="I12" i="19"/>
  <c r="I11" i="19"/>
  <c r="I10" i="19"/>
  <c r="I9" i="19"/>
  <c r="I8" i="19"/>
  <c r="I7" i="19"/>
  <c r="F3" i="19"/>
  <c r="H20" i="18"/>
  <c r="G20" i="18"/>
  <c r="F20" i="18"/>
  <c r="D20" i="18"/>
  <c r="C20" i="18"/>
  <c r="I11" i="18" s="1"/>
  <c r="B20" i="18"/>
  <c r="A20" i="18"/>
  <c r="I17" i="18"/>
  <c r="I14" i="18"/>
  <c r="I12" i="18"/>
  <c r="I8" i="18"/>
  <c r="I5" i="18"/>
  <c r="I4" i="18"/>
  <c r="F3" i="18"/>
  <c r="F20" i="17"/>
  <c r="I17" i="17"/>
  <c r="I16" i="17"/>
  <c r="I15" i="17"/>
  <c r="I14" i="17"/>
  <c r="I13" i="17"/>
  <c r="H12" i="17"/>
  <c r="H11" i="17"/>
  <c r="H10" i="17"/>
  <c r="H9" i="17"/>
  <c r="H8" i="17"/>
  <c r="H7" i="17"/>
  <c r="H6" i="17"/>
  <c r="H5" i="17"/>
  <c r="H4" i="17"/>
  <c r="H20" i="17" s="1"/>
  <c r="G20" i="17" s="1"/>
  <c r="H3" i="17"/>
  <c r="F3" i="17"/>
  <c r="H20" i="16"/>
  <c r="G20" i="16"/>
  <c r="F20" i="16"/>
  <c r="D20" i="16"/>
  <c r="C20" i="16" s="1"/>
  <c r="B20" i="16"/>
  <c r="A20" i="16"/>
  <c r="I17" i="16"/>
  <c r="I16" i="16"/>
  <c r="I15" i="16"/>
  <c r="I14" i="16"/>
  <c r="I13" i="16"/>
  <c r="I12" i="16"/>
  <c r="F3" i="16"/>
  <c r="H20" i="15"/>
  <c r="G20" i="15"/>
  <c r="F20" i="15"/>
  <c r="D20" i="15"/>
  <c r="C20" i="15"/>
  <c r="I13" i="15" s="1"/>
  <c r="B20" i="15"/>
  <c r="E20" i="15" s="1"/>
  <c r="A20" i="15"/>
  <c r="I17" i="15"/>
  <c r="I16" i="15"/>
  <c r="I15" i="15"/>
  <c r="I14" i="15"/>
  <c r="I8" i="15"/>
  <c r="F3" i="15"/>
  <c r="H20" i="14"/>
  <c r="G20" i="14"/>
  <c r="F20" i="14"/>
  <c r="D20" i="14"/>
  <c r="C20" i="14" s="1"/>
  <c r="B20" i="14"/>
  <c r="A20" i="14"/>
  <c r="I17" i="14"/>
  <c r="I16" i="14"/>
  <c r="I15" i="14"/>
  <c r="I14" i="14"/>
  <c r="I13" i="14"/>
  <c r="I12" i="14"/>
  <c r="I11" i="14"/>
  <c r="I10" i="14"/>
  <c r="I9" i="14"/>
  <c r="I8" i="14"/>
  <c r="I7" i="14"/>
  <c r="F3" i="14"/>
  <c r="H20" i="13"/>
  <c r="G20" i="13"/>
  <c r="F20" i="13"/>
  <c r="D20" i="13"/>
  <c r="C20" i="13"/>
  <c r="I13" i="13" s="1"/>
  <c r="B20" i="13"/>
  <c r="A20" i="13"/>
  <c r="I14" i="13"/>
  <c r="I8" i="13"/>
  <c r="F3" i="13"/>
  <c r="H20" i="12"/>
  <c r="G20" i="12"/>
  <c r="F20" i="12"/>
  <c r="D20" i="12"/>
  <c r="C20" i="12" s="1"/>
  <c r="B20" i="12"/>
  <c r="A20" i="12"/>
  <c r="I17" i="12"/>
  <c r="I16" i="12"/>
  <c r="I15" i="12"/>
  <c r="I14" i="12"/>
  <c r="I13" i="12"/>
  <c r="I12" i="12"/>
  <c r="I11" i="12"/>
  <c r="I10" i="12"/>
  <c r="I9" i="12"/>
  <c r="I8" i="12"/>
  <c r="F3" i="12"/>
  <c r="H22" i="11"/>
  <c r="H23" i="11" s="1"/>
  <c r="H20" i="11"/>
  <c r="G20" i="11"/>
  <c r="F20" i="11"/>
  <c r="D20" i="11"/>
  <c r="C20" i="11"/>
  <c r="E3" i="11" s="1"/>
  <c r="E20" i="51" s="1"/>
  <c r="F20" i="51" s="1"/>
  <c r="B20" i="11"/>
  <c r="E20" i="11" s="1"/>
  <c r="A20" i="11"/>
  <c r="I17" i="11"/>
  <c r="I16" i="11"/>
  <c r="I15" i="11"/>
  <c r="I14" i="11"/>
  <c r="I13" i="11"/>
  <c r="I12" i="11"/>
  <c r="I11" i="11"/>
  <c r="I10" i="11"/>
  <c r="I9" i="11"/>
  <c r="I8" i="11"/>
  <c r="I7" i="11"/>
  <c r="I6" i="11"/>
  <c r="F3" i="11"/>
  <c r="H20" i="10"/>
  <c r="G20" i="10"/>
  <c r="F20" i="10"/>
  <c r="D20" i="10"/>
  <c r="C20" i="10" s="1"/>
  <c r="B20" i="10"/>
  <c r="A20" i="10"/>
  <c r="I17" i="10"/>
  <c r="I16" i="10"/>
  <c r="I15" i="10"/>
  <c r="I14" i="10"/>
  <c r="I13" i="10"/>
  <c r="I12" i="10"/>
  <c r="I11" i="10"/>
  <c r="I10" i="10"/>
  <c r="I9" i="10"/>
  <c r="I8" i="10"/>
  <c r="I7" i="10"/>
  <c r="I6" i="10"/>
  <c r="F3" i="10"/>
  <c r="H20" i="9"/>
  <c r="G20" i="9"/>
  <c r="F20" i="9"/>
  <c r="D20" i="9"/>
  <c r="C20" i="9"/>
  <c r="I7" i="9" s="1"/>
  <c r="B20" i="9"/>
  <c r="E20" i="9" s="1"/>
  <c r="A20" i="9"/>
  <c r="I17" i="9"/>
  <c r="I16" i="9"/>
  <c r="I15" i="9"/>
  <c r="I14" i="9"/>
  <c r="I13" i="9"/>
  <c r="I12" i="9"/>
  <c r="I11" i="9"/>
  <c r="I10" i="9"/>
  <c r="I9" i="9"/>
  <c r="I8" i="9"/>
  <c r="F3" i="9"/>
  <c r="H20" i="8"/>
  <c r="G20" i="8"/>
  <c r="F20" i="8"/>
  <c r="D20" i="8"/>
  <c r="C20" i="8" s="1"/>
  <c r="B20" i="8"/>
  <c r="A20" i="8"/>
  <c r="I17" i="8"/>
  <c r="I16" i="8"/>
  <c r="F3" i="8"/>
  <c r="H20" i="7"/>
  <c r="G20" i="7"/>
  <c r="F20" i="7"/>
  <c r="D20" i="7"/>
  <c r="C20" i="7"/>
  <c r="I13" i="7" s="1"/>
  <c r="B20" i="7"/>
  <c r="A20" i="7"/>
  <c r="I17" i="7"/>
  <c r="I16" i="7"/>
  <c r="I14" i="7"/>
  <c r="I8" i="7"/>
  <c r="F3" i="7"/>
  <c r="H20" i="6"/>
  <c r="G20" i="6"/>
  <c r="F20" i="6"/>
  <c r="D20" i="6"/>
  <c r="C20" i="6" s="1"/>
  <c r="B20" i="6"/>
  <c r="A20" i="6"/>
  <c r="I17" i="6"/>
  <c r="I16" i="6"/>
  <c r="I15" i="6"/>
  <c r="I14" i="6"/>
  <c r="I13" i="6"/>
  <c r="I12" i="6"/>
  <c r="F3" i="6"/>
  <c r="H20" i="5"/>
  <c r="G20" i="5"/>
  <c r="F20" i="5"/>
  <c r="D20" i="5"/>
  <c r="C20" i="5"/>
  <c r="I7" i="5" s="1"/>
  <c r="B20" i="5"/>
  <c r="A20" i="5"/>
  <c r="I17" i="5"/>
  <c r="I16" i="5"/>
  <c r="I15" i="5"/>
  <c r="I14" i="5"/>
  <c r="I13" i="5"/>
  <c r="I12" i="5"/>
  <c r="I11" i="5"/>
  <c r="I10" i="5"/>
  <c r="I9" i="5"/>
  <c r="I8" i="5"/>
  <c r="F3" i="5"/>
  <c r="H20" i="4"/>
  <c r="G20" i="4"/>
  <c r="F20" i="4"/>
  <c r="D20" i="4"/>
  <c r="C20" i="4" s="1"/>
  <c r="B20" i="4"/>
  <c r="A20" i="4"/>
  <c r="I17" i="4"/>
  <c r="I16" i="4"/>
  <c r="I15" i="4"/>
  <c r="I14" i="4"/>
  <c r="I13" i="4"/>
  <c r="I12" i="4"/>
  <c r="I11" i="4"/>
  <c r="I10" i="4"/>
  <c r="I9" i="4"/>
  <c r="F3" i="4"/>
  <c r="H20" i="3"/>
  <c r="G20" i="3"/>
  <c r="F20" i="3"/>
  <c r="D20" i="3"/>
  <c r="C20" i="3"/>
  <c r="I7" i="3" s="1"/>
  <c r="B20" i="3"/>
  <c r="E20" i="3" s="1"/>
  <c r="A20" i="3"/>
  <c r="I17" i="3"/>
  <c r="I16" i="3"/>
  <c r="I15" i="3"/>
  <c r="I14" i="3"/>
  <c r="I13" i="3"/>
  <c r="I8" i="3"/>
  <c r="F3" i="3"/>
  <c r="H20" i="2"/>
  <c r="G20" i="2"/>
  <c r="F20" i="2"/>
  <c r="D20" i="2"/>
  <c r="C20" i="2"/>
  <c r="B20" i="2"/>
  <c r="A20" i="2"/>
  <c r="I17" i="2"/>
  <c r="I16" i="2"/>
  <c r="I15" i="2"/>
  <c r="I14" i="2"/>
  <c r="I13" i="2"/>
  <c r="I12" i="2"/>
  <c r="I11" i="2"/>
  <c r="I8" i="2"/>
  <c r="I5" i="2"/>
  <c r="F3" i="2"/>
  <c r="H20" i="1"/>
  <c r="G20" i="1"/>
  <c r="F20" i="1"/>
  <c r="D20" i="1"/>
  <c r="C20" i="1"/>
  <c r="I7" i="1" s="1"/>
  <c r="B20" i="1"/>
  <c r="E20" i="1" s="1"/>
  <c r="A20" i="1"/>
  <c r="I17" i="1"/>
  <c r="I16" i="1"/>
  <c r="I15" i="1"/>
  <c r="I14" i="1"/>
  <c r="I13" i="1"/>
  <c r="I12" i="1"/>
  <c r="I11" i="1"/>
  <c r="I10" i="1"/>
  <c r="I9" i="1"/>
  <c r="I8" i="1"/>
  <c r="F3" i="1"/>
  <c r="E20" i="8" l="1"/>
  <c r="I10" i="8"/>
  <c r="I4" i="8"/>
  <c r="I15" i="8"/>
  <c r="I9" i="8"/>
  <c r="I3" i="8"/>
  <c r="H22" i="8"/>
  <c r="H23" i="8" s="1"/>
  <c r="I14" i="8"/>
  <c r="I8" i="8"/>
  <c r="I13" i="8"/>
  <c r="I7" i="8"/>
  <c r="E3" i="8"/>
  <c r="E17" i="51" s="1"/>
  <c r="F17" i="51" s="1"/>
  <c r="I6" i="8"/>
  <c r="I5" i="8"/>
  <c r="I12" i="8"/>
  <c r="I11" i="8"/>
  <c r="I4" i="14"/>
  <c r="I3" i="14"/>
  <c r="E20" i="14" s="1"/>
  <c r="I6" i="14"/>
  <c r="I5" i="14"/>
  <c r="I4" i="10"/>
  <c r="I3" i="10"/>
  <c r="E20" i="10" s="1"/>
  <c r="I5" i="10"/>
  <c r="I4" i="4"/>
  <c r="I3" i="4"/>
  <c r="E20" i="4" s="1"/>
  <c r="I8" i="4"/>
  <c r="I7" i="4"/>
  <c r="I6" i="4"/>
  <c r="I5" i="4"/>
  <c r="E20" i="6"/>
  <c r="E3" i="6" s="1"/>
  <c r="E15" i="51" s="1"/>
  <c r="F15" i="51" s="1"/>
  <c r="I10" i="6"/>
  <c r="I4" i="6"/>
  <c r="I11" i="6"/>
  <c r="I9" i="6"/>
  <c r="I3" i="6"/>
  <c r="I8" i="6"/>
  <c r="I7" i="6"/>
  <c r="I6" i="6"/>
  <c r="I5" i="6"/>
  <c r="I4" i="12"/>
  <c r="I3" i="12"/>
  <c r="I7" i="12"/>
  <c r="I6" i="12"/>
  <c r="E20" i="12" s="1"/>
  <c r="I5" i="12"/>
  <c r="E20" i="16"/>
  <c r="I10" i="16"/>
  <c r="I4" i="16"/>
  <c r="I9" i="16"/>
  <c r="I3" i="16"/>
  <c r="H22" i="16"/>
  <c r="H23" i="16" s="1"/>
  <c r="I8" i="16"/>
  <c r="I7" i="16"/>
  <c r="E3" i="16"/>
  <c r="E25" i="51" s="1"/>
  <c r="F25" i="51" s="1"/>
  <c r="I11" i="16"/>
  <c r="I5" i="16"/>
  <c r="I6" i="16"/>
  <c r="A20" i="31"/>
  <c r="C20" i="31" s="1"/>
  <c r="I7" i="26"/>
  <c r="I6" i="26"/>
  <c r="I5" i="26"/>
  <c r="I4" i="26"/>
  <c r="E20" i="26" s="1"/>
  <c r="I3" i="26"/>
  <c r="I7" i="30"/>
  <c r="E3" i="30"/>
  <c r="E39" i="51" s="1"/>
  <c r="F39" i="51" s="1"/>
  <c r="I6" i="30"/>
  <c r="I11" i="30"/>
  <c r="I5" i="30"/>
  <c r="E20" i="30"/>
  <c r="I10" i="30"/>
  <c r="I4" i="30"/>
  <c r="I9" i="30"/>
  <c r="I3" i="30"/>
  <c r="I3" i="1"/>
  <c r="I3" i="5"/>
  <c r="E20" i="5" s="1"/>
  <c r="I3" i="9"/>
  <c r="I3" i="11"/>
  <c r="I3" i="13"/>
  <c r="E20" i="13" s="1"/>
  <c r="I9" i="13"/>
  <c r="I15" i="13"/>
  <c r="I3" i="15"/>
  <c r="I9" i="15"/>
  <c r="B20" i="17"/>
  <c r="I10" i="18"/>
  <c r="A20" i="19"/>
  <c r="C20" i="19" s="1"/>
  <c r="I4" i="20"/>
  <c r="A20" i="21"/>
  <c r="C20" i="21" s="1"/>
  <c r="I8" i="24"/>
  <c r="I8" i="28"/>
  <c r="D20" i="31"/>
  <c r="I3" i="32"/>
  <c r="E20" i="32" s="1"/>
  <c r="E3" i="32" s="1"/>
  <c r="H22" i="32"/>
  <c r="H23" i="32" s="1"/>
  <c r="I5" i="32"/>
  <c r="A20" i="35"/>
  <c r="C20" i="35" s="1"/>
  <c r="I3" i="36"/>
  <c r="I5" i="36"/>
  <c r="A20" i="39"/>
  <c r="C20" i="39" s="1"/>
  <c r="H22" i="1"/>
  <c r="H23" i="1" s="1"/>
  <c r="H22" i="9"/>
  <c r="H23" i="9" s="1"/>
  <c r="H22" i="15"/>
  <c r="H23" i="15" s="1"/>
  <c r="I7" i="22"/>
  <c r="I6" i="22"/>
  <c r="I5" i="22"/>
  <c r="E20" i="22" s="1"/>
  <c r="I9" i="22"/>
  <c r="I3" i="22"/>
  <c r="A20" i="49"/>
  <c r="C20" i="49"/>
  <c r="I6" i="2"/>
  <c r="I3" i="3"/>
  <c r="I9" i="3"/>
  <c r="I3" i="7"/>
  <c r="E20" i="7" s="1"/>
  <c r="I9" i="7"/>
  <c r="I15" i="7"/>
  <c r="I4" i="1"/>
  <c r="I7" i="2"/>
  <c r="I4" i="3"/>
  <c r="I10" i="3"/>
  <c r="I4" i="5"/>
  <c r="I4" i="7"/>
  <c r="I10" i="7"/>
  <c r="I4" i="9"/>
  <c r="I4" i="11"/>
  <c r="I4" i="13"/>
  <c r="I10" i="13"/>
  <c r="I16" i="13"/>
  <c r="I4" i="15"/>
  <c r="I10" i="15"/>
  <c r="A20" i="41"/>
  <c r="C20" i="41"/>
  <c r="I3" i="42"/>
  <c r="E20" i="42" s="1"/>
  <c r="H22" i="42" s="1"/>
  <c r="H23" i="42" s="1"/>
  <c r="I5" i="42"/>
  <c r="I5" i="1"/>
  <c r="I5" i="3"/>
  <c r="I11" i="3"/>
  <c r="I5" i="5"/>
  <c r="I5" i="7"/>
  <c r="I11" i="7"/>
  <c r="I5" i="9"/>
  <c r="I5" i="11"/>
  <c r="I5" i="13"/>
  <c r="I11" i="13"/>
  <c r="I17" i="13"/>
  <c r="I5" i="15"/>
  <c r="I11" i="15"/>
  <c r="D20" i="17"/>
  <c r="I13" i="18"/>
  <c r="I7" i="18"/>
  <c r="I15" i="18"/>
  <c r="I9" i="18"/>
  <c r="I3" i="18"/>
  <c r="I7" i="20"/>
  <c r="I5" i="20"/>
  <c r="E20" i="20" s="1"/>
  <c r="I3" i="20"/>
  <c r="I7" i="28"/>
  <c r="E3" i="28"/>
  <c r="E37" i="51" s="1"/>
  <c r="F37" i="51" s="1"/>
  <c r="I12" i="28"/>
  <c r="I6" i="28"/>
  <c r="I11" i="28"/>
  <c r="I5" i="28"/>
  <c r="E20" i="28"/>
  <c r="I10" i="28"/>
  <c r="I4" i="28"/>
  <c r="I9" i="28"/>
  <c r="I3" i="28"/>
  <c r="I8" i="30"/>
  <c r="A20" i="43"/>
  <c r="C20" i="43"/>
  <c r="C20" i="44"/>
  <c r="I6" i="1"/>
  <c r="I9" i="2"/>
  <c r="I6" i="3"/>
  <c r="I6" i="13"/>
  <c r="I12" i="13"/>
  <c r="I6" i="15"/>
  <c r="I12" i="15"/>
  <c r="I7" i="24"/>
  <c r="I6" i="24"/>
  <c r="I11" i="24"/>
  <c r="I5" i="24"/>
  <c r="I10" i="24"/>
  <c r="I4" i="24"/>
  <c r="I9" i="24"/>
  <c r="I3" i="24"/>
  <c r="E20" i="24" s="1"/>
  <c r="H20" i="31"/>
  <c r="G20" i="31" s="1"/>
  <c r="A20" i="33"/>
  <c r="C20" i="33"/>
  <c r="I3" i="34"/>
  <c r="E20" i="34" s="1"/>
  <c r="I5" i="34"/>
  <c r="A20" i="37"/>
  <c r="C20" i="37" s="1"/>
  <c r="I3" i="38"/>
  <c r="E20" i="38" s="1"/>
  <c r="I5" i="38"/>
  <c r="A20" i="45"/>
  <c r="C20" i="45" s="1"/>
  <c r="H22" i="3"/>
  <c r="H23" i="3" s="1"/>
  <c r="I3" i="2"/>
  <c r="E20" i="2" s="1"/>
  <c r="I12" i="3"/>
  <c r="I6" i="5"/>
  <c r="I6" i="7"/>
  <c r="I12" i="7"/>
  <c r="I6" i="9"/>
  <c r="E3" i="1"/>
  <c r="E10" i="51" s="1"/>
  <c r="F10" i="51" s="1"/>
  <c r="I4" i="2"/>
  <c r="I10" i="2"/>
  <c r="E3" i="3"/>
  <c r="E12" i="51" s="1"/>
  <c r="F12" i="51" s="1"/>
  <c r="I7" i="7"/>
  <c r="E3" i="9"/>
  <c r="E18" i="51" s="1"/>
  <c r="F18" i="51" s="1"/>
  <c r="I7" i="13"/>
  <c r="E3" i="15"/>
  <c r="E24" i="51" s="1"/>
  <c r="F24" i="51" s="1"/>
  <c r="I7" i="15"/>
  <c r="I6" i="18"/>
  <c r="E20" i="18" s="1"/>
  <c r="I16" i="18"/>
  <c r="H22" i="30"/>
  <c r="H23" i="30" s="1"/>
  <c r="A20" i="47"/>
  <c r="C20" i="47" s="1"/>
  <c r="A20" i="23"/>
  <c r="C20" i="23" s="1"/>
  <c r="A20" i="25"/>
  <c r="C20" i="25" s="1"/>
  <c r="A20" i="27"/>
  <c r="C20" i="27" s="1"/>
  <c r="A20" i="29"/>
  <c r="A20" i="40"/>
  <c r="C20" i="40" s="1"/>
  <c r="A20" i="44"/>
  <c r="A20" i="46"/>
  <c r="C20" i="46" s="1"/>
  <c r="A20" i="48"/>
  <c r="C20" i="48" s="1"/>
  <c r="A20" i="50"/>
  <c r="C20" i="50" s="1"/>
  <c r="C20" i="29"/>
  <c r="F3" i="31"/>
  <c r="F20" i="31"/>
  <c r="I4" i="23" l="1"/>
  <c r="I3" i="23"/>
  <c r="H22" i="23"/>
  <c r="H23" i="23" s="1"/>
  <c r="E3" i="23"/>
  <c r="E32" i="51" s="1"/>
  <c r="F32" i="51" s="1"/>
  <c r="I5" i="23"/>
  <c r="E20" i="23"/>
  <c r="I5" i="37"/>
  <c r="I4" i="37"/>
  <c r="E20" i="37" s="1"/>
  <c r="I3" i="37"/>
  <c r="H22" i="2"/>
  <c r="H23" i="2" s="1"/>
  <c r="E3" i="2"/>
  <c r="E11" i="51" s="1"/>
  <c r="F11" i="51" s="1"/>
  <c r="E3" i="4"/>
  <c r="E13" i="51" s="1"/>
  <c r="F13" i="51" s="1"/>
  <c r="H22" i="4"/>
  <c r="H23" i="4" s="1"/>
  <c r="I4" i="19"/>
  <c r="I6" i="19"/>
  <c r="I5" i="19"/>
  <c r="I3" i="19"/>
  <c r="E20" i="19" s="1"/>
  <c r="H22" i="14"/>
  <c r="H23" i="14" s="1"/>
  <c r="E3" i="14"/>
  <c r="E23" i="51" s="1"/>
  <c r="F23" i="51" s="1"/>
  <c r="H22" i="5"/>
  <c r="H23" i="5" s="1"/>
  <c r="E3" i="5"/>
  <c r="E14" i="51" s="1"/>
  <c r="F14" i="51" s="1"/>
  <c r="H22" i="20"/>
  <c r="H23" i="20" s="1"/>
  <c r="E3" i="20"/>
  <c r="E29" i="51" s="1"/>
  <c r="F29" i="51" s="1"/>
  <c r="H22" i="34"/>
  <c r="H23" i="34" s="1"/>
  <c r="E3" i="34"/>
  <c r="I5" i="39"/>
  <c r="E20" i="39" s="1"/>
  <c r="I4" i="39"/>
  <c r="I3" i="39"/>
  <c r="I5" i="45"/>
  <c r="E20" i="45" s="1"/>
  <c r="I4" i="45"/>
  <c r="I3" i="45"/>
  <c r="H22" i="13"/>
  <c r="H23" i="13" s="1"/>
  <c r="E3" i="13"/>
  <c r="E22" i="51" s="1"/>
  <c r="F22" i="51" s="1"/>
  <c r="I3" i="46"/>
  <c r="E20" i="46" s="1"/>
  <c r="I5" i="46"/>
  <c r="I4" i="46"/>
  <c r="H22" i="7"/>
  <c r="H23" i="7" s="1"/>
  <c r="E3" i="7"/>
  <c r="E16" i="51" s="1"/>
  <c r="F16" i="51" s="1"/>
  <c r="I5" i="47"/>
  <c r="I4" i="47"/>
  <c r="I3" i="47"/>
  <c r="E20" i="47" s="1"/>
  <c r="H22" i="12"/>
  <c r="H23" i="12" s="1"/>
  <c r="E3" i="12"/>
  <c r="E21" i="51" s="1"/>
  <c r="F21" i="51" s="1"/>
  <c r="I3" i="40"/>
  <c r="E20" i="40" s="1"/>
  <c r="I5" i="40"/>
  <c r="I4" i="40"/>
  <c r="I3" i="50"/>
  <c r="E20" i="50" s="1"/>
  <c r="I5" i="50"/>
  <c r="I4" i="50"/>
  <c r="I4" i="27"/>
  <c r="E20" i="27" s="1"/>
  <c r="I3" i="27"/>
  <c r="H22" i="18"/>
  <c r="H23" i="18" s="1"/>
  <c r="E3" i="18"/>
  <c r="E27" i="51" s="1"/>
  <c r="F27" i="51" s="1"/>
  <c r="H22" i="10"/>
  <c r="H23" i="10" s="1"/>
  <c r="E3" i="10"/>
  <c r="E19" i="51" s="1"/>
  <c r="F19" i="51" s="1"/>
  <c r="H22" i="24"/>
  <c r="H23" i="24" s="1"/>
  <c r="E3" i="24"/>
  <c r="E33" i="51" s="1"/>
  <c r="F33" i="51" s="1"/>
  <c r="I4" i="21"/>
  <c r="I3" i="21"/>
  <c r="H22" i="21"/>
  <c r="H23" i="21" s="1"/>
  <c r="E3" i="21"/>
  <c r="E30" i="51" s="1"/>
  <c r="F30" i="51" s="1"/>
  <c r="I5" i="21"/>
  <c r="E20" i="21"/>
  <c r="H22" i="26"/>
  <c r="H23" i="26" s="1"/>
  <c r="E3" i="26"/>
  <c r="E35" i="51" s="1"/>
  <c r="F35" i="51" s="1"/>
  <c r="E3" i="22"/>
  <c r="E31" i="51" s="1"/>
  <c r="F31" i="51" s="1"/>
  <c r="H22" i="22"/>
  <c r="H23" i="22" s="1"/>
  <c r="I3" i="48"/>
  <c r="I5" i="48"/>
  <c r="E20" i="48" s="1"/>
  <c r="I4" i="48"/>
  <c r="I10" i="25"/>
  <c r="I4" i="25"/>
  <c r="I9" i="25"/>
  <c r="I3" i="25"/>
  <c r="E20" i="25" s="1"/>
  <c r="I8" i="25"/>
  <c r="I7" i="25"/>
  <c r="I6" i="25"/>
  <c r="I5" i="25"/>
  <c r="H22" i="38"/>
  <c r="H23" i="38" s="1"/>
  <c r="E3" i="38"/>
  <c r="I5" i="35"/>
  <c r="I4" i="35"/>
  <c r="I3" i="35"/>
  <c r="E20" i="35" s="1"/>
  <c r="I5" i="31"/>
  <c r="I8" i="31"/>
  <c r="I11" i="31"/>
  <c r="I6" i="31"/>
  <c r="I7" i="31"/>
  <c r="I9" i="31"/>
  <c r="I3" i="31"/>
  <c r="I12" i="31"/>
  <c r="I4" i="31"/>
  <c r="E20" i="31" s="1"/>
  <c r="I10" i="31"/>
  <c r="I5" i="41"/>
  <c r="I4" i="41"/>
  <c r="I3" i="41"/>
  <c r="E20" i="41" s="1"/>
  <c r="I10" i="29"/>
  <c r="I4" i="29"/>
  <c r="I9" i="29"/>
  <c r="I3" i="29"/>
  <c r="H22" i="29"/>
  <c r="H23" i="29" s="1"/>
  <c r="I8" i="29"/>
  <c r="I13" i="29"/>
  <c r="I7" i="29"/>
  <c r="E3" i="29"/>
  <c r="E38" i="51" s="1"/>
  <c r="F38" i="51" s="1"/>
  <c r="I12" i="29"/>
  <c r="I6" i="29"/>
  <c r="I11" i="29"/>
  <c r="I5" i="29"/>
  <c r="H22" i="6"/>
  <c r="H23" i="6" s="1"/>
  <c r="A20" i="17"/>
  <c r="C20" i="17"/>
  <c r="E20" i="36"/>
  <c r="I3" i="44"/>
  <c r="E20" i="44" s="1"/>
  <c r="I5" i="44"/>
  <c r="I4" i="44"/>
  <c r="E3" i="42"/>
  <c r="E20" i="29"/>
  <c r="I5" i="33"/>
  <c r="I4" i="33"/>
  <c r="I3" i="33"/>
  <c r="E20" i="33" s="1"/>
  <c r="H22" i="33"/>
  <c r="H23" i="33" s="1"/>
  <c r="E3" i="33"/>
  <c r="I5" i="43"/>
  <c r="I4" i="43"/>
  <c r="I3" i="43"/>
  <c r="I5" i="49"/>
  <c r="I4" i="49"/>
  <c r="I3" i="49"/>
  <c r="H22" i="31" l="1"/>
  <c r="H23" i="31" s="1"/>
  <c r="E3" i="31"/>
  <c r="E40" i="51" s="1"/>
  <c r="F40" i="51" s="1"/>
  <c r="H22" i="37"/>
  <c r="H23" i="37" s="1"/>
  <c r="E3" i="37"/>
  <c r="H22" i="44"/>
  <c r="H23" i="44" s="1"/>
  <c r="E3" i="44"/>
  <c r="H22" i="41"/>
  <c r="H23" i="41" s="1"/>
  <c r="E3" i="41"/>
  <c r="H22" i="27"/>
  <c r="H23" i="27" s="1"/>
  <c r="E3" i="27"/>
  <c r="E36" i="51" s="1"/>
  <c r="F36" i="51" s="1"/>
  <c r="H22" i="50"/>
  <c r="H23" i="50" s="1"/>
  <c r="E3" i="50"/>
  <c r="H22" i="19"/>
  <c r="H23" i="19" s="1"/>
  <c r="E3" i="19"/>
  <c r="E28" i="51" s="1"/>
  <c r="F28" i="51" s="1"/>
  <c r="H22" i="25"/>
  <c r="H23" i="25" s="1"/>
  <c r="E3" i="25"/>
  <c r="E34" i="51" s="1"/>
  <c r="F34" i="51" s="1"/>
  <c r="H22" i="40"/>
  <c r="H23" i="40" s="1"/>
  <c r="E3" i="40"/>
  <c r="H22" i="35"/>
  <c r="H23" i="35" s="1"/>
  <c r="E3" i="35"/>
  <c r="H22" i="45"/>
  <c r="H23" i="45" s="1"/>
  <c r="E3" i="45"/>
  <c r="H22" i="46"/>
  <c r="H23" i="46" s="1"/>
  <c r="E3" i="46"/>
  <c r="H22" i="39"/>
  <c r="H23" i="39" s="1"/>
  <c r="E3" i="39"/>
  <c r="H22" i="47"/>
  <c r="H23" i="47" s="1"/>
  <c r="E3" i="47"/>
  <c r="E3" i="48"/>
  <c r="H22" i="48"/>
  <c r="H23" i="48" s="1"/>
  <c r="I10" i="17"/>
  <c r="I7" i="17"/>
  <c r="I4" i="17"/>
  <c r="I8" i="17"/>
  <c r="I5" i="17"/>
  <c r="I11" i="17"/>
  <c r="I12" i="17"/>
  <c r="I6" i="17"/>
  <c r="I3" i="17"/>
  <c r="E20" i="17" s="1"/>
  <c r="I9" i="17"/>
  <c r="E20" i="43"/>
  <c r="H22" i="36"/>
  <c r="H23" i="36" s="1"/>
  <c r="E3" i="36"/>
  <c r="E20" i="49"/>
  <c r="E3" i="17" l="1"/>
  <c r="E26" i="51" s="1"/>
  <c r="F26" i="51" s="1"/>
  <c r="F41" i="51" s="1"/>
  <c r="H22" i="17"/>
  <c r="H23" i="17" s="1"/>
  <c r="E3" i="43"/>
  <c r="H22" i="43"/>
  <c r="H23" i="43" s="1"/>
  <c r="H22" i="49"/>
  <c r="H23" i="49" s="1"/>
  <c r="E3" i="49"/>
</calcChain>
</file>

<file path=xl/sharedStrings.xml><?xml version="1.0" encoding="utf-8"?>
<sst xmlns="http://schemas.openxmlformats.org/spreadsheetml/2006/main" count="1704" uniqueCount="295">
  <si>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</si>
  <si>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</si>
  <si>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</si>
  <si>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</si>
  <si>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</si>
  <si>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</si>
  <si>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</si>
  <si>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</si>
  <si>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</si>
  <si>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</si>
  <si>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 xml:space="preserve">Copo plástico descartável – para Água Capacidade: 200 ml; Material: Poliestireno; De acordo com norma NBR 14865, da ABNT. Acondicionados em tiras de 100 unidades. </t>
  </si>
  <si>
    <t>centena</t>
  </si>
  <si>
    <t>A S D DA ROCHA</t>
  </si>
  <si>
    <t>JOAO ROBERTO SILVEIRA LOPES</t>
  </si>
  <si>
    <t>BONI DISTRIBUIDORA DE PRODUTOS DE LIMPEZA LTDA</t>
  </si>
  <si>
    <t>RAQUEL PEREIRA DOS SANTOS 04579366301</t>
  </si>
  <si>
    <t>DISTRIBUIDORA FLORIANO EIRELI</t>
  </si>
  <si>
    <t>SILVA SUPERMERCADO ATACADO E VAREJO LTDA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</si>
  <si>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</si>
  <si>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</si>
  <si>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</si>
  <si>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</si>
  <si>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</si>
  <si>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</si>
  <si>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</si>
  <si>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</si>
  <si>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</si>
  <si>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</si>
  <si>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</si>
  <si>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</si>
  <si>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</si>
  <si>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</si>
  <si>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</si>
  <si>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</si>
  <si>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</si>
  <si>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Copo plástico descartável – para Café Capacidade: 50 ml; Material: Poliestireno; De acordo com norma NBR 14865, da ABNT. Acondicionados em tiras de 100 unidades.</t>
  </si>
  <si>
    <t>RLDOK DISTRIBUIDORA DE MATERIAL E SERVICOS EIRELI</t>
  </si>
  <si>
    <t>OMEGA COMERCIO E SERVICOS EIRELI</t>
  </si>
  <si>
    <t>SUPERMERCADO SAO LUCAS LTDA</t>
  </si>
  <si>
    <t>COPEL COMERCIAL DE PECAS LTDA</t>
  </si>
  <si>
    <t>M. ROBERTO</t>
  </si>
  <si>
    <t>NOVO HORIZONTE COMERCIO DE PRODUTOS E ACESSORIOS DE LIMPEZA</t>
  </si>
  <si>
    <t>ITEM 3</t>
  </si>
  <si>
    <t>Garrafa Térmica de Pressão Capacidade: 1 litro; Material: plástico; Ampola de Vidro; Indicação expressa de conformidade com a norma NBR 13282/98 da ABNT.</t>
  </si>
  <si>
    <t>unidade</t>
  </si>
  <si>
    <t>EFICIENTE COMERCIO E SERVICOS EIRELI</t>
  </si>
  <si>
    <t>MERCADINHO BRUMADENSE EIRELI</t>
  </si>
  <si>
    <t>J. G. ABADIA COMERCIO</t>
  </si>
  <si>
    <t>RBM DISTRIBUIDORA E COMERCIO LTDA</t>
  </si>
  <si>
    <t>VANIA SOUZA COELHO LEPERES E CIA LTDA</t>
  </si>
  <si>
    <t>COMERCIAL MARELLY EIRELI</t>
  </si>
  <si>
    <t>LPK LTDA</t>
  </si>
  <si>
    <t>VERGE COMERCIO LTDA</t>
  </si>
  <si>
    <t>CAMINHO NOVO COMERCIO LTDA</t>
  </si>
  <si>
    <t>ITEM 4</t>
  </si>
  <si>
    <t>Garrafa plástica para água mineral Plástico, atóxico, transparente, resistente; Capacidade: 20 litros; Selo de adequação às normas ABNT NBR 14222, relativa ao seu processo de fabricação, e ABNT NBR 14328;  Fabricada no máximo a 06 meses contados da data de recebimento definitivo.</t>
  </si>
  <si>
    <t>BRASIL NORTE EMPREENDIMENTOS EIRELI</t>
  </si>
  <si>
    <t>J M VIEIRA - COMERCIO DE GAS E AGUA</t>
  </si>
  <si>
    <t>COBEL - COMERCIO DE BEBIDAS EIRELI</t>
  </si>
  <si>
    <t>AAAB COMERCIO DE ALIMENTOS LTDA</t>
  </si>
  <si>
    <t>UGOLINI CAMPOS EIRELI</t>
  </si>
  <si>
    <t>SEVERINA MUNIZ DE FIGUEIREDO NETA 69102902400</t>
  </si>
  <si>
    <t>ITEM 5</t>
  </si>
  <si>
    <t>Guardanapo de papel 100% em fibras virgens; Cor branca; Dimensões mínimas: 20 x 23 cm; Em embalagem plástica contendo no mínimo 48 unidades</t>
  </si>
  <si>
    <t>pacote</t>
  </si>
  <si>
    <t>LIMP MED COMERCIO DE MATERIAIS MEDICOS ORTOPEDICOS LTDA</t>
  </si>
  <si>
    <t>ELITE INDUSTRIA DE PAPEIS EIRELI</t>
  </si>
  <si>
    <t>INDUSTRIA E COMERCIO DE PRODUTOS DE LIMPEZA CAMPINENSE LTDA</t>
  </si>
  <si>
    <t>SUPRY OFFICE DISTRIBUIDORA DE MATERIAIS E SERVICOS LTDA</t>
  </si>
  <si>
    <t>ITEM 6</t>
  </si>
  <si>
    <t xml:space="preserve">Água sanitária Solução aquosa a base de hipoclorito de sódio, com funções alvejante e desinfetante; Frasco com 1.000 ml; Embalagem com impressão do nome do fabricante e indicação de registro na ANVISA/MS. Prazo de validade impresso na embalagem e não inferior a 11 meses contados da data de recebimento definitivo. O material deverá estar acondicionado em caixas com até 24 unidades </t>
  </si>
  <si>
    <t>frasco</t>
  </si>
  <si>
    <t>G C C COMERCIAL E SERVICOS P/ ESCRITORIOS EIRELI</t>
  </si>
  <si>
    <t>SQUADRA COMERCIO E SERVICOS LTDA</t>
  </si>
  <si>
    <t>ZAPP COMERCIO DE INFORMATICA E SERVICOS EIRELI</t>
  </si>
  <si>
    <t>D. LUCAS MOREIRA</t>
  </si>
  <si>
    <t>VRV SUPERMERCADO LTDA</t>
  </si>
  <si>
    <t>RODOLFO SILVA BEZERRA</t>
  </si>
  <si>
    <t>SOLUCCI DISTRIBUIDORA &amp; SERVICOS EIRELI</t>
  </si>
  <si>
    <t>BRAVERY INDUSTRIA E COMERCIO DE PRODUTOS DE HIGIENE E LIMPEZA</t>
  </si>
  <si>
    <t>R M LANZA DOS SANTOS COMERCIO</t>
  </si>
  <si>
    <t>ITEM 7</t>
  </si>
  <si>
    <t>Álcool Etílico em Gel 70% Sem perfume Frasco 500ml Fabricados conforme critérios estabelecidos pela ANVISA, com informação de data de fabricação e número de lote; Prazo de validade não inferior a 06 meses contados do recebimento definitivo. Álcool destinado à assepsia das mãos e objetos motivada pela situação de emergência de saúde pública internacional provocada pelo COVID –19.</t>
  </si>
  <si>
    <t>F G DE OLIVEIRA LTDA</t>
  </si>
  <si>
    <t>DRI ASSESSORIA EVENTOS E SERVICOS EIRELI</t>
  </si>
  <si>
    <t>NAIROBI PRODUTOS QUIMICOS LTDA</t>
  </si>
  <si>
    <t>MAGALHAES INDUSTRIA E COMERCIO EIRELI</t>
  </si>
  <si>
    <t>VINIX INDUSTRIA E COMERCIO EIRELI</t>
  </si>
  <si>
    <t>USUAI PRODUTOS DE LIMPEZA DISTRIBUIDORA E COMERCIO EIRELI</t>
  </si>
  <si>
    <t>PKB PRODUTOS QUIMICOS LTDA</t>
  </si>
  <si>
    <t>S D DE A FERREIRA &amp; CIA LTDA</t>
  </si>
  <si>
    <t>BLUMEDICA PRODUTOS MEDICOS E CIRURGICOS LTDA</t>
  </si>
  <si>
    <t>DROGARIA BARRA LIMA LTDA</t>
  </si>
  <si>
    <t>PADRAO DISTRIBUIDORA DE PRODUTOS E EQUIPAMENTOS HOSPITALARES PADRE CALLOU LTDA</t>
  </si>
  <si>
    <t>MEDICENTRO COMERCIO DE MEDICAMENTOS – EIRELI</t>
  </si>
  <si>
    <t>L A DALLA PORTA JUNIOR</t>
  </si>
  <si>
    <t>ITEM 8</t>
  </si>
  <si>
    <t xml:space="preserve">Álcool Etílico Hidratado Líquido Mínimo de 70º INPM; Frasco com 1.000ml; Fabricados conforme critérios estabelecidos pela ANVISA, com informação de data de fabricação e número de lote; Prazo de validade não inferior a 06 meses contados do recebimento definitivo. Álcool destinado à assepsia das mãos e objetos motivada pela situação de emergência de saúde pública internacional provocada pelo COVID-19. O material deverá estar acondicionado em caixas com até 12 unidades; </t>
  </si>
  <si>
    <t>LIMP DESC COMERCIO DE MATERIAIS DE LIMPEZA E DESCARTAVEIS</t>
  </si>
  <si>
    <t>MULTI SOLUCOES INTEGRADAS LTDA</t>
  </si>
  <si>
    <t>ARGUS ATACADISTA LTDA</t>
  </si>
  <si>
    <t>CIRURGICA MAYA COMERCIO DE PRODUTOS HOSPITALARES LTDA</t>
  </si>
  <si>
    <t>LIVRARIA E PAPELARIA RENASCER LTDA</t>
  </si>
  <si>
    <t>ANTONIO FRANCISCO DA SILVA CUNHA</t>
  </si>
  <si>
    <t>LUCK COMERCIO DE PAPELARIA E CONFECCOES – EIRELI</t>
  </si>
  <si>
    <t>NUTRIENTES MED DISTRIBUIDORA DE MEDICAMENTOS LTDA</t>
  </si>
  <si>
    <t>EXCELMED DISTRIBUIDORA DE MATERIAIS MEDICOS E ODONTOLOGICOS EIRELI</t>
  </si>
  <si>
    <t>MH LIXX COMERCIO E SERVICOS LTDA</t>
  </si>
  <si>
    <t>MAXLAB PRODUTOS PARA DIAGNOSTICOS E PESQUISAS LTDA</t>
  </si>
  <si>
    <t>SO SAUDE PRODUTOS HOSPITALAR EIRELI</t>
  </si>
  <si>
    <t>ITEM 9</t>
  </si>
  <si>
    <t>Balde plástico de uso doméstico Corpo em polipropileno; Alça em metal; Aro redondo; Capacidade 20 L.</t>
  </si>
  <si>
    <t>MULTISUL COMERCIO E DISTRIBUICAO LTDA</t>
  </si>
  <si>
    <t>SOLLENE - INDUSTRIA E COMERCIO DE PRODUTOS DE LIMPEZA LTDA</t>
  </si>
  <si>
    <t>W V B VARGAS</t>
  </si>
  <si>
    <t>POA DISTRIBUIDORA DE MATERIAIS DE LIMPEZA E GENEROS ALIMENTICIOS</t>
  </si>
  <si>
    <t>3 PODERES COMERCIO LTDA</t>
  </si>
  <si>
    <t>ITEM 10</t>
  </si>
  <si>
    <t>Cesto para lixo Em fibra; Altura: 35cm; Diâmetro superior: 31 cm; Diâmetro da base: 23 cm; Aros cromados;  Cor preta; Variação permitida: ± 1,5 cm</t>
  </si>
  <si>
    <t>NOVA EMBA</t>
  </si>
  <si>
    <t>ITEM 11</t>
  </si>
  <si>
    <t xml:space="preserve">Detergente líquido Com tensoativo biodegradável, aroma suave; Dermatologicamente testado; Em embalagem plástica de 500 ml com bico dosador, com rótulo indicando o nome do fabricante, CNPJ, químico responsável e nº CRQ, número de registro na Anvisa, lote de fabricação e prazo de validade do produto. Marcas de referência: Limpol e Ypê. </t>
  </si>
  <si>
    <t>AC CLEAN COMERCIO DE LIMPEZA LTDA</t>
  </si>
  <si>
    <t>J. L. F. DA SILVA</t>
  </si>
  <si>
    <t>LABUTAR DISTRIBUIDORA E PRESTADORA DE SERVICO EIRELI</t>
  </si>
  <si>
    <t>ITEM 12</t>
  </si>
  <si>
    <t>Esponja dupla face Em poliuretano e fibra têxtil; Dimensões: 105 x 70 x 22 mm (comprimento, largura e espessura), admitida variação de ± 5 mm. O material deverá estar acondicionado em caixas/fardos com até 120 unidades</t>
  </si>
  <si>
    <t>LOBO CLEAN PRODUTOS DE HIGIENE E LIMPEZA LTDA</t>
  </si>
  <si>
    <t>PROQUILL PRODUTOS QUIMICOS DE LIMPEZA LTDA</t>
  </si>
  <si>
    <t>SAULUS DISTRIBUIDORA,SERVICOS E COMERCIO EIRELI</t>
  </si>
  <si>
    <t>RODRIGO ANTONIO DOS SANTOS 88010961604</t>
  </si>
  <si>
    <t>BARONESA LTDA</t>
  </si>
  <si>
    <t>ITEM 13</t>
  </si>
  <si>
    <t>Flanela 100% Algodão; Cor branca; Dimensões: 29 x 29 cm (altura x largura). Variação permitida: ± 2cm; O material deverá estar acondicionado em caixas/fardos com até 100 unidades</t>
  </si>
  <si>
    <t>ALFAMAX COMERCIO DE PRODUTOS PARA LIMPEZA E ESCRITORIO LTDA</t>
  </si>
  <si>
    <t>CDV COMERCIAL DE ALIMENTOS EIRELI</t>
  </si>
  <si>
    <t>BIESEK COMERCIO E DISTRIBUICAO DE EMBALAGENS LTDA</t>
  </si>
  <si>
    <t>J. M. SILVA NAKKA</t>
  </si>
  <si>
    <t>ADELIA APARECIDA DE BRITO NEVES 22888815850</t>
  </si>
  <si>
    <t>POA DISTRIBUIDORA DE MATERIAIS DE LIMPEZA E GENEROS ALIMENTICIOS LTDA</t>
  </si>
  <si>
    <t>DISTRIBUIDORA VIB LTDA</t>
  </si>
  <si>
    <t>COMERCIAL MINAS BRASILIA EIRELI</t>
  </si>
  <si>
    <t>INDUSTRIA E COMERCIO DE PRODUTOS DE LIMPEZA CAMPINENSE</t>
  </si>
  <si>
    <t>FAMAHA COMERCIO DE DEPARTAMENTOS E SERVICOS DE LICITACAO LTDA</t>
  </si>
  <si>
    <t>M &amp; M DISTRIBUIDORA DE PRODUTOS DE LIMPEZA LTDA</t>
  </si>
  <si>
    <t>BE DISTRIBUIDORA DE PRODUTOS EIRELI</t>
  </si>
  <si>
    <t>ITEM 14</t>
  </si>
  <si>
    <t>Limpador instantâneo Ingrediente ativo: tensoativo aniônico biodegradável; Composição: Linear alquil benzeno, sulfonato de sódio, tensoativo não iônico, alcalinizante, sequestrante, solubilizante, éter glicólico, álcool, perfume e água; Embalagem com impressão do nome do fabricante e indicação de registro na ANVISA/MS;  Frasco com 500 ml, com tampa e bico econômico; Prazo de validade impresso na embalagem e não inferior a 11 meses contados da data de recebimento definitivo; O material deverá estar acondicionado em caixas com até 24 unidades</t>
  </si>
  <si>
    <t>R. H. GUEDES VIEIRA</t>
  </si>
  <si>
    <t>ULTRA BONI LTDA</t>
  </si>
  <si>
    <t>UNIAGRO RORAIMA EMPREENDIMENTOS EIRELI</t>
  </si>
  <si>
    <t>ITEM 15</t>
  </si>
  <si>
    <t>Luva para Procedimento não Cirúrgico Composição: Látex de borracha natural; Tamanho: M – Médio; Não Estéril; Com pó bioabsorvível; Ambidestra; Cor: Creme; Embalagem com 100 unidades; Prazo de validade não inferior a 12 meses contados do recebimento definitivo</t>
  </si>
  <si>
    <t>caixa</t>
  </si>
  <si>
    <t>MAM RIBEIRO COMERCIO DE ALIMENTOS</t>
  </si>
  <si>
    <t>ZAN LOGISTICA E COMERCIO EIRELI</t>
  </si>
  <si>
    <t>MEDSANTA COMERCIO DE MEDICAMENTOS E MATERIAIS MEDICOS</t>
  </si>
  <si>
    <t>HEALTH CARE &amp; DUBEBE COMERCIO, IMPORTACAO, EXPORTACAO DE PRODUTOS DE HIGIENE PES</t>
  </si>
  <si>
    <t>TOP NORTE COMERCIO DE MATERIAL MEDICO HOSPITALAR EIRELI</t>
  </si>
  <si>
    <t>DCB DISTRIBUIDORA CIRURGICA BRASILEIRA LTDA</t>
  </si>
  <si>
    <t>SIEG NEGOCIOS LTDA</t>
  </si>
  <si>
    <t>BIO SOLUTIO DISTRIBUICAO FARMACEUTICA LTDA</t>
  </si>
  <si>
    <t>PROLINE MATERIAL HOSPITALAR – EIRELI</t>
  </si>
  <si>
    <t>LUSMED COMERCIO DE PRODUTOS MEDICOS HOSPITALARES LTDA</t>
  </si>
  <si>
    <t>PLENA DISTRIBUIDORA DE MATERIAIS ELETRICOS E HIDRAULICOS – EIRELI</t>
  </si>
  <si>
    <t>ITEM 16</t>
  </si>
  <si>
    <t>Luva para Procedimento não Cirúrgico Composição: Látex de borracha natural; Tamanho: G – Grande; Não Estéril; Com pó bio-absorvível; Ambidestra; Cor: Creme; Embalagem com 100 unidades; Prazo de validade não inferior a 12 meses contados do recebimento definitivo.</t>
  </si>
  <si>
    <t>MEDSANTA COMERCIO DE MEDICAMENTOS E MATERIAIS MEDICOS LTDA</t>
  </si>
  <si>
    <t>L C RODRIGUES &amp; CIA LTDA</t>
  </si>
  <si>
    <t>ITEM 17</t>
  </si>
  <si>
    <t xml:space="preserve">Mascara Cirúrgica Descartável - 40g/M2  Produzidas conforme a ABNT NBR 15052:2004 Máscara filtrante para vírus, bactérias, patógenos de transmissão aérea, partículas, e aerossóis no ar. Confeccionadas em três camadas externas de proteção - TNT com acabamento em todas as extremidades. Isenta de substância fibra de vidro Cor branca ou azul Com regulador / Clip Nasal Embutido Com tirantes / elástico Caixa com 50 unidades Obrigatória a apresentação de Laudo emitido por laboratório autorizado ou credenciado pelo INMETRO que ateste a segurança, eficiência e qualidade de filtração de acordo com as normas da ABNT e registro na ANVISA. </t>
  </si>
  <si>
    <t>OG MED EQUIPAMENTOS DE PROTECAO LTDA</t>
  </si>
  <si>
    <t>VIDAMED PRODUTOS HOSPITALARES EIRELI</t>
  </si>
  <si>
    <t>HENSCHEL HEALTH SOLUCOES EM PRODUTOS HOSPITALARES SERVICOS E NEGOCIOS LTDA</t>
  </si>
  <si>
    <t>M.TESTA CONFECCAO</t>
  </si>
  <si>
    <t>PRIME IMPORTACAO E EXPORTACAO EIRELI</t>
  </si>
  <si>
    <t>FARM OPPORTUNITY CONFECCOES EIRELI</t>
  </si>
  <si>
    <t>ATACAMED COMERCIO DE PRODUTOS FARMACEUTICOS E HOSPITALARES</t>
  </si>
  <si>
    <t>FBC DE NITEROI COMERCIO E SERVICOS EIRELI</t>
  </si>
  <si>
    <t>FERNANDO UNIFORMES EIRELI</t>
  </si>
  <si>
    <t>WESLEY VIANA ALKMIM 11088764630</t>
  </si>
  <si>
    <t>ITEM 18</t>
  </si>
  <si>
    <t>Peça Facial Filtrante - Máscara Modelo PFF2 / N95. Equipamento de Proteção  Respiratória – Peça Filtrante para Partículas, Fabricadas  de acordo com a norma ABNT/NBR 13698:2011. Eficiência mínima de filtragem de partículas de 95% . Eficiência de Filtração Bacteriológica maior que 95%. Não valvulada. Indicado para proteção das vias respiratórias contra aerossóis e particulados potencialmente contaminados, vírus, bactérias e outros agentes biológicos potencialmente patogênicos e ou infecciosos. Cor branca Clip Nasal Embutido. Com tirantes/elásticos. Caixa com 50 unidades. Obrigatória a apresentação de Laudo emitido por laboratório autorizado ou credenciado pelo INMETRO que ateste a segurança, eficiência e qualidade de filtração de acordo com as normas da ABNT e registro na ANVISA.</t>
  </si>
  <si>
    <t>CAITHEC INDUSTRIAL LTDA</t>
  </si>
  <si>
    <t>NEW POWER COMERCIO E IMPORTACAO LTDA</t>
  </si>
  <si>
    <t>RSDC COMERCIAL EIRELI</t>
  </si>
  <si>
    <t>ERNESTO RODRIGUES FILHO LTDA</t>
  </si>
  <si>
    <t>MR COMERCIO LTDA</t>
  </si>
  <si>
    <t>EXTEC MEDICAL EIRELI</t>
  </si>
  <si>
    <t>COMERCIAL ROCHA CASTRO LTDA.</t>
  </si>
  <si>
    <t>DENTEMED EQUIPAMENTOS ODONTOLOGICOS LTDA</t>
  </si>
  <si>
    <t>DIMENSIONAL CENTELHA SOLUCOES LTDA</t>
  </si>
  <si>
    <t>ALMEIDA LIMA VAREJO E ATACADO LTDA</t>
  </si>
  <si>
    <t>SOARES COMERCIO E LICITACOES LTDA</t>
  </si>
  <si>
    <t>DABES DISTRIBUIDORA &amp; COMERCIO LTDA</t>
  </si>
  <si>
    <t>MASTERSUL EQUIPAMENTOS DE SEGURANCA LTDA</t>
  </si>
  <si>
    <t>SILVANA SILVA DE OLIVEIRA</t>
  </si>
  <si>
    <t>CIRURGICA CAMPINENSE LTDA</t>
  </si>
  <si>
    <t>ITEM 19</t>
  </si>
  <si>
    <t>Pá coletora lixo Material da base: zinco; Material do cabo: madeira; Comprimento do cabo: 60 cm; Para limpeza doméstica; Variação permitida: ± 5 cm</t>
  </si>
  <si>
    <t>J. R. COMERCIO E LOCACAO DE VEICULOS EIRELI</t>
  </si>
  <si>
    <t>FERREIRA COSTA</t>
  </si>
  <si>
    <t>GIMBA</t>
  </si>
  <si>
    <t>PAPELEX</t>
  </si>
  <si>
    <t>ITEM 20</t>
  </si>
  <si>
    <t>Pano para limpeza 100% algodão; Tipo saco, duplo, lavado e alvejado; Com alta absorção; Dimensões: 65 x 42 cm; Cor branca; Variação permitida: ± 5cm; O material deverá estar acondicionado em fardos com até 25 unidades</t>
  </si>
  <si>
    <t>NEX TEXTIL ROUPAS E ACESSORIOS LTDA</t>
  </si>
  <si>
    <t>EXATA INDUSTRIA E COMERCIO LTDA</t>
  </si>
  <si>
    <t>PASCHOAL COMERCIO DE PRODUTOS E SERVICOS LTDA</t>
  </si>
  <si>
    <t>TASSIO CERQUEIRA MIRANDA 90053931220</t>
  </si>
  <si>
    <t>ITEM 21</t>
  </si>
  <si>
    <t>Pano em Microfibra para Limpeza de Lente/LCD/Tela Dimensões 13 X 13 cm, podendo variar em ± 2cm; Acondicionado em pacotes com 100 unidades</t>
  </si>
  <si>
    <t>AMERICANAS</t>
  </si>
  <si>
    <t>CASA SEG</t>
  </si>
  <si>
    <t>GRANDE BUSCA</t>
  </si>
  <si>
    <t>ITEM 22</t>
  </si>
  <si>
    <t>Papel higiênico Celulose virgem – 100% celulose; Dimensões: mínimo de 30 m x 10 cm; Dermatologicamente testado; Picotado; Folha dupla; Sem perfume; Cor branca; Pacote com 4 unidades. PC = Pacote</t>
  </si>
  <si>
    <t>JUCELIO COSTA DE ARAUJO E CIA LTDA</t>
  </si>
  <si>
    <t>ESTRADA DISTRIBUIDORA E COMERCIO EIRELI</t>
  </si>
  <si>
    <t>C. F. EMBALAGENS PLASTICAS EIRELI</t>
  </si>
  <si>
    <t>MURILO PARANHOS BEMFICA 02964316139</t>
  </si>
  <si>
    <t>A. M. GAMBA ALIMENTOS</t>
  </si>
  <si>
    <t>L L FEITOSA DOS REIS</t>
  </si>
  <si>
    <t>ITEM 23</t>
  </si>
  <si>
    <t>Papel toalha Cor branca, duas dobras, texturizado; Dimensões: folhas com 22 cm x 22 cm; Tipo interfolhado; Macio e absorvente; Pacote com 1000 folhas; Variação permitida: ± 3.0 cm PC = Pacote</t>
  </si>
  <si>
    <t>ENGE ENTREGAS DE BENS E PRODUTOS LTDA</t>
  </si>
  <si>
    <t>PAPIER INDUSTRIA E COMERCIO DE PAPEIS LTDA</t>
  </si>
  <si>
    <t>ALAGOANA DISTRIBUIDORA DE ALIMENTOS E SANEANTES EIRELI</t>
  </si>
  <si>
    <t>ITEM 24</t>
  </si>
  <si>
    <t>Sabão em pó Composição: alquil benzeno sulfato de sódio, corante; Embalagem com 500 g; Embalagem com impressão do nome do fabricante e indicação de registro na ANVISA/MS; Tensoativo aniônico biodegradável; Prazo de validade impresso na embalagem e não inferior a 11 meses contados da data de recebimento definitivo; O material deverá estar acondicionado em caixas/fardos com até 24 unidades</t>
  </si>
  <si>
    <t>MELO SUPERMERCADO LTDA</t>
  </si>
  <si>
    <t>NORDESTE POTENCIAL COMERCIO E SERVICOS EIRELI</t>
  </si>
  <si>
    <t>AGNES COMERCIAL LTDA</t>
  </si>
  <si>
    <t>J. V. COMERCIO EIRELI</t>
  </si>
  <si>
    <t>ADSERV CASA E CONSTRUCAO LTDA</t>
  </si>
  <si>
    <t>ITEM 25</t>
  </si>
  <si>
    <t>Saco plástico para lixo Cor preta; Capacidade de 40 Litros; Resistente ao peso mínimo de 5 Kg; Cada pacote deverá conter 100 sacos; O material deverá estar acondicionado em caixas/fardos com até 150 pacotes</t>
  </si>
  <si>
    <t>K FILHOS KAIANNE E KAUA DISTRIBUIDORA DE ALIMENTOS E BEBIDAS EIRELI</t>
  </si>
  <si>
    <t>M.MARTINS DOS SANTOS-DISTRIBUIDORA</t>
  </si>
  <si>
    <t>TROIKA DISTRIBUICAO LTDA</t>
  </si>
  <si>
    <t>LMA COMERCIO DE MATERIAIS E EQUIPAMENTOS PARA ESCRITORIO</t>
  </si>
  <si>
    <t>DR LION LOJA DA SAUDE EIRELI</t>
  </si>
  <si>
    <t>N PAES DE MELO JUNIOR COMERCIO EIRELI</t>
  </si>
  <si>
    <t>ITEM 26</t>
  </si>
  <si>
    <t>Vassoura – Cerdas (naturais) em Piaçava  Cabo rosqueável; Comprimento do cabo: mínimo de 1,15m; Cepa com 20 cm, admitida variação de ± 2 cm; Comprimento das cerdas: mínimo 11 cm.</t>
  </si>
  <si>
    <t>CAVALCANTE &amp; CIA LTDA</t>
  </si>
  <si>
    <t>J.B COMERCIO E SERVICOS EIRELI</t>
  </si>
  <si>
    <t>ITEM 27</t>
  </si>
  <si>
    <t>Coador de Tecido para Cafeteira Elétrica Aplicação: para máquina de café industrial Compatível com as marcas/modelos:  CONSERCAF/ CIC20 e CIP20</t>
  </si>
  <si>
    <t>INOVARE EQUIPAMENTOS E PLANEJAMENTO ADMINISTRATIVO LTDA</t>
  </si>
  <si>
    <t>COPEC</t>
  </si>
  <si>
    <t>ITEM 28</t>
  </si>
  <si>
    <t>BORRIFADOR Confeccionado em material plástico Tipo SPRAY Contendo Bico Borrifador Aplicação de material de limpeza  Capacidade 500 ml</t>
  </si>
  <si>
    <t>CLEANFAST PRODUTOS DE LIMPEZA E HIGIENIZACAO EIRELI</t>
  </si>
  <si>
    <t>STOP LAB DISTRIBUIDORA LTDA</t>
  </si>
  <si>
    <t>SAMARA VASCONCELOS ROSAS EIRELI</t>
  </si>
  <si>
    <t>WASHINGTON ROBERTO DA SILVA 05033050656</t>
  </si>
  <si>
    <t>Y S DIAS COMERCIO DE PAPELARIA</t>
  </si>
  <si>
    <t>G GOTUZZO E CIA LTDA</t>
  </si>
  <si>
    <t>ITEM 29</t>
  </si>
  <si>
    <t>ITEM 30</t>
  </si>
  <si>
    <t>ITEM 31</t>
  </si>
  <si>
    <t>ITEM 32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</si>
  <si>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</si>
  <si>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NÃO ALTERE AS FÓRMULAS LTDA</t>
  </si>
  <si>
    <t>NÃO MUDE A ALTURA DAS LINHAS S.A</t>
  </si>
  <si>
    <t>NÃO MUDE AS CORES LTDA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</si>
  <si>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</si>
  <si>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</si>
  <si>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</si>
  <si>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</si>
  <si>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</si>
  <si>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</si>
  <si>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</si>
  <si>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</si>
  <si>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</si>
  <si>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</si>
  <si>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</si>
  <si>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</si>
  <si>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</si>
  <si>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</si>
  <si>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</si>
  <si>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</si>
  <si>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</si>
  <si>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</si>
  <si>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TRIBUNAL REGIONAL ELEITORAL DA BAHIA</t>
  </si>
  <si>
    <t>Seção de Análise e Aquisições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</si>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</sst>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1">
    <xf numFmtId="0" fontId="0" fillId="0" borderId="0" xfId="0"/>
    <xf numFmtId="0" fontId="11" fillId="9" borderId="2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10" fillId="10" borderId="2" xfId="0" applyFont="1" applyFill="1" applyBorder="1" applyAlignment="1" applyProtection="1">
      <alignment wrapText="1"/>
    </xf>
    <xf numFmtId="0" fontId="10" fillId="10" borderId="6" xfId="0" applyFont="1" applyFill="1" applyBorder="1" applyAlignment="1" applyProtection="1">
      <alignment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10" borderId="2" xfId="0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0" fillId="10" borderId="2" xfId="0" applyFont="1" applyFill="1" applyBorder="1" applyAlignment="1">
      <alignment horizontal="center" vertical="center" wrapText="1"/>
    </xf>
    <xf numFmtId="0" fontId="17" fillId="10" borderId="2" xfId="0" applyFont="1" applyFill="1" applyBorder="1" applyAlignment="1">
      <alignment vertical="center" wrapText="1"/>
    </xf>
    <xf numFmtId="0" fontId="17" fillId="10" borderId="2" xfId="0" applyFont="1" applyFill="1" applyBorder="1" applyAlignment="1">
      <alignment horizontal="center" vertical="center" wrapText="1"/>
    </xf>
    <xf numFmtId="165" fontId="17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2" fillId="10" borderId="2" xfId="1" applyFont="1" applyFill="1" applyBorder="1" applyAlignment="1" applyProtection="1">
      <alignment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4398120</xdr:colOff>
      <xdr:row>0</xdr:row>
      <xdr:rowOff>0</xdr:rowOff>
    </xdr:from>
    <xdr:to>
      <xdr:col>1</xdr:col>
      <xdr:colOff>4998240</xdr:colOff>
      <xdr:row>3</xdr:row>
      <xdr:rowOff>115560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41800" y="0"/>
          <a:ext cx="600120" cy="603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9" sqref="G9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10</v>
      </c>
      <c r="C3" s="9" t="s">
        <v>11</v>
      </c>
      <c r="D3" s="8">
        <v>10000</v>
      </c>
      <c r="E3" s="7">
        <f>IF(C20&lt;=25%,D20,MIN(E20:F20))</f>
        <v>3.62</v>
      </c>
      <c r="F3" s="7">
        <f>MIN(H3:H17)</f>
        <v>2.75</v>
      </c>
      <c r="G3" s="18" t="s">
        <v>12</v>
      </c>
      <c r="H3" s="19">
        <v>2.75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13</v>
      </c>
      <c r="H4" s="19">
        <v>3.1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14</v>
      </c>
      <c r="H5" s="19">
        <v>3.74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15</v>
      </c>
      <c r="H6" s="19">
        <v>3.75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16</v>
      </c>
      <c r="H7" s="19">
        <v>3.85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17</v>
      </c>
      <c r="H8" s="19">
        <v>4.5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0.6141253943617706</v>
      </c>
      <c r="B20" s="31">
        <f>COUNT(H3:H17)</f>
        <v>6</v>
      </c>
      <c r="C20" s="32">
        <f>IF(B20&lt;2,"N/A",(A20/D20))</f>
        <v>0.16964789899496424</v>
      </c>
      <c r="D20" s="33">
        <f>ROUND(AVERAGE(H3:H17),2)</f>
        <v>3.62</v>
      </c>
      <c r="E20" s="34" t="str">
        <f>IFERROR(ROUND(IF(B20&lt;2,"N/A",(IF(C20&lt;=25%,"N/A",AVERAGE(I3:I17)))),2),"N/A")</f>
        <v>N/A</v>
      </c>
      <c r="F20" s="34">
        <f>ROUND(MEDIAN(H3:H17),2)</f>
        <v>3.75</v>
      </c>
      <c r="G20" s="35" t="str">
        <f>INDEX(G3:G17,MATCH(H20,H3:H17,0))</f>
        <v>A S D DA ROCHA</v>
      </c>
      <c r="H20" s="36">
        <f>MIN(H3:H17)</f>
        <v>2.75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3.62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36200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6" sqref="G6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117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118</v>
      </c>
      <c r="C3" s="9" t="s">
        <v>44</v>
      </c>
      <c r="D3" s="8">
        <v>500</v>
      </c>
      <c r="E3" s="7">
        <f>IF(C20&lt;=25%,D20,MIN(E20:F20))</f>
        <v>47.3</v>
      </c>
      <c r="F3" s="7">
        <f>MIN(H3:H17)</f>
        <v>9.19</v>
      </c>
      <c r="G3" s="18" t="s">
        <v>45</v>
      </c>
      <c r="H3" s="19">
        <v>9.19</v>
      </c>
      <c r="I3" s="20">
        <f t="shared" ref="I3:I17" si="0">IF(H3="","",(IF($C$20&lt;25%,"N/A",IF(H3&lt;=($D$20+$A$20),H3,"Descartado"))))</f>
        <v>9.19</v>
      </c>
    </row>
    <row r="4" spans="1:9">
      <c r="A4" s="11"/>
      <c r="B4" s="10"/>
      <c r="C4" s="9"/>
      <c r="D4" s="8"/>
      <c r="E4" s="7"/>
      <c r="F4" s="7"/>
      <c r="G4" s="18" t="s">
        <v>51</v>
      </c>
      <c r="H4" s="19">
        <v>80</v>
      </c>
      <c r="I4" s="20">
        <f t="shared" si="0"/>
        <v>80</v>
      </c>
    </row>
    <row r="5" spans="1:9">
      <c r="A5" s="11"/>
      <c r="B5" s="10"/>
      <c r="C5" s="9"/>
      <c r="D5" s="8"/>
      <c r="E5" s="7"/>
      <c r="F5" s="7"/>
      <c r="G5" s="18" t="s">
        <v>119</v>
      </c>
      <c r="H5" s="19">
        <v>52.7</v>
      </c>
      <c r="I5" s="20">
        <f t="shared" si="0"/>
        <v>52.7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35.712897296821694</v>
      </c>
      <c r="B20" s="31">
        <f>COUNT(H3:H17)</f>
        <v>3</v>
      </c>
      <c r="C20" s="32">
        <f>IF(B20&lt;2,"N/A",(A20/D20))</f>
        <v>0.7550295411590211</v>
      </c>
      <c r="D20" s="33">
        <f>ROUND(AVERAGE(H3:H17),2)</f>
        <v>47.3</v>
      </c>
      <c r="E20" s="34">
        <f>IFERROR(ROUND(IF(B20&lt;2,"N/A",(IF(C20&lt;=25%,"N/A",AVERAGE(I3:I17)))),2),"N/A")</f>
        <v>47.3</v>
      </c>
      <c r="F20" s="34">
        <f>ROUND(MEDIAN(H3:H17),2)</f>
        <v>52.7</v>
      </c>
      <c r="G20" s="35" t="str">
        <f>INDEX(G3:G17,MATCH(H20,H3:H17,0))</f>
        <v>EFICIENTE COMERCIO E SERVICOS EIRELI</v>
      </c>
      <c r="H20" s="36">
        <f>MIN(H3:H17)</f>
        <v>9.19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47.3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23650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6" sqref="G6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120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121</v>
      </c>
      <c r="C3" s="9" t="s">
        <v>71</v>
      </c>
      <c r="D3" s="8">
        <v>2000</v>
      </c>
      <c r="E3" s="7">
        <f>IF(C20&lt;=25%,D20,MIN(E20:F20))</f>
        <v>1.64</v>
      </c>
      <c r="F3" s="7">
        <f>MIN(H3:H17)</f>
        <v>1.35</v>
      </c>
      <c r="G3" s="18" t="s">
        <v>122</v>
      </c>
      <c r="H3" s="19">
        <v>1.35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123</v>
      </c>
      <c r="H4" s="19">
        <v>1.7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124</v>
      </c>
      <c r="H5" s="19">
        <v>1.8655999999999999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0.26323839638877483</v>
      </c>
      <c r="B20" s="31">
        <f>COUNT(H3:H17)</f>
        <v>3</v>
      </c>
      <c r="C20" s="32">
        <f>IF(B20&lt;2,"N/A",(A20/D20))</f>
        <v>0.16051121731022858</v>
      </c>
      <c r="D20" s="33">
        <f>ROUND(AVERAGE(H3:H17),2)</f>
        <v>1.64</v>
      </c>
      <c r="E20" s="34" t="str">
        <f>IFERROR(ROUND(IF(B20&lt;2,"N/A",(IF(C20&lt;=25%,"N/A",AVERAGE(I3:I17)))),2),"N/A")</f>
        <v>N/A</v>
      </c>
      <c r="F20" s="34">
        <f>ROUND(MEDIAN(H3:H17),2)</f>
        <v>1.7</v>
      </c>
      <c r="G20" s="35" t="str">
        <f>INDEX(G3:G17,MATCH(H20,H3:H17,0))</f>
        <v>AC CLEAN COMERCIO DE LIMPEZA LTDA</v>
      </c>
      <c r="H20" s="36">
        <f>MIN(H3:H17)</f>
        <v>1.35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1.64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3280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8" sqref="G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125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126</v>
      </c>
      <c r="C3" s="9" t="s">
        <v>44</v>
      </c>
      <c r="D3" s="8">
        <v>10000</v>
      </c>
      <c r="E3" s="7">
        <f>IF(C20&lt;=25%,D20,MIN(E20:F20))</f>
        <v>0.57999999999999996</v>
      </c>
      <c r="F3" s="7">
        <f>MIN(H3:H17)</f>
        <v>0.49</v>
      </c>
      <c r="G3" s="18" t="s">
        <v>127</v>
      </c>
      <c r="H3" s="19">
        <v>0.49</v>
      </c>
      <c r="I3" s="20">
        <f t="shared" ref="I3:I17" si="0">IF(H3="","",(IF($C$20&lt;25%,"N/A",IF(H3&lt;=($D$20+$A$20),H3,"Descartado"))))</f>
        <v>0.49</v>
      </c>
    </row>
    <row r="4" spans="1:9">
      <c r="A4" s="11"/>
      <c r="B4" s="10"/>
      <c r="C4" s="9"/>
      <c r="D4" s="8"/>
      <c r="E4" s="7"/>
      <c r="F4" s="7"/>
      <c r="G4" s="18" t="s">
        <v>128</v>
      </c>
      <c r="H4" s="19">
        <v>0.55989999999999995</v>
      </c>
      <c r="I4" s="20">
        <f t="shared" si="0"/>
        <v>0.55989999999999995</v>
      </c>
    </row>
    <row r="5" spans="1:9">
      <c r="A5" s="11"/>
      <c r="B5" s="10"/>
      <c r="C5" s="9"/>
      <c r="D5" s="8"/>
      <c r="E5" s="7"/>
      <c r="F5" s="7"/>
      <c r="G5" s="18" t="s">
        <v>129</v>
      </c>
      <c r="H5" s="19">
        <v>0.57999999999999996</v>
      </c>
      <c r="I5" s="20">
        <f t="shared" si="0"/>
        <v>0.57999999999999996</v>
      </c>
    </row>
    <row r="6" spans="1:9">
      <c r="A6" s="11"/>
      <c r="B6" s="10"/>
      <c r="C6" s="9"/>
      <c r="D6" s="8"/>
      <c r="E6" s="7"/>
      <c r="F6" s="7"/>
      <c r="G6" s="18" t="s">
        <v>130</v>
      </c>
      <c r="H6" s="19">
        <v>0.68</v>
      </c>
      <c r="I6" s="20">
        <f t="shared" si="0"/>
        <v>0.68</v>
      </c>
    </row>
    <row r="7" spans="1:9">
      <c r="A7" s="11"/>
      <c r="B7" s="10"/>
      <c r="C7" s="9"/>
      <c r="D7" s="8"/>
      <c r="E7" s="7"/>
      <c r="F7" s="7"/>
      <c r="G7" s="18" t="s">
        <v>131</v>
      </c>
      <c r="H7" s="19">
        <v>1.5</v>
      </c>
      <c r="I7" s="20" t="str">
        <f t="shared" si="0"/>
        <v>Descartado</v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0.41812689700616001</v>
      </c>
      <c r="B20" s="31">
        <f>COUNT(H3:H17)</f>
        <v>5</v>
      </c>
      <c r="C20" s="32">
        <f>IF(B20&lt;2,"N/A",(A20/D20))</f>
        <v>0.55016696974494739</v>
      </c>
      <c r="D20" s="33">
        <f>ROUND(AVERAGE(H3:H17),2)</f>
        <v>0.76</v>
      </c>
      <c r="E20" s="34">
        <f>IFERROR(ROUND(IF(B20&lt;2,"N/A",(IF(C20&lt;=25%,"N/A",AVERAGE(I3:I17)))),2),"N/A")</f>
        <v>0.57999999999999996</v>
      </c>
      <c r="F20" s="34">
        <f>ROUND(MEDIAN(H3:H17),2)</f>
        <v>0.57999999999999996</v>
      </c>
      <c r="G20" s="35" t="str">
        <f>INDEX(G3:G17,MATCH(H20,H3:H17,0))</f>
        <v>LOBO CLEAN PRODUTOS DE HIGIENE E LIMPEZA LTDA</v>
      </c>
      <c r="H20" s="36">
        <f>MIN(H3:H17)</f>
        <v>0.49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0.57999999999999996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5800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8" sqref="G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132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133</v>
      </c>
      <c r="C3" s="9" t="s">
        <v>44</v>
      </c>
      <c r="D3" s="8">
        <v>8000</v>
      </c>
      <c r="E3" s="7">
        <f>IF(C20&lt;=25%,D20,MIN(E20:F20))</f>
        <v>1.21</v>
      </c>
      <c r="F3" s="7">
        <f>MIN(H3:H17)</f>
        <v>0.46</v>
      </c>
      <c r="G3" s="18" t="s">
        <v>134</v>
      </c>
      <c r="H3" s="19">
        <v>0.46</v>
      </c>
      <c r="I3" s="20">
        <f t="shared" ref="I3:I17" si="0">IF(H3="","",(IF($C$20&lt;25%,"N/A",IF(H3&lt;=($D$20+$A$20),H3,"Descartado"))))</f>
        <v>0.46</v>
      </c>
    </row>
    <row r="4" spans="1:9">
      <c r="A4" s="11"/>
      <c r="B4" s="10"/>
      <c r="C4" s="9"/>
      <c r="D4" s="8"/>
      <c r="E4" s="7"/>
      <c r="F4" s="7"/>
      <c r="G4" s="18" t="s">
        <v>135</v>
      </c>
      <c r="H4" s="19">
        <v>0.63</v>
      </c>
      <c r="I4" s="20">
        <f t="shared" si="0"/>
        <v>0.63</v>
      </c>
    </row>
    <row r="5" spans="1:9">
      <c r="A5" s="11"/>
      <c r="B5" s="10"/>
      <c r="C5" s="9"/>
      <c r="D5" s="8"/>
      <c r="E5" s="7"/>
      <c r="F5" s="7"/>
      <c r="G5" s="18" t="s">
        <v>136</v>
      </c>
      <c r="H5" s="19">
        <v>0.93</v>
      </c>
      <c r="I5" s="20">
        <f t="shared" si="0"/>
        <v>0.93</v>
      </c>
    </row>
    <row r="6" spans="1:9">
      <c r="A6" s="11"/>
      <c r="B6" s="10"/>
      <c r="C6" s="9"/>
      <c r="D6" s="8"/>
      <c r="E6" s="7"/>
      <c r="F6" s="7"/>
      <c r="G6" s="18" t="s">
        <v>137</v>
      </c>
      <c r="H6" s="19">
        <v>1</v>
      </c>
      <c r="I6" s="20">
        <f t="shared" si="0"/>
        <v>1</v>
      </c>
    </row>
    <row r="7" spans="1:9">
      <c r="A7" s="11"/>
      <c r="B7" s="10"/>
      <c r="C7" s="9"/>
      <c r="D7" s="8"/>
      <c r="E7" s="7"/>
      <c r="F7" s="7"/>
      <c r="G7" s="18" t="s">
        <v>138</v>
      </c>
      <c r="H7" s="19">
        <v>1</v>
      </c>
      <c r="I7" s="20">
        <f t="shared" si="0"/>
        <v>1</v>
      </c>
    </row>
    <row r="8" spans="1:9">
      <c r="A8" s="11"/>
      <c r="B8" s="10"/>
      <c r="C8" s="9"/>
      <c r="D8" s="8"/>
      <c r="E8" s="7"/>
      <c r="F8" s="7"/>
      <c r="G8" s="18" t="s">
        <v>139</v>
      </c>
      <c r="H8" s="19">
        <v>1.1100000000000001</v>
      </c>
      <c r="I8" s="20">
        <f t="shared" si="0"/>
        <v>1.1100000000000001</v>
      </c>
    </row>
    <row r="9" spans="1:9">
      <c r="A9" s="11"/>
      <c r="B9" s="10"/>
      <c r="C9" s="9"/>
      <c r="D9" s="8"/>
      <c r="E9" s="7"/>
      <c r="F9" s="7"/>
      <c r="G9" s="18" t="s">
        <v>78</v>
      </c>
      <c r="H9" s="19">
        <v>1.29</v>
      </c>
      <c r="I9" s="20">
        <f t="shared" si="0"/>
        <v>1.29</v>
      </c>
    </row>
    <row r="10" spans="1:9">
      <c r="A10" s="11"/>
      <c r="B10" s="10"/>
      <c r="C10" s="9"/>
      <c r="D10" s="8"/>
      <c r="E10" s="7"/>
      <c r="F10" s="7"/>
      <c r="G10" s="18" t="s">
        <v>122</v>
      </c>
      <c r="H10" s="19">
        <v>1.44</v>
      </c>
      <c r="I10" s="20">
        <f t="shared" si="0"/>
        <v>1.44</v>
      </c>
    </row>
    <row r="11" spans="1:9">
      <c r="A11" s="11"/>
      <c r="B11" s="10"/>
      <c r="C11" s="9"/>
      <c r="D11" s="8"/>
      <c r="E11" s="7"/>
      <c r="F11" s="7"/>
      <c r="G11" s="18" t="s">
        <v>140</v>
      </c>
      <c r="H11" s="19">
        <v>1.45</v>
      </c>
      <c r="I11" s="20">
        <f t="shared" si="0"/>
        <v>1.45</v>
      </c>
    </row>
    <row r="12" spans="1:9">
      <c r="A12" s="11"/>
      <c r="B12" s="10"/>
      <c r="C12" s="9"/>
      <c r="D12" s="8"/>
      <c r="E12" s="7"/>
      <c r="F12" s="7"/>
      <c r="G12" s="18" t="s">
        <v>141</v>
      </c>
      <c r="H12" s="19">
        <v>1.45</v>
      </c>
      <c r="I12" s="20">
        <f t="shared" si="0"/>
        <v>1.45</v>
      </c>
    </row>
    <row r="13" spans="1:9">
      <c r="A13" s="11"/>
      <c r="B13" s="10"/>
      <c r="C13" s="9"/>
      <c r="D13" s="8"/>
      <c r="E13" s="7"/>
      <c r="F13" s="7"/>
      <c r="G13" s="18" t="s">
        <v>142</v>
      </c>
      <c r="H13" s="19">
        <v>1.5</v>
      </c>
      <c r="I13" s="20">
        <f t="shared" si="0"/>
        <v>1.5</v>
      </c>
    </row>
    <row r="14" spans="1:9">
      <c r="A14" s="11"/>
      <c r="B14" s="10"/>
      <c r="C14" s="9"/>
      <c r="D14" s="8"/>
      <c r="E14" s="7"/>
      <c r="F14" s="7"/>
      <c r="G14" s="18" t="s">
        <v>143</v>
      </c>
      <c r="H14" s="19">
        <v>1.52</v>
      </c>
      <c r="I14" s="20">
        <f t="shared" si="0"/>
        <v>1.52</v>
      </c>
    </row>
    <row r="15" spans="1:9">
      <c r="A15" s="11"/>
      <c r="B15" s="10"/>
      <c r="C15" s="9"/>
      <c r="D15" s="8"/>
      <c r="E15" s="7"/>
      <c r="F15" s="7"/>
      <c r="G15" s="18" t="s">
        <v>144</v>
      </c>
      <c r="H15" s="19">
        <v>1.55</v>
      </c>
      <c r="I15" s="20">
        <f t="shared" si="0"/>
        <v>1.55</v>
      </c>
    </row>
    <row r="16" spans="1:9">
      <c r="A16" s="11"/>
      <c r="B16" s="10"/>
      <c r="C16" s="9"/>
      <c r="D16" s="8"/>
      <c r="E16" s="7"/>
      <c r="F16" s="7"/>
      <c r="G16" s="18" t="s">
        <v>145</v>
      </c>
      <c r="H16" s="19">
        <v>1.6</v>
      </c>
      <c r="I16" s="20">
        <f t="shared" si="0"/>
        <v>1.6</v>
      </c>
    </row>
    <row r="17" spans="1:11">
      <c r="A17" s="11"/>
      <c r="B17" s="10"/>
      <c r="C17" s="9"/>
      <c r="D17" s="8"/>
      <c r="E17" s="7"/>
      <c r="F17" s="7"/>
      <c r="G17" s="18" t="s">
        <v>41</v>
      </c>
      <c r="H17" s="19">
        <v>1.7</v>
      </c>
      <c r="I17" s="20" t="str">
        <f t="shared" si="0"/>
        <v>Descartado</v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0.37058255297764481</v>
      </c>
      <c r="B20" s="31">
        <f>COUNT(H3:H17)</f>
        <v>15</v>
      </c>
      <c r="C20" s="32">
        <f>IF(B20&lt;2,"N/A",(A20/D20))</f>
        <v>0.2988568975626168</v>
      </c>
      <c r="D20" s="33">
        <f>ROUND(AVERAGE(H3:H17),2)</f>
        <v>1.24</v>
      </c>
      <c r="E20" s="34">
        <f>IFERROR(ROUND(IF(B20&lt;2,"N/A",(IF(C20&lt;=25%,"N/A",AVERAGE(I3:I17)))),2),"N/A")</f>
        <v>1.21</v>
      </c>
      <c r="F20" s="34">
        <f>ROUND(MEDIAN(H3:H17),2)</f>
        <v>1.44</v>
      </c>
      <c r="G20" s="35" t="str">
        <f>INDEX(G3:G17,MATCH(H20,H3:H17,0))</f>
        <v>ALFAMAX COMERCIO DE PRODUTOS PARA LIMPEZA E ESCRITORIO LTDA</v>
      </c>
      <c r="H20" s="36">
        <f>MIN(H3:H17)</f>
        <v>0.46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1.21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9680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7" sqref="G7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146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147</v>
      </c>
      <c r="C3" s="9" t="s">
        <v>71</v>
      </c>
      <c r="D3" s="8">
        <v>5000</v>
      </c>
      <c r="E3" s="7">
        <f>IF(C20&lt;=25%,D20,MIN(E20:F20))</f>
        <v>2.29</v>
      </c>
      <c r="F3" s="7">
        <f>MIN(H3:H17)</f>
        <v>1.92</v>
      </c>
      <c r="G3" s="18" t="s">
        <v>148</v>
      </c>
      <c r="H3" s="19">
        <v>1.92</v>
      </c>
      <c r="I3" s="20">
        <f t="shared" ref="I3:I17" si="0">IF(H3="","",(IF($C$20&lt;25%,"N/A",IF(H3&lt;=($D$20+$A$20),H3,"Descartado"))))</f>
        <v>1.92</v>
      </c>
    </row>
    <row r="4" spans="1:9">
      <c r="A4" s="11"/>
      <c r="B4" s="10"/>
      <c r="C4" s="9"/>
      <c r="D4" s="8"/>
      <c r="E4" s="7"/>
      <c r="F4" s="7"/>
      <c r="G4" s="18" t="s">
        <v>149</v>
      </c>
      <c r="H4" s="19">
        <v>2.1</v>
      </c>
      <c r="I4" s="20">
        <f t="shared" si="0"/>
        <v>2.1</v>
      </c>
    </row>
    <row r="5" spans="1:9">
      <c r="A5" s="11"/>
      <c r="B5" s="10"/>
      <c r="C5" s="9"/>
      <c r="D5" s="8"/>
      <c r="E5" s="7"/>
      <c r="F5" s="7"/>
      <c r="G5" s="18" t="s">
        <v>150</v>
      </c>
      <c r="H5" s="19">
        <v>2.85</v>
      </c>
      <c r="I5" s="20">
        <f t="shared" si="0"/>
        <v>2.85</v>
      </c>
    </row>
    <row r="6" spans="1:9">
      <c r="A6" s="11"/>
      <c r="B6" s="10"/>
      <c r="C6" s="9"/>
      <c r="D6" s="8"/>
      <c r="E6" s="7"/>
      <c r="F6" s="7"/>
      <c r="G6" s="18" t="s">
        <v>134</v>
      </c>
      <c r="H6" s="19">
        <v>5</v>
      </c>
      <c r="I6" s="20" t="str">
        <f t="shared" si="0"/>
        <v>Descartado</v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1.4135858658037015</v>
      </c>
      <c r="B20" s="31">
        <f>COUNT(H3:H17)</f>
        <v>4</v>
      </c>
      <c r="C20" s="32">
        <f>IF(B20&lt;2,"N/A",(A20/D20))</f>
        <v>0.47595483697094321</v>
      </c>
      <c r="D20" s="33">
        <f>ROUND(AVERAGE(H3:H17),2)</f>
        <v>2.97</v>
      </c>
      <c r="E20" s="34">
        <f>IFERROR(ROUND(IF(B20&lt;2,"N/A",(IF(C20&lt;=25%,"N/A",AVERAGE(I3:I17)))),2),"N/A")</f>
        <v>2.29</v>
      </c>
      <c r="F20" s="34">
        <f>ROUND(MEDIAN(H3:H17),2)</f>
        <v>2.48</v>
      </c>
      <c r="G20" s="35" t="str">
        <f>INDEX(G3:G17,MATCH(H20,H3:H17,0))</f>
        <v>R. H. GUEDES VIEIRA</v>
      </c>
      <c r="H20" s="36">
        <f>MIN(H3:H17)</f>
        <v>1.92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2.29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11450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3" sqref="G3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151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152</v>
      </c>
      <c r="C3" s="9" t="s">
        <v>153</v>
      </c>
      <c r="D3" s="8">
        <v>1000</v>
      </c>
      <c r="E3" s="7">
        <f>IF(C20&lt;=25%,D20,MIN(E20:F20))</f>
        <v>78.739999999999995</v>
      </c>
      <c r="F3" s="7">
        <f>MIN(H3:H17)</f>
        <v>38.5</v>
      </c>
      <c r="G3" s="18" t="s">
        <v>154</v>
      </c>
      <c r="H3" s="19">
        <v>38.5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155</v>
      </c>
      <c r="H4" s="19">
        <v>61.99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156</v>
      </c>
      <c r="H5" s="19">
        <v>69.989999999999995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157</v>
      </c>
      <c r="H6" s="19">
        <v>76.760000000000005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158</v>
      </c>
      <c r="H7" s="19">
        <v>79.599999999999994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159</v>
      </c>
      <c r="H8" s="19">
        <v>80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160</v>
      </c>
      <c r="H9" s="19">
        <v>84.99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 t="s">
        <v>161</v>
      </c>
      <c r="H10" s="19">
        <v>89.99</v>
      </c>
      <c r="I10" s="20" t="str">
        <f t="shared" si="0"/>
        <v>N/A</v>
      </c>
    </row>
    <row r="11" spans="1:9">
      <c r="A11" s="11"/>
      <c r="B11" s="10"/>
      <c r="C11" s="9"/>
      <c r="D11" s="8"/>
      <c r="E11" s="7"/>
      <c r="F11" s="7"/>
      <c r="G11" s="18" t="s">
        <v>162</v>
      </c>
      <c r="H11" s="19">
        <v>91.49</v>
      </c>
      <c r="I11" s="20" t="str">
        <f t="shared" si="0"/>
        <v>N/A</v>
      </c>
    </row>
    <row r="12" spans="1:9">
      <c r="A12" s="11"/>
      <c r="B12" s="10"/>
      <c r="C12" s="9"/>
      <c r="D12" s="8"/>
      <c r="E12" s="7"/>
      <c r="F12" s="7"/>
      <c r="G12" s="18" t="s">
        <v>163</v>
      </c>
      <c r="H12" s="19">
        <v>92.5</v>
      </c>
      <c r="I12" s="20" t="str">
        <f t="shared" si="0"/>
        <v>N/A</v>
      </c>
    </row>
    <row r="13" spans="1:9">
      <c r="A13" s="11"/>
      <c r="B13" s="10"/>
      <c r="C13" s="9"/>
      <c r="D13" s="8"/>
      <c r="E13" s="7"/>
      <c r="F13" s="7"/>
      <c r="G13" s="18" t="s">
        <v>164</v>
      </c>
      <c r="H13" s="19">
        <v>100.33</v>
      </c>
      <c r="I13" s="20" t="str">
        <f t="shared" si="0"/>
        <v>N/A</v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17.222901613839554</v>
      </c>
      <c r="B20" s="31">
        <f>COUNT(H3:H17)</f>
        <v>11</v>
      </c>
      <c r="C20" s="32">
        <f>IF(B20&lt;2,"N/A",(A20/D20))</f>
        <v>0.21873128795833827</v>
      </c>
      <c r="D20" s="33">
        <f>ROUND(AVERAGE(H3:H17),2)</f>
        <v>78.739999999999995</v>
      </c>
      <c r="E20" s="34" t="str">
        <f>IFERROR(ROUND(IF(B20&lt;2,"N/A",(IF(C20&lt;=25%,"N/A",AVERAGE(I3:I17)))),2),"N/A")</f>
        <v>N/A</v>
      </c>
      <c r="F20" s="34">
        <f>ROUND(MEDIAN(H3:H17),2)</f>
        <v>80</v>
      </c>
      <c r="G20" s="35" t="str">
        <f>INDEX(G3:G17,MATCH(H20,H3:H17,0))</f>
        <v>MAM RIBEIRO COMERCIO DE ALIMENTOS</v>
      </c>
      <c r="H20" s="36">
        <f>MIN(H3:H17)</f>
        <v>38.5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78.739999999999995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78740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18" sqref="D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165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166</v>
      </c>
      <c r="C3" s="9" t="s">
        <v>153</v>
      </c>
      <c r="D3" s="8">
        <v>750</v>
      </c>
      <c r="E3" s="7">
        <f>IF(C20&lt;=25%,D20,MIN(E20:F20))</f>
        <v>78.28</v>
      </c>
      <c r="F3" s="7">
        <f>MIN(H3:H17)</f>
        <v>57.9</v>
      </c>
      <c r="G3" s="18" t="s">
        <v>155</v>
      </c>
      <c r="H3" s="19">
        <v>57.9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167</v>
      </c>
      <c r="H4" s="19">
        <v>69.989999999999995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157</v>
      </c>
      <c r="H5" s="19">
        <v>74.040000000000006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162</v>
      </c>
      <c r="H6" s="19">
        <v>75.400000000000006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168</v>
      </c>
      <c r="H7" s="19">
        <v>76.75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159</v>
      </c>
      <c r="H8" s="19">
        <v>80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160</v>
      </c>
      <c r="H9" s="19">
        <v>87.99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 t="s">
        <v>161</v>
      </c>
      <c r="H10" s="19">
        <v>89.97</v>
      </c>
      <c r="I10" s="20" t="str">
        <f t="shared" si="0"/>
        <v>N/A</v>
      </c>
    </row>
    <row r="11" spans="1:9">
      <c r="A11" s="11"/>
      <c r="B11" s="10"/>
      <c r="C11" s="9"/>
      <c r="D11" s="8"/>
      <c r="E11" s="7"/>
      <c r="F11" s="7"/>
      <c r="G11" s="18" t="s">
        <v>163</v>
      </c>
      <c r="H11" s="19">
        <v>92.5</v>
      </c>
      <c r="I11" s="20" t="str">
        <f t="shared" si="0"/>
        <v>N/A</v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10.890295884154952</v>
      </c>
      <c r="B20" s="31">
        <f>COUNT(H3:H17)</f>
        <v>9</v>
      </c>
      <c r="C20" s="32">
        <f>IF(B20&lt;2,"N/A",(A20/D20))</f>
        <v>0.13911977368619</v>
      </c>
      <c r="D20" s="33">
        <f>ROUND(AVERAGE(H3:H17),2)</f>
        <v>78.28</v>
      </c>
      <c r="E20" s="34" t="str">
        <f>IFERROR(ROUND(IF(B20&lt;2,"N/A",(IF(C20&lt;=25%,"N/A",AVERAGE(I3:I17)))),2),"N/A")</f>
        <v>N/A</v>
      </c>
      <c r="F20" s="34">
        <f>ROUND(MEDIAN(H3:H17),2)</f>
        <v>76.75</v>
      </c>
      <c r="G20" s="35" t="str">
        <f>INDEX(G3:G17,MATCH(H20,H3:H17,0))</f>
        <v>ZAN LOGISTICA E COMERCIO EIRELI</v>
      </c>
      <c r="H20" s="36">
        <f>MIN(H3:H17)</f>
        <v>57.9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78.28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58710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D18" sqref="D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169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170</v>
      </c>
      <c r="C3" s="9" t="s">
        <v>153</v>
      </c>
      <c r="D3" s="8">
        <v>750</v>
      </c>
      <c r="E3" s="7">
        <f>IF(C20&lt;=25%,D20,MIN(E20:F20))</f>
        <v>27.53</v>
      </c>
      <c r="F3" s="7">
        <f>MIN(H3:H17)</f>
        <v>12.5</v>
      </c>
      <c r="G3" s="18" t="s">
        <v>171</v>
      </c>
      <c r="H3" s="19">
        <f>0.25*50</f>
        <v>12.5</v>
      </c>
      <c r="I3" s="20">
        <f t="shared" ref="I3:I17" si="0">IF(H3="","",(IF($C$20&lt;25%,"N/A",IF(H3&lt;=($D$20+$A$20),H3,"Descartado"))))</f>
        <v>12.5</v>
      </c>
    </row>
    <row r="4" spans="1:9">
      <c r="A4" s="11"/>
      <c r="B4" s="10"/>
      <c r="C4" s="9"/>
      <c r="D4" s="8"/>
      <c r="E4" s="7"/>
      <c r="F4" s="7"/>
      <c r="G4" s="18" t="s">
        <v>172</v>
      </c>
      <c r="H4" s="19">
        <f>0.25*50</f>
        <v>12.5</v>
      </c>
      <c r="I4" s="20">
        <f t="shared" si="0"/>
        <v>12.5</v>
      </c>
    </row>
    <row r="5" spans="1:9">
      <c r="A5" s="11"/>
      <c r="B5" s="10"/>
      <c r="C5" s="9"/>
      <c r="D5" s="8"/>
      <c r="E5" s="7"/>
      <c r="F5" s="7"/>
      <c r="G5" s="18" t="s">
        <v>173</v>
      </c>
      <c r="H5" s="19">
        <f>0.415*50</f>
        <v>20.75</v>
      </c>
      <c r="I5" s="20">
        <f t="shared" si="0"/>
        <v>20.75</v>
      </c>
    </row>
    <row r="6" spans="1:9">
      <c r="A6" s="11"/>
      <c r="B6" s="10"/>
      <c r="C6" s="9"/>
      <c r="D6" s="8"/>
      <c r="E6" s="7"/>
      <c r="F6" s="7"/>
      <c r="G6" s="18" t="s">
        <v>174</v>
      </c>
      <c r="H6" s="19">
        <f>0.44*50</f>
        <v>22</v>
      </c>
      <c r="I6" s="20">
        <f t="shared" si="0"/>
        <v>22</v>
      </c>
    </row>
    <row r="7" spans="1:9">
      <c r="A7" s="11"/>
      <c r="B7" s="10"/>
      <c r="C7" s="9"/>
      <c r="D7" s="8"/>
      <c r="E7" s="7"/>
      <c r="F7" s="7"/>
      <c r="G7" s="18" t="s">
        <v>175</v>
      </c>
      <c r="H7" s="19">
        <f>0.6*50</f>
        <v>30</v>
      </c>
      <c r="I7" s="20">
        <f t="shared" si="0"/>
        <v>30</v>
      </c>
    </row>
    <row r="8" spans="1:9">
      <c r="A8" s="11"/>
      <c r="B8" s="10"/>
      <c r="C8" s="9"/>
      <c r="D8" s="8"/>
      <c r="E8" s="7"/>
      <c r="F8" s="7"/>
      <c r="G8" s="18" t="s">
        <v>176</v>
      </c>
      <c r="H8" s="19">
        <f>0.77*50</f>
        <v>38.5</v>
      </c>
      <c r="I8" s="20">
        <f t="shared" si="0"/>
        <v>38.5</v>
      </c>
    </row>
    <row r="9" spans="1:9">
      <c r="A9" s="11"/>
      <c r="B9" s="10"/>
      <c r="C9" s="9"/>
      <c r="D9" s="8"/>
      <c r="E9" s="7"/>
      <c r="F9" s="7"/>
      <c r="G9" s="18" t="s">
        <v>177</v>
      </c>
      <c r="H9" s="19">
        <f>0.7999*50</f>
        <v>39.995000000000005</v>
      </c>
      <c r="I9" s="20">
        <f t="shared" si="0"/>
        <v>39.995000000000005</v>
      </c>
    </row>
    <row r="10" spans="1:9">
      <c r="A10" s="11"/>
      <c r="B10" s="10"/>
      <c r="C10" s="9"/>
      <c r="D10" s="8"/>
      <c r="E10" s="7"/>
      <c r="F10" s="7"/>
      <c r="G10" s="18" t="s">
        <v>178</v>
      </c>
      <c r="H10" s="19">
        <f>0.88*50</f>
        <v>44</v>
      </c>
      <c r="I10" s="20">
        <f t="shared" si="0"/>
        <v>44</v>
      </c>
    </row>
    <row r="11" spans="1:9">
      <c r="A11" s="11"/>
      <c r="B11" s="10"/>
      <c r="C11" s="9"/>
      <c r="D11" s="8"/>
      <c r="E11" s="7"/>
      <c r="F11" s="7"/>
      <c r="G11" s="18" t="s">
        <v>179</v>
      </c>
      <c r="H11" s="19">
        <f>16.35*50</f>
        <v>817.50000000000011</v>
      </c>
      <c r="I11" s="20" t="str">
        <f t="shared" si="0"/>
        <v>Descartado</v>
      </c>
    </row>
    <row r="12" spans="1:9">
      <c r="A12" s="11"/>
      <c r="B12" s="10"/>
      <c r="C12" s="9"/>
      <c r="D12" s="8"/>
      <c r="E12" s="7"/>
      <c r="F12" s="7"/>
      <c r="G12" s="18" t="s">
        <v>180</v>
      </c>
      <c r="H12" s="19">
        <f>24.2*50</f>
        <v>1210</v>
      </c>
      <c r="I12" s="20" t="str">
        <f t="shared" si="0"/>
        <v>Descartado</v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426.13448633846156</v>
      </c>
      <c r="B20" s="31">
        <f>COUNT(H3:H17)</f>
        <v>10</v>
      </c>
      <c r="C20" s="32">
        <f>IF(B20&lt;2,"N/A",(A20/D20))</f>
        <v>1.8958690498663591</v>
      </c>
      <c r="D20" s="33">
        <f>ROUND(AVERAGE(H3:H17),2)</f>
        <v>224.77</v>
      </c>
      <c r="E20" s="34">
        <f>IFERROR(ROUND(IF(B20&lt;2,"N/A",(IF(C20&lt;=25%,"N/A",AVERAGE(I3:I17)))),2),"N/A")</f>
        <v>27.53</v>
      </c>
      <c r="F20" s="34">
        <f>ROUND(MEDIAN(H3:H17),2)</f>
        <v>34.25</v>
      </c>
      <c r="G20" s="35" t="str">
        <f>INDEX(G3:G17,MATCH(H20,H3:H17,0))</f>
        <v>OG MED EQUIPAMENTOS DE PROTECAO LTDA</v>
      </c>
      <c r="H20" s="36">
        <f>MIN(H3:H17)</f>
        <v>12.5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27.53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20647.5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8" sqref="G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181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182</v>
      </c>
      <c r="C3" s="9" t="s">
        <v>44</v>
      </c>
      <c r="D3" s="8">
        <v>6000</v>
      </c>
      <c r="E3" s="7">
        <f>IF(C20&lt;=25%,D20,MIN(E20:F20))</f>
        <v>2</v>
      </c>
      <c r="F3" s="7">
        <f>MIN(H3:H17)</f>
        <v>1.25</v>
      </c>
      <c r="G3" s="18" t="s">
        <v>183</v>
      </c>
      <c r="H3" s="19">
        <v>1.25</v>
      </c>
      <c r="I3" s="20">
        <f t="shared" ref="I3:I17" si="0">IF(H3="","",(IF($C$20&lt;25%,"N/A",IF(H3&lt;=($D$20+$A$20),H3,"Descartado"))))</f>
        <v>1.25</v>
      </c>
    </row>
    <row r="4" spans="1:9">
      <c r="A4" s="11"/>
      <c r="B4" s="10"/>
      <c r="C4" s="9"/>
      <c r="D4" s="8"/>
      <c r="E4" s="7"/>
      <c r="F4" s="7"/>
      <c r="G4" s="18" t="s">
        <v>184</v>
      </c>
      <c r="H4" s="19">
        <v>1.29</v>
      </c>
      <c r="I4" s="20">
        <f t="shared" si="0"/>
        <v>1.29</v>
      </c>
    </row>
    <row r="5" spans="1:9">
      <c r="A5" s="11"/>
      <c r="B5" s="10"/>
      <c r="C5" s="9"/>
      <c r="D5" s="8"/>
      <c r="E5" s="7"/>
      <c r="F5" s="7"/>
      <c r="G5" s="18" t="s">
        <v>185</v>
      </c>
      <c r="H5" s="19">
        <v>1.4</v>
      </c>
      <c r="I5" s="20">
        <f t="shared" si="0"/>
        <v>1.4</v>
      </c>
    </row>
    <row r="6" spans="1:9">
      <c r="A6" s="11"/>
      <c r="B6" s="10"/>
      <c r="C6" s="9"/>
      <c r="D6" s="8"/>
      <c r="E6" s="7"/>
      <c r="F6" s="7"/>
      <c r="G6" s="18" t="s">
        <v>186</v>
      </c>
      <c r="H6" s="19">
        <v>1.48</v>
      </c>
      <c r="I6" s="20">
        <f t="shared" si="0"/>
        <v>1.48</v>
      </c>
    </row>
    <row r="7" spans="1:9">
      <c r="A7" s="11"/>
      <c r="B7" s="10"/>
      <c r="C7" s="9"/>
      <c r="D7" s="8"/>
      <c r="E7" s="7"/>
      <c r="F7" s="7"/>
      <c r="G7" s="18" t="s">
        <v>187</v>
      </c>
      <c r="H7" s="19">
        <v>1.5</v>
      </c>
      <c r="I7" s="20">
        <f t="shared" si="0"/>
        <v>1.5</v>
      </c>
    </row>
    <row r="8" spans="1:9">
      <c r="A8" s="11"/>
      <c r="B8" s="10"/>
      <c r="C8" s="9"/>
      <c r="D8" s="8"/>
      <c r="E8" s="7"/>
      <c r="F8" s="7"/>
      <c r="G8" s="18" t="s">
        <v>188</v>
      </c>
      <c r="H8" s="19">
        <v>1.75</v>
      </c>
      <c r="I8" s="20">
        <f t="shared" si="0"/>
        <v>1.75</v>
      </c>
    </row>
    <row r="9" spans="1:9">
      <c r="A9" s="11"/>
      <c r="B9" s="10"/>
      <c r="C9" s="9"/>
      <c r="D9" s="8"/>
      <c r="E9" s="7"/>
      <c r="F9" s="7"/>
      <c r="G9" s="18" t="s">
        <v>189</v>
      </c>
      <c r="H9" s="19">
        <v>1.84</v>
      </c>
      <c r="I9" s="20">
        <f t="shared" si="0"/>
        <v>1.84</v>
      </c>
    </row>
    <row r="10" spans="1:9">
      <c r="A10" s="11"/>
      <c r="B10" s="10"/>
      <c r="C10" s="9"/>
      <c r="D10" s="8"/>
      <c r="E10" s="7"/>
      <c r="F10" s="7"/>
      <c r="G10" s="18" t="s">
        <v>190</v>
      </c>
      <c r="H10" s="19">
        <v>2</v>
      </c>
      <c r="I10" s="20">
        <f t="shared" si="0"/>
        <v>2</v>
      </c>
    </row>
    <row r="11" spans="1:9">
      <c r="A11" s="11"/>
      <c r="B11" s="10"/>
      <c r="C11" s="9"/>
      <c r="D11" s="8"/>
      <c r="E11" s="7"/>
      <c r="F11" s="7"/>
      <c r="G11" s="18" t="s">
        <v>191</v>
      </c>
      <c r="H11" s="19">
        <v>3.42</v>
      </c>
      <c r="I11" s="20">
        <f t="shared" si="0"/>
        <v>3.42</v>
      </c>
    </row>
    <row r="12" spans="1:9">
      <c r="A12" s="11"/>
      <c r="B12" s="10"/>
      <c r="C12" s="9"/>
      <c r="D12" s="8"/>
      <c r="E12" s="7"/>
      <c r="F12" s="7"/>
      <c r="G12" s="18" t="s">
        <v>192</v>
      </c>
      <c r="H12" s="19">
        <v>3.49</v>
      </c>
      <c r="I12" s="20">
        <f t="shared" si="0"/>
        <v>3.49</v>
      </c>
    </row>
    <row r="13" spans="1:9">
      <c r="A13" s="11"/>
      <c r="B13" s="10"/>
      <c r="C13" s="9"/>
      <c r="D13" s="8"/>
      <c r="E13" s="7"/>
      <c r="F13" s="7"/>
      <c r="G13" s="18" t="s">
        <v>193</v>
      </c>
      <c r="H13" s="19">
        <v>3.87</v>
      </c>
      <c r="I13" s="20">
        <f t="shared" si="0"/>
        <v>3.87</v>
      </c>
    </row>
    <row r="14" spans="1:9">
      <c r="A14" s="11"/>
      <c r="B14" s="10"/>
      <c r="C14" s="9"/>
      <c r="D14" s="8"/>
      <c r="E14" s="7"/>
      <c r="F14" s="7"/>
      <c r="G14" s="18" t="s">
        <v>194</v>
      </c>
      <c r="H14" s="19">
        <v>3.95</v>
      </c>
      <c r="I14" s="20">
        <f t="shared" si="0"/>
        <v>3.95</v>
      </c>
    </row>
    <row r="15" spans="1:9">
      <c r="A15" s="11"/>
      <c r="B15" s="10"/>
      <c r="C15" s="9"/>
      <c r="D15" s="8"/>
      <c r="E15" s="7"/>
      <c r="F15" s="7"/>
      <c r="G15" s="18" t="s">
        <v>195</v>
      </c>
      <c r="H15" s="19">
        <v>3.96</v>
      </c>
      <c r="I15" s="20">
        <f t="shared" si="0"/>
        <v>3.96</v>
      </c>
    </row>
    <row r="16" spans="1:9">
      <c r="A16" s="11"/>
      <c r="B16" s="10"/>
      <c r="C16" s="9"/>
      <c r="D16" s="8"/>
      <c r="E16" s="7"/>
      <c r="F16" s="7"/>
      <c r="G16" s="18" t="s">
        <v>196</v>
      </c>
      <c r="H16" s="19">
        <v>3.98</v>
      </c>
      <c r="I16" s="20">
        <f t="shared" si="0"/>
        <v>3.98</v>
      </c>
    </row>
    <row r="17" spans="1:11">
      <c r="A17" s="11"/>
      <c r="B17" s="10"/>
      <c r="C17" s="9"/>
      <c r="D17" s="8"/>
      <c r="E17" s="7"/>
      <c r="F17" s="7"/>
      <c r="G17" s="18" t="s">
        <v>197</v>
      </c>
      <c r="H17" s="19">
        <v>5.6</v>
      </c>
      <c r="I17" s="20" t="str">
        <f t="shared" si="0"/>
        <v>Descartado</v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1.376999152747258</v>
      </c>
      <c r="B20" s="31">
        <f>COUNT(H3:H17)</f>
        <v>15</v>
      </c>
      <c r="C20" s="32">
        <f>IF(B20&lt;2,"N/A",(A20/D20))</f>
        <v>0.50624968851002128</v>
      </c>
      <c r="D20" s="33">
        <f>ROUND(AVERAGE(H3:H17),2)</f>
        <v>2.72</v>
      </c>
      <c r="E20" s="34">
        <f>IFERROR(ROUND(IF(B20&lt;2,"N/A",(IF(C20&lt;=25%,"N/A",AVERAGE(I3:I17)))),2),"N/A")</f>
        <v>2.5099999999999998</v>
      </c>
      <c r="F20" s="34">
        <f>ROUND(MEDIAN(H3:H17),2)</f>
        <v>2</v>
      </c>
      <c r="G20" s="35" t="str">
        <f>INDEX(G3:G17,MATCH(H20,H3:H17,0))</f>
        <v>CAITHEC INDUSTRIAL LTDA</v>
      </c>
      <c r="H20" s="36">
        <f>MIN(H3:H17)</f>
        <v>1.25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2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12000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7" sqref="G7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198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199</v>
      </c>
      <c r="C3" s="9" t="s">
        <v>44</v>
      </c>
      <c r="D3" s="8">
        <v>100</v>
      </c>
      <c r="E3" s="7">
        <f>IF(C20&lt;=25%,D20,MIN(E20:F20))</f>
        <v>5.7</v>
      </c>
      <c r="F3" s="7">
        <f>MIN(H3:H17)</f>
        <v>2.76</v>
      </c>
      <c r="G3" s="18" t="s">
        <v>200</v>
      </c>
      <c r="H3" s="19">
        <v>2.76</v>
      </c>
      <c r="I3" s="20">
        <f t="shared" ref="I3:I17" si="0">IF(H3="","",(IF($C$20&lt;25%,"N/A",IF(H3&lt;=($D$20+$A$20),H3,"Descartado"))))</f>
        <v>2.76</v>
      </c>
    </row>
    <row r="4" spans="1:9">
      <c r="A4" s="11"/>
      <c r="B4" s="10"/>
      <c r="C4" s="9"/>
      <c r="D4" s="8"/>
      <c r="E4" s="7"/>
      <c r="F4" s="7"/>
      <c r="G4" s="18" t="s">
        <v>201</v>
      </c>
      <c r="H4" s="19">
        <v>7.9</v>
      </c>
      <c r="I4" s="20">
        <f t="shared" si="0"/>
        <v>7.9</v>
      </c>
    </row>
    <row r="5" spans="1:9">
      <c r="A5" s="11"/>
      <c r="B5" s="10"/>
      <c r="C5" s="9"/>
      <c r="D5" s="8"/>
      <c r="E5" s="7"/>
      <c r="F5" s="7"/>
      <c r="G5" s="18" t="s">
        <v>202</v>
      </c>
      <c r="H5" s="19">
        <v>4.7</v>
      </c>
      <c r="I5" s="20">
        <f t="shared" si="0"/>
        <v>4.7</v>
      </c>
    </row>
    <row r="6" spans="1:9">
      <c r="A6" s="11"/>
      <c r="B6" s="10"/>
      <c r="C6" s="9"/>
      <c r="D6" s="8"/>
      <c r="E6" s="7"/>
      <c r="F6" s="7"/>
      <c r="G6" s="18" t="s">
        <v>203</v>
      </c>
      <c r="H6" s="19">
        <v>7.45</v>
      </c>
      <c r="I6" s="20">
        <f t="shared" si="0"/>
        <v>7.45</v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2.4184068447361535</v>
      </c>
      <c r="B20" s="31">
        <f>COUNT(H3:H17)</f>
        <v>4</v>
      </c>
      <c r="C20" s="32">
        <f>IF(B20&lt;2,"N/A",(A20/D20))</f>
        <v>0.42428190258529008</v>
      </c>
      <c r="D20" s="33">
        <f>ROUND(AVERAGE(H3:H17),2)</f>
        <v>5.7</v>
      </c>
      <c r="E20" s="34">
        <f>IFERROR(ROUND(IF(B20&lt;2,"N/A",(IF(C20&lt;=25%,"N/A",AVERAGE(I3:I17)))),2),"N/A")</f>
        <v>5.7</v>
      </c>
      <c r="F20" s="34">
        <f>ROUND(MEDIAN(H3:H17),2)</f>
        <v>6.08</v>
      </c>
      <c r="G20" s="35" t="str">
        <f>INDEX(G3:G17,MATCH(H20,H3:H17,0))</f>
        <v>J. R. COMERCIO E LOCACAO DE VEICULOS EIRELI</v>
      </c>
      <c r="H20" s="36">
        <f>MIN(H3:H17)</f>
        <v>2.76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5.7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570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2" sqref="G12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34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35</v>
      </c>
      <c r="C3" s="9" t="s">
        <v>11</v>
      </c>
      <c r="D3" s="8">
        <v>10000</v>
      </c>
      <c r="E3" s="7">
        <f>IF(C20&lt;=25%,D20,MIN(E20:F20))</f>
        <v>1.75</v>
      </c>
      <c r="F3" s="7">
        <f>MIN(H3:H17)</f>
        <v>1.26</v>
      </c>
      <c r="G3" s="18" t="s">
        <v>36</v>
      </c>
      <c r="H3" s="19">
        <v>1.26</v>
      </c>
      <c r="I3" s="20">
        <f t="shared" ref="I3:I17" si="0">IF(H3="","",(IF($C$20&lt;25%,"N/A",IF(H3&lt;=($D$20+$A$20),H3,"Descartado"))))</f>
        <v>1.26</v>
      </c>
    </row>
    <row r="4" spans="1:9">
      <c r="A4" s="11"/>
      <c r="B4" s="10"/>
      <c r="C4" s="9"/>
      <c r="D4" s="8"/>
      <c r="E4" s="7"/>
      <c r="F4" s="7"/>
      <c r="G4" s="18" t="s">
        <v>13</v>
      </c>
      <c r="H4" s="19">
        <v>1.3</v>
      </c>
      <c r="I4" s="20">
        <f t="shared" si="0"/>
        <v>1.3</v>
      </c>
    </row>
    <row r="5" spans="1:9">
      <c r="A5" s="11"/>
      <c r="B5" s="10"/>
      <c r="C5" s="9"/>
      <c r="D5" s="8"/>
      <c r="E5" s="7"/>
      <c r="F5" s="7"/>
      <c r="G5" s="18" t="s">
        <v>37</v>
      </c>
      <c r="H5" s="19">
        <v>1.47</v>
      </c>
      <c r="I5" s="20">
        <f t="shared" si="0"/>
        <v>1.47</v>
      </c>
    </row>
    <row r="6" spans="1:9">
      <c r="A6" s="11"/>
      <c r="B6" s="10"/>
      <c r="C6" s="9"/>
      <c r="D6" s="8"/>
      <c r="E6" s="7"/>
      <c r="F6" s="7"/>
      <c r="G6" s="18" t="s">
        <v>17</v>
      </c>
      <c r="H6" s="19">
        <v>1.5</v>
      </c>
      <c r="I6" s="20">
        <f t="shared" si="0"/>
        <v>1.5</v>
      </c>
    </row>
    <row r="7" spans="1:9">
      <c r="A7" s="11"/>
      <c r="B7" s="10"/>
      <c r="C7" s="9"/>
      <c r="D7" s="8"/>
      <c r="E7" s="7"/>
      <c r="F7" s="7"/>
      <c r="G7" s="18" t="s">
        <v>38</v>
      </c>
      <c r="H7" s="19">
        <v>1.99</v>
      </c>
      <c r="I7" s="20">
        <f t="shared" si="0"/>
        <v>1.99</v>
      </c>
    </row>
    <row r="8" spans="1:9">
      <c r="A8" s="11"/>
      <c r="B8" s="10"/>
      <c r="C8" s="9"/>
      <c r="D8" s="8"/>
      <c r="E8" s="7"/>
      <c r="F8" s="7"/>
      <c r="G8" s="18" t="s">
        <v>16</v>
      </c>
      <c r="H8" s="19">
        <v>2</v>
      </c>
      <c r="I8" s="20">
        <f t="shared" si="0"/>
        <v>2</v>
      </c>
    </row>
    <row r="9" spans="1:9">
      <c r="A9" s="11"/>
      <c r="B9" s="10"/>
      <c r="C9" s="9"/>
      <c r="D9" s="8"/>
      <c r="E9" s="7"/>
      <c r="F9" s="7"/>
      <c r="G9" s="18" t="s">
        <v>39</v>
      </c>
      <c r="H9" s="19">
        <v>2.17</v>
      </c>
      <c r="I9" s="20">
        <f t="shared" si="0"/>
        <v>2.17</v>
      </c>
    </row>
    <row r="10" spans="1:9">
      <c r="A10" s="11"/>
      <c r="B10" s="10"/>
      <c r="C10" s="9"/>
      <c r="D10" s="8"/>
      <c r="E10" s="7"/>
      <c r="F10" s="7"/>
      <c r="G10" s="18" t="s">
        <v>40</v>
      </c>
      <c r="H10" s="19">
        <v>2.2999999999999998</v>
      </c>
      <c r="I10" s="20">
        <f t="shared" si="0"/>
        <v>2.2999999999999998</v>
      </c>
    </row>
    <row r="11" spans="1:9">
      <c r="A11" s="11"/>
      <c r="B11" s="10"/>
      <c r="C11" s="9"/>
      <c r="D11" s="8"/>
      <c r="E11" s="7"/>
      <c r="F11" s="7"/>
      <c r="G11" s="18" t="s">
        <v>41</v>
      </c>
      <c r="H11" s="19">
        <v>3.8</v>
      </c>
      <c r="I11" s="20" t="str">
        <f t="shared" si="0"/>
        <v>Descartado</v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0.78442654213125673</v>
      </c>
      <c r="B20" s="31">
        <f>COUNT(H3:H17)</f>
        <v>9</v>
      </c>
      <c r="C20" s="32">
        <f>IF(B20&lt;2,"N/A",(A20/D20))</f>
        <v>0.39617502127841248</v>
      </c>
      <c r="D20" s="33">
        <f>ROUND(AVERAGE(H3:H17),2)</f>
        <v>1.98</v>
      </c>
      <c r="E20" s="34">
        <f>IFERROR(ROUND(IF(B20&lt;2,"N/A",(IF(C20&lt;=25%,"N/A",AVERAGE(I3:I17)))),2),"N/A")</f>
        <v>1.75</v>
      </c>
      <c r="F20" s="34">
        <f>ROUND(MEDIAN(H3:H17),2)</f>
        <v>1.99</v>
      </c>
      <c r="G20" s="35" t="str">
        <f>INDEX(G3:G17,MATCH(H20,H3:H17,0))</f>
        <v>RLDOK DISTRIBUIDORA DE MATERIAL E SERVICOS EIRELI</v>
      </c>
      <c r="H20" s="36">
        <f>MIN(H3:H17)</f>
        <v>1.26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1.75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17500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8" sqref="G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204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205</v>
      </c>
      <c r="C3" s="9" t="s">
        <v>44</v>
      </c>
      <c r="D3" s="8">
        <v>3000</v>
      </c>
      <c r="E3" s="7">
        <f>IF(C20&lt;=25%,D20,MIN(E20:F20))</f>
        <v>2.99</v>
      </c>
      <c r="F3" s="7">
        <f>MIN(H3:H17)</f>
        <v>2.31</v>
      </c>
      <c r="G3" s="18" t="s">
        <v>206</v>
      </c>
      <c r="H3" s="19">
        <v>2.31</v>
      </c>
      <c r="I3" s="20">
        <f t="shared" ref="I3:I17" si="0">IF(H3="","",(IF($C$20&lt;25%,"N/A",IF(H3&lt;=($D$20+$A$20),H3,"Descartado"))))</f>
        <v>2.31</v>
      </c>
    </row>
    <row r="4" spans="1:9">
      <c r="A4" s="11"/>
      <c r="B4" s="10"/>
      <c r="C4" s="9"/>
      <c r="D4" s="8"/>
      <c r="E4" s="7"/>
      <c r="F4" s="7"/>
      <c r="G4" s="18" t="s">
        <v>207</v>
      </c>
      <c r="H4" s="19">
        <v>2.9</v>
      </c>
      <c r="I4" s="20">
        <f t="shared" si="0"/>
        <v>2.9</v>
      </c>
    </row>
    <row r="5" spans="1:9">
      <c r="A5" s="11"/>
      <c r="B5" s="10"/>
      <c r="C5" s="9"/>
      <c r="D5" s="8"/>
      <c r="E5" s="7"/>
      <c r="F5" s="7"/>
      <c r="G5" s="18" t="s">
        <v>144</v>
      </c>
      <c r="H5" s="19">
        <v>2.99</v>
      </c>
      <c r="I5" s="20">
        <f t="shared" si="0"/>
        <v>2.99</v>
      </c>
    </row>
    <row r="6" spans="1:9">
      <c r="A6" s="11"/>
      <c r="B6" s="10"/>
      <c r="C6" s="9"/>
      <c r="D6" s="8"/>
      <c r="E6" s="7"/>
      <c r="F6" s="7"/>
      <c r="G6" s="18" t="s">
        <v>208</v>
      </c>
      <c r="H6" s="19">
        <v>4.3499999999999996</v>
      </c>
      <c r="I6" s="20">
        <f t="shared" si="0"/>
        <v>4.3499999999999996</v>
      </c>
    </row>
    <row r="7" spans="1:9">
      <c r="A7" s="11"/>
      <c r="B7" s="10"/>
      <c r="C7" s="9"/>
      <c r="D7" s="8"/>
      <c r="E7" s="7"/>
      <c r="F7" s="7"/>
      <c r="G7" s="18" t="s">
        <v>209</v>
      </c>
      <c r="H7" s="19">
        <v>4.8499999999999996</v>
      </c>
      <c r="I7" s="20" t="str">
        <f t="shared" si="0"/>
        <v>Descartado</v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1.0699532700076213</v>
      </c>
      <c r="B20" s="31">
        <f>COUNT(H3:H17)</f>
        <v>5</v>
      </c>
      <c r="C20" s="32">
        <f>IF(B20&lt;2,"N/A",(A20/D20))</f>
        <v>0.30745783620908657</v>
      </c>
      <c r="D20" s="33">
        <f>ROUND(AVERAGE(H3:H17),2)</f>
        <v>3.48</v>
      </c>
      <c r="E20" s="34">
        <f>IFERROR(ROUND(IF(B20&lt;2,"N/A",(IF(C20&lt;=25%,"N/A",AVERAGE(I3:I17)))),2),"N/A")</f>
        <v>3.14</v>
      </c>
      <c r="F20" s="34">
        <f>ROUND(MEDIAN(H3:H17),2)</f>
        <v>2.99</v>
      </c>
      <c r="G20" s="35" t="str">
        <f>INDEX(G3:G17,MATCH(H20,H3:H17,0))</f>
        <v>NEX TEXTIL ROUPAS E ACESSORIOS LTDA</v>
      </c>
      <c r="H20" s="36">
        <f>MIN(H3:H17)</f>
        <v>2.31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2.99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8970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6" sqref="G6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210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211</v>
      </c>
      <c r="C3" s="9" t="s">
        <v>64</v>
      </c>
      <c r="D3" s="8">
        <v>200</v>
      </c>
      <c r="E3" s="7">
        <f>IF(C20&lt;=25%,D20,MIN(E20:F20))</f>
        <v>39.57</v>
      </c>
      <c r="F3" s="7">
        <f>MIN(H3:H17)</f>
        <v>29.98</v>
      </c>
      <c r="G3" s="18" t="s">
        <v>212</v>
      </c>
      <c r="H3" s="19">
        <v>44.75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213</v>
      </c>
      <c r="H4" s="19">
        <v>29.98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214</v>
      </c>
      <c r="H5" s="19">
        <v>43.98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8.3141024771167871</v>
      </c>
      <c r="B20" s="31">
        <f>COUNT(H3:H17)</f>
        <v>3</v>
      </c>
      <c r="C20" s="32">
        <f>IF(B20&lt;2,"N/A",(A20/D20))</f>
        <v>0.21011125795089175</v>
      </c>
      <c r="D20" s="33">
        <f>ROUND(AVERAGE(H3:H17),2)</f>
        <v>39.57</v>
      </c>
      <c r="E20" s="34" t="str">
        <f>IFERROR(ROUND(IF(B20&lt;2,"N/A",(IF(C20&lt;=25%,"N/A",AVERAGE(I3:I17)))),2),"N/A")</f>
        <v>N/A</v>
      </c>
      <c r="F20" s="34">
        <f>ROUND(MEDIAN(H3:H17),2)</f>
        <v>43.98</v>
      </c>
      <c r="G20" s="35" t="str">
        <f>INDEX(G3:G17,MATCH(H20,H3:H17,0))</f>
        <v>CASA SEG</v>
      </c>
      <c r="H20" s="36">
        <f>MIN(H3:H17)</f>
        <v>29.98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39.57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7914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0" sqref="G10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215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216</v>
      </c>
      <c r="C3" s="9" t="s">
        <v>64</v>
      </c>
      <c r="D3" s="8">
        <v>15000</v>
      </c>
      <c r="E3" s="7">
        <f>IF(C20&lt;=25%,D20,MIN(E20:F20))</f>
        <v>2.95</v>
      </c>
      <c r="F3" s="7">
        <f>MIN(H3:H17)</f>
        <v>2.1800000000000002</v>
      </c>
      <c r="G3" s="18" t="s">
        <v>217</v>
      </c>
      <c r="H3" s="19">
        <v>2.1800000000000002</v>
      </c>
      <c r="I3" s="20">
        <f t="shared" ref="I3:I17" si="0">IF(H3="","",(IF($C$20&lt;25%,"N/A",IF(H3&lt;=($D$20+$A$20),H3,"Descartado"))))</f>
        <v>2.1800000000000002</v>
      </c>
    </row>
    <row r="4" spans="1:9">
      <c r="A4" s="11"/>
      <c r="B4" s="10"/>
      <c r="C4" s="9"/>
      <c r="D4" s="8"/>
      <c r="E4" s="7"/>
      <c r="F4" s="7"/>
      <c r="G4" s="18" t="s">
        <v>218</v>
      </c>
      <c r="H4" s="19">
        <v>2.2400000000000002</v>
      </c>
      <c r="I4" s="20">
        <f t="shared" si="0"/>
        <v>2.2400000000000002</v>
      </c>
    </row>
    <row r="5" spans="1:9">
      <c r="A5" s="11"/>
      <c r="B5" s="10"/>
      <c r="C5" s="9"/>
      <c r="D5" s="8"/>
      <c r="E5" s="7"/>
      <c r="F5" s="7"/>
      <c r="G5" s="18" t="s">
        <v>219</v>
      </c>
      <c r="H5" s="19">
        <v>2.86</v>
      </c>
      <c r="I5" s="20">
        <f t="shared" si="0"/>
        <v>2.86</v>
      </c>
    </row>
    <row r="6" spans="1:9">
      <c r="A6" s="11"/>
      <c r="B6" s="10"/>
      <c r="C6" s="9"/>
      <c r="D6" s="8"/>
      <c r="E6" s="7"/>
      <c r="F6" s="7"/>
      <c r="G6" s="18" t="s">
        <v>220</v>
      </c>
      <c r="H6" s="19">
        <v>2.95</v>
      </c>
      <c r="I6" s="20">
        <f t="shared" si="0"/>
        <v>2.95</v>
      </c>
    </row>
    <row r="7" spans="1:9">
      <c r="A7" s="11"/>
      <c r="B7" s="10"/>
      <c r="C7" s="9"/>
      <c r="D7" s="8"/>
      <c r="E7" s="7"/>
      <c r="F7" s="7"/>
      <c r="G7" s="18" t="s">
        <v>221</v>
      </c>
      <c r="H7" s="19">
        <v>3.89</v>
      </c>
      <c r="I7" s="20">
        <f t="shared" si="0"/>
        <v>3.89</v>
      </c>
    </row>
    <row r="8" spans="1:9">
      <c r="A8" s="11"/>
      <c r="B8" s="10"/>
      <c r="C8" s="9"/>
      <c r="D8" s="8"/>
      <c r="E8" s="7"/>
      <c r="F8" s="7"/>
      <c r="G8" s="18" t="s">
        <v>222</v>
      </c>
      <c r="H8" s="19">
        <v>4.0599999999999996</v>
      </c>
      <c r="I8" s="20">
        <f t="shared" si="0"/>
        <v>4.0599999999999996</v>
      </c>
    </row>
    <row r="9" spans="1:9">
      <c r="A9" s="11"/>
      <c r="B9" s="10"/>
      <c r="C9" s="9"/>
      <c r="D9" s="8"/>
      <c r="E9" s="7"/>
      <c r="F9" s="7"/>
      <c r="G9" s="18" t="s">
        <v>67</v>
      </c>
      <c r="H9" s="19">
        <v>4.3899999999999997</v>
      </c>
      <c r="I9" s="20" t="str">
        <f t="shared" si="0"/>
        <v>Descartado</v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0.89141941387237589</v>
      </c>
      <c r="B20" s="31">
        <f>COUNT(H3:H17)</f>
        <v>7</v>
      </c>
      <c r="C20" s="32">
        <f>IF(B20&lt;2,"N/A",(A20/D20))</f>
        <v>0.27683832728955771</v>
      </c>
      <c r="D20" s="33">
        <f>ROUND(AVERAGE(H3:H17),2)</f>
        <v>3.22</v>
      </c>
      <c r="E20" s="34">
        <f>IFERROR(ROUND(IF(B20&lt;2,"N/A",(IF(C20&lt;=25%,"N/A",AVERAGE(I3:I17)))),2),"N/A")</f>
        <v>3.03</v>
      </c>
      <c r="F20" s="34">
        <f>ROUND(MEDIAN(H3:H17),2)</f>
        <v>2.95</v>
      </c>
      <c r="G20" s="35" t="str">
        <f>INDEX(G3:G17,MATCH(H20,H3:H17,0))</f>
        <v>JUCELIO COSTA DE ARAUJO E CIA LTDA</v>
      </c>
      <c r="H20" s="36">
        <f>MIN(H3:H17)</f>
        <v>2.1800000000000002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2.95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44250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6" sqref="G6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223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224</v>
      </c>
      <c r="C3" s="9" t="s">
        <v>64</v>
      </c>
      <c r="D3" s="8">
        <v>6000</v>
      </c>
      <c r="E3" s="7">
        <f>IF(C20&lt;=25%,D20,MIN(E20:F20))</f>
        <v>7.44</v>
      </c>
      <c r="F3" s="7">
        <f>MIN(H3:H17)</f>
        <v>7</v>
      </c>
      <c r="G3" s="18" t="s">
        <v>225</v>
      </c>
      <c r="H3" s="19">
        <v>7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226</v>
      </c>
      <c r="H4" s="19">
        <v>7.22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227</v>
      </c>
      <c r="H5" s="19">
        <v>8.09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0.57639685402796337</v>
      </c>
      <c r="B20" s="31">
        <f>COUNT(H3:H17)</f>
        <v>3</v>
      </c>
      <c r="C20" s="32">
        <f>IF(B20&lt;2,"N/A",(A20/D20))</f>
        <v>7.7472695433866035E-2</v>
      </c>
      <c r="D20" s="33">
        <f>ROUND(AVERAGE(H3:H17),2)</f>
        <v>7.44</v>
      </c>
      <c r="E20" s="34" t="str">
        <f>IFERROR(ROUND(IF(B20&lt;2,"N/A",(IF(C20&lt;=25%,"N/A",AVERAGE(I3:I17)))),2),"N/A")</f>
        <v>N/A</v>
      </c>
      <c r="F20" s="34">
        <f>ROUND(MEDIAN(H3:H17),2)</f>
        <v>7.22</v>
      </c>
      <c r="G20" s="35" t="str">
        <f>INDEX(G3:G17,MATCH(H20,H3:H17,0))</f>
        <v>ENGE ENTREGAS DE BENS E PRODUTOS LTDA</v>
      </c>
      <c r="H20" s="36">
        <f>MIN(H3:H17)</f>
        <v>7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7.44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44640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2" sqref="G12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228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229</v>
      </c>
      <c r="C3" s="9" t="s">
        <v>153</v>
      </c>
      <c r="D3" s="8">
        <v>3500</v>
      </c>
      <c r="E3" s="7">
        <f>IF(C20&lt;=25%,D20,MIN(E20:F20))</f>
        <v>1.97</v>
      </c>
      <c r="F3" s="7">
        <f>MIN(H3:H17)</f>
        <v>0.83260000000000001</v>
      </c>
      <c r="G3" s="18" t="s">
        <v>77</v>
      </c>
      <c r="H3" s="19">
        <v>0.83260000000000001</v>
      </c>
      <c r="I3" s="20">
        <f t="shared" ref="I3:I17" si="0">IF(H3="","",(IF($C$20&lt;25%,"N/A",IF(H3&lt;=($D$20+$A$20),H3,"Descartado"))))</f>
        <v>0.83260000000000001</v>
      </c>
    </row>
    <row r="4" spans="1:9">
      <c r="A4" s="11"/>
      <c r="B4" s="10"/>
      <c r="C4" s="9"/>
      <c r="D4" s="8"/>
      <c r="E4" s="7"/>
      <c r="F4" s="7"/>
      <c r="G4" s="18" t="s">
        <v>230</v>
      </c>
      <c r="H4" s="19">
        <v>1.3</v>
      </c>
      <c r="I4" s="20">
        <f t="shared" si="0"/>
        <v>1.3</v>
      </c>
    </row>
    <row r="5" spans="1:9">
      <c r="A5" s="11"/>
      <c r="B5" s="10"/>
      <c r="C5" s="9"/>
      <c r="D5" s="8"/>
      <c r="E5" s="7"/>
      <c r="F5" s="7"/>
      <c r="G5" s="18" t="s">
        <v>217</v>
      </c>
      <c r="H5" s="19">
        <v>1.31</v>
      </c>
      <c r="I5" s="20">
        <f t="shared" si="0"/>
        <v>1.31</v>
      </c>
    </row>
    <row r="6" spans="1:9">
      <c r="A6" s="11"/>
      <c r="B6" s="10"/>
      <c r="C6" s="9"/>
      <c r="D6" s="8"/>
      <c r="E6" s="7"/>
      <c r="F6" s="7"/>
      <c r="G6" s="18" t="s">
        <v>231</v>
      </c>
      <c r="H6" s="19">
        <v>1.4</v>
      </c>
      <c r="I6" s="20">
        <f t="shared" si="0"/>
        <v>1.4</v>
      </c>
    </row>
    <row r="7" spans="1:9">
      <c r="A7" s="11"/>
      <c r="B7" s="10"/>
      <c r="C7" s="9"/>
      <c r="D7" s="8"/>
      <c r="E7" s="7"/>
      <c r="F7" s="7"/>
      <c r="G7" s="18" t="s">
        <v>232</v>
      </c>
      <c r="H7" s="19">
        <v>2.5</v>
      </c>
      <c r="I7" s="20">
        <f t="shared" si="0"/>
        <v>2.5</v>
      </c>
    </row>
    <row r="8" spans="1:9">
      <c r="A8" s="11"/>
      <c r="B8" s="10"/>
      <c r="C8" s="9"/>
      <c r="D8" s="8"/>
      <c r="E8" s="7"/>
      <c r="F8" s="7"/>
      <c r="G8" s="18" t="s">
        <v>65</v>
      </c>
      <c r="H8" s="19">
        <v>3.2</v>
      </c>
      <c r="I8" s="20">
        <f t="shared" si="0"/>
        <v>3.2</v>
      </c>
    </row>
    <row r="9" spans="1:9">
      <c r="A9" s="11"/>
      <c r="B9" s="10"/>
      <c r="C9" s="9"/>
      <c r="D9" s="8"/>
      <c r="E9" s="7"/>
      <c r="F9" s="7"/>
      <c r="G9" s="18" t="s">
        <v>78</v>
      </c>
      <c r="H9" s="19">
        <v>3.25</v>
      </c>
      <c r="I9" s="20">
        <f t="shared" si="0"/>
        <v>3.25</v>
      </c>
    </row>
    <row r="10" spans="1:9">
      <c r="A10" s="11"/>
      <c r="B10" s="10"/>
      <c r="C10" s="9"/>
      <c r="D10" s="8"/>
      <c r="E10" s="7"/>
      <c r="F10" s="7"/>
      <c r="G10" s="18" t="s">
        <v>233</v>
      </c>
      <c r="H10" s="19">
        <v>3.95</v>
      </c>
      <c r="I10" s="20" t="str">
        <f t="shared" si="0"/>
        <v>Descartado</v>
      </c>
    </row>
    <row r="11" spans="1:9">
      <c r="A11" s="11"/>
      <c r="B11" s="10"/>
      <c r="C11" s="9"/>
      <c r="D11" s="8"/>
      <c r="E11" s="7"/>
      <c r="F11" s="7"/>
      <c r="G11" s="18" t="s">
        <v>234</v>
      </c>
      <c r="H11" s="19">
        <v>4.05</v>
      </c>
      <c r="I11" s="20" t="str">
        <f t="shared" si="0"/>
        <v>Descartado</v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1.2423878782409303</v>
      </c>
      <c r="B20" s="31">
        <f>COUNT(H3:H17)</f>
        <v>9</v>
      </c>
      <c r="C20" s="32">
        <f>IF(B20&lt;2,"N/A",(A20/D20))</f>
        <v>0.51338342076071508</v>
      </c>
      <c r="D20" s="33">
        <f>ROUND(AVERAGE(H3:H17),2)</f>
        <v>2.42</v>
      </c>
      <c r="E20" s="34">
        <f>IFERROR(ROUND(IF(B20&lt;2,"N/A",(IF(C20&lt;=25%,"N/A",AVERAGE(I3:I17)))),2),"N/A")</f>
        <v>1.97</v>
      </c>
      <c r="F20" s="34">
        <f>ROUND(MEDIAN(H3:H17),2)</f>
        <v>2.5</v>
      </c>
      <c r="G20" s="35" t="str">
        <f>INDEX(G3:G17,MATCH(H20,H3:H17,0))</f>
        <v>RODOLFO SILVA BEZERRA</v>
      </c>
      <c r="H20" s="36">
        <f>MIN(H3:H17)</f>
        <v>0.83260000000000001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1.97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6895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1" sqref="G11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235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236</v>
      </c>
      <c r="C3" s="9" t="s">
        <v>64</v>
      </c>
      <c r="D3" s="8">
        <v>6000</v>
      </c>
      <c r="E3" s="7">
        <f>IF(C20&lt;=25%,D20,MIN(E20:F20))</f>
        <v>7.25</v>
      </c>
      <c r="F3" s="7">
        <f>MIN(H3:H17)</f>
        <v>5.17</v>
      </c>
      <c r="G3" s="18" t="s">
        <v>237</v>
      </c>
      <c r="H3" s="19">
        <v>5.17</v>
      </c>
      <c r="I3" s="20">
        <f t="shared" ref="I3:I17" si="0">IF(H3="","",(IF($C$20&lt;25%,"N/A",IF(H3&lt;=($D$20+$A$20),H3,"Descartado"))))</f>
        <v>5.17</v>
      </c>
    </row>
    <row r="4" spans="1:9">
      <c r="A4" s="11"/>
      <c r="B4" s="10"/>
      <c r="C4" s="9"/>
      <c r="D4" s="8"/>
      <c r="E4" s="7"/>
      <c r="F4" s="7"/>
      <c r="G4" s="18" t="s">
        <v>238</v>
      </c>
      <c r="H4" s="19">
        <v>5.8</v>
      </c>
      <c r="I4" s="20">
        <f t="shared" si="0"/>
        <v>5.8</v>
      </c>
    </row>
    <row r="5" spans="1:9">
      <c r="A5" s="11"/>
      <c r="B5" s="10"/>
      <c r="C5" s="9"/>
      <c r="D5" s="8"/>
      <c r="E5" s="7"/>
      <c r="F5" s="7"/>
      <c r="G5" s="18" t="s">
        <v>239</v>
      </c>
      <c r="H5" s="19">
        <v>6.75</v>
      </c>
      <c r="I5" s="20">
        <f t="shared" si="0"/>
        <v>6.75</v>
      </c>
    </row>
    <row r="6" spans="1:9">
      <c r="A6" s="11"/>
      <c r="B6" s="10"/>
      <c r="C6" s="9"/>
      <c r="D6" s="8"/>
      <c r="E6" s="7"/>
      <c r="F6" s="7"/>
      <c r="G6" s="18" t="s">
        <v>240</v>
      </c>
      <c r="H6" s="19">
        <v>7.84</v>
      </c>
      <c r="I6" s="20">
        <f t="shared" si="0"/>
        <v>7.84</v>
      </c>
    </row>
    <row r="7" spans="1:9">
      <c r="A7" s="11"/>
      <c r="B7" s="10"/>
      <c r="C7" s="9"/>
      <c r="D7" s="8"/>
      <c r="E7" s="7"/>
      <c r="F7" s="7"/>
      <c r="G7" s="18" t="s">
        <v>67</v>
      </c>
      <c r="H7" s="19">
        <v>7.88</v>
      </c>
      <c r="I7" s="20">
        <f t="shared" si="0"/>
        <v>7.88</v>
      </c>
    </row>
    <row r="8" spans="1:9">
      <c r="A8" s="11"/>
      <c r="B8" s="10"/>
      <c r="C8" s="9"/>
      <c r="D8" s="8"/>
      <c r="E8" s="7"/>
      <c r="F8" s="7"/>
      <c r="G8" s="18" t="s">
        <v>241</v>
      </c>
      <c r="H8" s="19">
        <v>8.5</v>
      </c>
      <c r="I8" s="20">
        <f t="shared" si="0"/>
        <v>8.5</v>
      </c>
    </row>
    <row r="9" spans="1:9">
      <c r="A9" s="11"/>
      <c r="B9" s="10"/>
      <c r="C9" s="9"/>
      <c r="D9" s="8"/>
      <c r="E9" s="7"/>
      <c r="F9" s="7"/>
      <c r="G9" s="18" t="s">
        <v>242</v>
      </c>
      <c r="H9" s="19">
        <v>8.8000000000000007</v>
      </c>
      <c r="I9" s="20">
        <f t="shared" si="0"/>
        <v>8.8000000000000007</v>
      </c>
    </row>
    <row r="10" spans="1:9">
      <c r="A10" s="11"/>
      <c r="B10" s="10"/>
      <c r="C10" s="9"/>
      <c r="D10" s="8"/>
      <c r="E10" s="7"/>
      <c r="F10" s="7"/>
      <c r="G10" s="18" t="s">
        <v>122</v>
      </c>
      <c r="H10" s="19">
        <v>13.5</v>
      </c>
      <c r="I10" s="20" t="str">
        <f t="shared" si="0"/>
        <v>Descartado</v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2.5518676633847166</v>
      </c>
      <c r="B20" s="31">
        <f>COUNT(H3:H17)</f>
        <v>8</v>
      </c>
      <c r="C20" s="32">
        <f>IF(B20&lt;2,"N/A",(A20/D20))</f>
        <v>0.3177917389022063</v>
      </c>
      <c r="D20" s="33">
        <f>ROUND(AVERAGE(H3:H17),2)</f>
        <v>8.0299999999999994</v>
      </c>
      <c r="E20" s="34">
        <f>IFERROR(ROUND(IF(B20&lt;2,"N/A",(IF(C20&lt;=25%,"N/A",AVERAGE(I3:I17)))),2),"N/A")</f>
        <v>7.25</v>
      </c>
      <c r="F20" s="34">
        <f>ROUND(MEDIAN(H3:H17),2)</f>
        <v>7.86</v>
      </c>
      <c r="G20" s="35" t="str">
        <f>INDEX(G3:G17,MATCH(H20,H3:H17,0))</f>
        <v>K FILHOS KAIANNE E KAUA DISTRIBUIDORA DE ALIMENTOS E BEBIDAS EIRELI</v>
      </c>
      <c r="H20" s="36">
        <f>MIN(H3:H17)</f>
        <v>5.17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43500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8" sqref="G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243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244</v>
      </c>
      <c r="C3" s="9" t="s">
        <v>44</v>
      </c>
      <c r="D3" s="8">
        <v>600</v>
      </c>
      <c r="E3" s="7">
        <f>IF(C20&lt;=25%,D20,MIN(E20:F20))</f>
        <v>5.37</v>
      </c>
      <c r="F3" s="7">
        <f>MIN(H3:H17)</f>
        <v>4.9000000000000004</v>
      </c>
      <c r="G3" s="18" t="s">
        <v>13</v>
      </c>
      <c r="H3" s="19">
        <v>4.9000000000000004</v>
      </c>
      <c r="I3" s="20">
        <f t="shared" ref="I3:I17" si="0">IF(H3="","",(IF($C$20&lt;25%,"N/A",IF(H3&lt;=($D$20+$A$20),H3,"Descartado"))))</f>
        <v>4.9000000000000004</v>
      </c>
    </row>
    <row r="4" spans="1:9">
      <c r="A4" s="11"/>
      <c r="B4" s="10"/>
      <c r="C4" s="9"/>
      <c r="D4" s="8"/>
      <c r="E4" s="7"/>
      <c r="F4" s="7"/>
      <c r="G4" s="18" t="s">
        <v>17</v>
      </c>
      <c r="H4" s="19">
        <v>5</v>
      </c>
      <c r="I4" s="20">
        <f t="shared" si="0"/>
        <v>5</v>
      </c>
    </row>
    <row r="5" spans="1:9">
      <c r="A5" s="11"/>
      <c r="B5" s="10"/>
      <c r="C5" s="9"/>
      <c r="D5" s="8"/>
      <c r="E5" s="7"/>
      <c r="F5" s="7"/>
      <c r="G5" s="18" t="s">
        <v>245</v>
      </c>
      <c r="H5" s="19">
        <v>5.37</v>
      </c>
      <c r="I5" s="20">
        <f t="shared" si="0"/>
        <v>5.37</v>
      </c>
    </row>
    <row r="6" spans="1:9">
      <c r="A6" s="11"/>
      <c r="B6" s="10"/>
      <c r="C6" s="9"/>
      <c r="D6" s="8"/>
      <c r="E6" s="7"/>
      <c r="F6" s="7"/>
      <c r="G6" s="18" t="s">
        <v>227</v>
      </c>
      <c r="H6" s="19">
        <v>6.75</v>
      </c>
      <c r="I6" s="20">
        <f t="shared" si="0"/>
        <v>6.75</v>
      </c>
    </row>
    <row r="7" spans="1:9">
      <c r="A7" s="11"/>
      <c r="B7" s="10"/>
      <c r="C7" s="9"/>
      <c r="D7" s="8"/>
      <c r="E7" s="7"/>
      <c r="F7" s="7"/>
      <c r="G7" s="18" t="s">
        <v>246</v>
      </c>
      <c r="H7" s="19">
        <v>15.5</v>
      </c>
      <c r="I7" s="20" t="str">
        <f t="shared" si="0"/>
        <v>Descartado</v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4.5307096574377859</v>
      </c>
      <c r="B20" s="31">
        <f>COUNT(H3:H17)</f>
        <v>5</v>
      </c>
      <c r="C20" s="32">
        <f>IF(B20&lt;2,"N/A",(A20/D20))</f>
        <v>0.60409462099170474</v>
      </c>
      <c r="D20" s="33">
        <f>ROUND(AVERAGE(H3:H17),2)</f>
        <v>7.5</v>
      </c>
      <c r="E20" s="34">
        <f>IFERROR(ROUND(IF(B20&lt;2,"N/A",(IF(C20&lt;=25%,"N/A",AVERAGE(I3:I17)))),2),"N/A")</f>
        <v>5.51</v>
      </c>
      <c r="F20" s="34">
        <f>ROUND(MEDIAN(H3:H17),2)</f>
        <v>5.37</v>
      </c>
      <c r="G20" s="35" t="str">
        <f>INDEX(G3:G17,MATCH(H20,H3:H17,0))</f>
        <v>JOAO ROBERTO SILVEIRA LOPES</v>
      </c>
      <c r="H20" s="36">
        <f>MIN(H3:H17)</f>
        <v>4.9000000000000004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5.37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3222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5" sqref="G5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247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248</v>
      </c>
      <c r="C3" s="9" t="s">
        <v>44</v>
      </c>
      <c r="D3" s="8">
        <v>120</v>
      </c>
      <c r="E3" s="7">
        <f>IF(C20&lt;=25%,D20,MIN(E20:F20))</f>
        <v>25</v>
      </c>
      <c r="F3" s="7">
        <f>MIN(H3:H17)</f>
        <v>10.09</v>
      </c>
      <c r="G3" s="18" t="s">
        <v>249</v>
      </c>
      <c r="H3" s="19">
        <v>10.09</v>
      </c>
      <c r="I3" s="20">
        <f t="shared" ref="I3:I17" si="0">IF(H3="","",(IF($C$20&lt;25%,"N/A",IF(H3&lt;=($D$20+$A$20),H3,"Descartado"))))</f>
        <v>10.09</v>
      </c>
    </row>
    <row r="4" spans="1:9">
      <c r="A4" s="11"/>
      <c r="B4" s="10"/>
      <c r="C4" s="9"/>
      <c r="D4" s="8"/>
      <c r="E4" s="7"/>
      <c r="F4" s="7"/>
      <c r="G4" s="18" t="s">
        <v>250</v>
      </c>
      <c r="H4" s="19">
        <v>39.9</v>
      </c>
      <c r="I4" s="20">
        <f t="shared" si="0"/>
        <v>39.9</v>
      </c>
    </row>
    <row r="5" spans="1:9">
      <c r="A5" s="11"/>
      <c r="B5" s="10"/>
      <c r="C5" s="9"/>
      <c r="D5" s="8"/>
      <c r="E5" s="7"/>
      <c r="F5" s="7"/>
      <c r="G5" s="18"/>
      <c r="H5" s="19"/>
      <c r="I5" s="20" t="str">
        <f t="shared" si="0"/>
        <v/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21.078853147170989</v>
      </c>
      <c r="B20" s="31">
        <f>COUNT(H3:H17)</f>
        <v>2</v>
      </c>
      <c r="C20" s="32">
        <f>IF(B20&lt;2,"N/A",(A20/D20))</f>
        <v>0.84315412588683958</v>
      </c>
      <c r="D20" s="33">
        <f>ROUND(AVERAGE(H3:H17),2)</f>
        <v>25</v>
      </c>
      <c r="E20" s="34">
        <f>IFERROR(ROUND(IF(B20&lt;2,"N/A",(IF(C20&lt;=25%,"N/A",AVERAGE(I3:I17)))),2),"N/A")</f>
        <v>25</v>
      </c>
      <c r="F20" s="34">
        <f>ROUND(MEDIAN(H3:H17),2)</f>
        <v>25</v>
      </c>
      <c r="G20" s="35" t="str">
        <f>INDEX(G3:G17,MATCH(H20,H3:H17,0))</f>
        <v>INOVARE EQUIPAMENTOS E PLANEJAMENTO ADMINISTRATIVO LTDA</v>
      </c>
      <c r="H20" s="36">
        <f>MIN(H3:H17)</f>
        <v>10.09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3000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3" sqref="G13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251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252</v>
      </c>
      <c r="C3" s="9" t="s">
        <v>44</v>
      </c>
      <c r="D3" s="8">
        <v>500</v>
      </c>
      <c r="E3" s="7">
        <f>IF(C20&lt;=25%,D20,MIN(E20:F20))</f>
        <v>5.67</v>
      </c>
      <c r="F3" s="7">
        <f>MIN(H3:H17)</f>
        <v>4.25</v>
      </c>
      <c r="G3" s="18" t="s">
        <v>13</v>
      </c>
      <c r="H3" s="19">
        <v>4.25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253</v>
      </c>
      <c r="H4" s="19">
        <v>4.25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254</v>
      </c>
      <c r="H5" s="19">
        <v>4.79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255</v>
      </c>
      <c r="H6" s="19">
        <v>5.3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73</v>
      </c>
      <c r="H7" s="19">
        <v>5.4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256</v>
      </c>
      <c r="H8" s="19">
        <v>5.75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67</v>
      </c>
      <c r="H9" s="19">
        <v>6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 t="s">
        <v>242</v>
      </c>
      <c r="H10" s="19">
        <v>6</v>
      </c>
      <c r="I10" s="20" t="str">
        <f t="shared" si="0"/>
        <v>N/A</v>
      </c>
    </row>
    <row r="11" spans="1:9">
      <c r="A11" s="11"/>
      <c r="B11" s="10"/>
      <c r="C11" s="9"/>
      <c r="D11" s="8"/>
      <c r="E11" s="7"/>
      <c r="F11" s="7"/>
      <c r="G11" s="18" t="s">
        <v>257</v>
      </c>
      <c r="H11" s="19">
        <v>7.07</v>
      </c>
      <c r="I11" s="20" t="str">
        <f t="shared" si="0"/>
        <v>N/A</v>
      </c>
    </row>
    <row r="12" spans="1:9">
      <c r="A12" s="11"/>
      <c r="B12" s="10"/>
      <c r="C12" s="9"/>
      <c r="D12" s="8"/>
      <c r="E12" s="7"/>
      <c r="F12" s="7"/>
      <c r="G12" s="18" t="s">
        <v>258</v>
      </c>
      <c r="H12" s="19">
        <v>7.85</v>
      </c>
      <c r="I12" s="20" t="str">
        <f t="shared" si="0"/>
        <v>N/A</v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1.1524582421936136</v>
      </c>
      <c r="B20" s="31">
        <f>COUNT(H3:H17)</f>
        <v>10</v>
      </c>
      <c r="C20" s="32">
        <f>IF(B20&lt;2,"N/A",(A20/D20))</f>
        <v>0.20325542190363555</v>
      </c>
      <c r="D20" s="33">
        <f>ROUND(AVERAGE(H3:H17),2)</f>
        <v>5.67</v>
      </c>
      <c r="E20" s="34" t="str">
        <f>IFERROR(ROUND(IF(B20&lt;2,"N/A",(IF(C20&lt;=25%,"N/A",AVERAGE(I3:I17)))),2),"N/A")</f>
        <v>N/A</v>
      </c>
      <c r="F20" s="34">
        <f>ROUND(MEDIAN(H3:H17),2)</f>
        <v>5.58</v>
      </c>
      <c r="G20" s="35" t="str">
        <f>INDEX(G3:G17,MATCH(H20,H3:H17,0))</f>
        <v>JOAO ROBERTO SILVEIRA LOPES</v>
      </c>
      <c r="H20" s="36">
        <f>MIN(H3:H17)</f>
        <v>4.25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5.67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2835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4" sqref="G4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259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152</v>
      </c>
      <c r="C3" s="9" t="s">
        <v>153</v>
      </c>
      <c r="D3" s="8">
        <v>3000</v>
      </c>
      <c r="E3" s="7">
        <f>IF(C20&lt;=25%,D20,MIN(E20:F20))</f>
        <v>78.739999999999995</v>
      </c>
      <c r="F3" s="7">
        <f>MIN(H3:H17)</f>
        <v>38.5</v>
      </c>
      <c r="G3" s="18" t="s">
        <v>154</v>
      </c>
      <c r="H3" s="19">
        <v>38.5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155</v>
      </c>
      <c r="H4" s="19">
        <v>61.99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156</v>
      </c>
      <c r="H5" s="19">
        <v>69.989999999999995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157</v>
      </c>
      <c r="H6" s="19">
        <v>76.760000000000005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158</v>
      </c>
      <c r="H7" s="19">
        <v>79.599999999999994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159</v>
      </c>
      <c r="H8" s="19">
        <v>80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160</v>
      </c>
      <c r="H9" s="19">
        <v>84.99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 t="s">
        <v>161</v>
      </c>
      <c r="H10" s="19">
        <v>89.99</v>
      </c>
      <c r="I10" s="20" t="str">
        <f t="shared" si="0"/>
        <v>N/A</v>
      </c>
    </row>
    <row r="11" spans="1:9">
      <c r="A11" s="11"/>
      <c r="B11" s="10"/>
      <c r="C11" s="9"/>
      <c r="D11" s="8"/>
      <c r="E11" s="7"/>
      <c r="F11" s="7"/>
      <c r="G11" s="18" t="s">
        <v>162</v>
      </c>
      <c r="H11" s="19">
        <v>91.49</v>
      </c>
      <c r="I11" s="20" t="str">
        <f t="shared" si="0"/>
        <v>N/A</v>
      </c>
    </row>
    <row r="12" spans="1:9">
      <c r="A12" s="11"/>
      <c r="B12" s="10"/>
      <c r="C12" s="9"/>
      <c r="D12" s="8"/>
      <c r="E12" s="7"/>
      <c r="F12" s="7"/>
      <c r="G12" s="18" t="s">
        <v>163</v>
      </c>
      <c r="H12" s="19">
        <v>92.5</v>
      </c>
      <c r="I12" s="20" t="str">
        <f t="shared" si="0"/>
        <v>N/A</v>
      </c>
    </row>
    <row r="13" spans="1:9">
      <c r="A13" s="11"/>
      <c r="B13" s="10"/>
      <c r="C13" s="9"/>
      <c r="D13" s="8"/>
      <c r="E13" s="7"/>
      <c r="F13" s="7"/>
      <c r="G13" s="18" t="s">
        <v>164</v>
      </c>
      <c r="H13" s="19">
        <v>100.33</v>
      </c>
      <c r="I13" s="20" t="str">
        <f t="shared" si="0"/>
        <v>N/A</v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17.222901613839554</v>
      </c>
      <c r="B20" s="31">
        <f>COUNT(H3:H17)</f>
        <v>11</v>
      </c>
      <c r="C20" s="32">
        <f>IF(B20&lt;2,"N/A",(A20/D20))</f>
        <v>0.21873128795833827</v>
      </c>
      <c r="D20" s="33">
        <f>ROUND(AVERAGE(H3:H17),2)</f>
        <v>78.739999999999995</v>
      </c>
      <c r="E20" s="34" t="str">
        <f>IFERROR(ROUND(IF(B20&lt;2,"N/A",(IF(C20&lt;=25%,"N/A",AVERAGE(I3:I17)))),2),"N/A")</f>
        <v>N/A</v>
      </c>
      <c r="F20" s="34">
        <f>ROUND(MEDIAN(H3:H17),2)</f>
        <v>80</v>
      </c>
      <c r="G20" s="35" t="str">
        <f>INDEX(G3:G17,MATCH(H20,H3:H17,0))</f>
        <v>MAM RIBEIRO COMERCIO DE ALIMENTOS</v>
      </c>
      <c r="H20" s="36">
        <f>MIN(H3:H17)</f>
        <v>38.5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78.739999999999995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236219.99999999997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3" sqref="G13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42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43</v>
      </c>
      <c r="C3" s="9" t="s">
        <v>44</v>
      </c>
      <c r="D3" s="8">
        <v>400</v>
      </c>
      <c r="E3" s="7">
        <f>IF(C20&lt;=25%,D20,MIN(E20:F20))</f>
        <v>35.380000000000003</v>
      </c>
      <c r="F3" s="7">
        <f>MIN(H3:H17)</f>
        <v>25</v>
      </c>
      <c r="G3" s="18" t="s">
        <v>17</v>
      </c>
      <c r="H3" s="19">
        <v>25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45</v>
      </c>
      <c r="H4" s="19">
        <v>26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46</v>
      </c>
      <c r="H5" s="19">
        <v>29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47</v>
      </c>
      <c r="H6" s="19">
        <v>30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48</v>
      </c>
      <c r="H7" s="19">
        <v>32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49</v>
      </c>
      <c r="H8" s="19">
        <v>35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50</v>
      </c>
      <c r="H9" s="19">
        <v>37.99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 t="s">
        <v>51</v>
      </c>
      <c r="H10" s="19">
        <v>44.45</v>
      </c>
      <c r="I10" s="20" t="str">
        <f t="shared" si="0"/>
        <v>N/A</v>
      </c>
    </row>
    <row r="11" spans="1:9">
      <c r="A11" s="11"/>
      <c r="B11" s="10"/>
      <c r="C11" s="9"/>
      <c r="D11" s="8"/>
      <c r="E11" s="7"/>
      <c r="F11" s="7"/>
      <c r="G11" s="18" t="s">
        <v>52</v>
      </c>
      <c r="H11" s="19">
        <v>47</v>
      </c>
      <c r="I11" s="20" t="str">
        <f t="shared" si="0"/>
        <v>N/A</v>
      </c>
    </row>
    <row r="12" spans="1:9">
      <c r="A12" s="11"/>
      <c r="B12" s="10"/>
      <c r="C12" s="9"/>
      <c r="D12" s="8"/>
      <c r="E12" s="7"/>
      <c r="F12" s="7"/>
      <c r="G12" s="18" t="s">
        <v>53</v>
      </c>
      <c r="H12" s="19">
        <v>47.35</v>
      </c>
      <c r="I12" s="20" t="str">
        <f t="shared" si="0"/>
        <v>N/A</v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8.4612101183380677</v>
      </c>
      <c r="B20" s="31">
        <f>COUNT(H3:H17)</f>
        <v>10</v>
      </c>
      <c r="C20" s="32">
        <f>IF(B20&lt;2,"N/A",(A20/D20))</f>
        <v>0.23915234930294141</v>
      </c>
      <c r="D20" s="33">
        <f>ROUND(AVERAGE(H3:H17),2)</f>
        <v>35.380000000000003</v>
      </c>
      <c r="E20" s="34" t="str">
        <f>IFERROR(ROUND(IF(B20&lt;2,"N/A",(IF(C20&lt;=25%,"N/A",AVERAGE(I3:I17)))),2),"N/A")</f>
        <v>N/A</v>
      </c>
      <c r="F20" s="34">
        <f>ROUND(MEDIAN(H3:H17),2)</f>
        <v>33.5</v>
      </c>
      <c r="G20" s="35" t="str">
        <f>INDEX(G3:G17,MATCH(H20,H3:H17,0))</f>
        <v>SILVA SUPERMERCADO ATACADO E VAREJO LTDA</v>
      </c>
      <c r="H20" s="36">
        <f>MIN(H3:H17)</f>
        <v>25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35.380000000000003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14152.000000000002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18" sqref="D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260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166</v>
      </c>
      <c r="C3" s="9" t="s">
        <v>153</v>
      </c>
      <c r="D3" s="8">
        <v>2250</v>
      </c>
      <c r="E3" s="7">
        <f>IF(C20&lt;=25%,D20,MIN(E20:F20))</f>
        <v>78.28</v>
      </c>
      <c r="F3" s="7">
        <f>MIN(H3:H17)</f>
        <v>57.9</v>
      </c>
      <c r="G3" s="18" t="s">
        <v>155</v>
      </c>
      <c r="H3" s="19">
        <v>57.9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167</v>
      </c>
      <c r="H4" s="19">
        <v>69.989999999999995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157</v>
      </c>
      <c r="H5" s="19">
        <v>74.040000000000006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162</v>
      </c>
      <c r="H6" s="19">
        <v>75.400000000000006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168</v>
      </c>
      <c r="H7" s="19">
        <v>76.75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159</v>
      </c>
      <c r="H8" s="19">
        <v>80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160</v>
      </c>
      <c r="H9" s="19">
        <v>87.99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 t="s">
        <v>161</v>
      </c>
      <c r="H10" s="19">
        <v>89.97</v>
      </c>
      <c r="I10" s="20" t="str">
        <f t="shared" si="0"/>
        <v>N/A</v>
      </c>
    </row>
    <row r="11" spans="1:9">
      <c r="A11" s="11"/>
      <c r="B11" s="10"/>
      <c r="C11" s="9"/>
      <c r="D11" s="8"/>
      <c r="E11" s="7"/>
      <c r="F11" s="7"/>
      <c r="G11" s="18" t="s">
        <v>163</v>
      </c>
      <c r="H11" s="19">
        <v>92.5</v>
      </c>
      <c r="I11" s="20" t="str">
        <f t="shared" si="0"/>
        <v>N/A</v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10.890295884154952</v>
      </c>
      <c r="B20" s="31">
        <f>COUNT(H3:H17)</f>
        <v>9</v>
      </c>
      <c r="C20" s="32">
        <f>IF(B20&lt;2,"N/A",(A20/D20))</f>
        <v>0.13911977368619</v>
      </c>
      <c r="D20" s="33">
        <f>ROUND(AVERAGE(H3:H17),2)</f>
        <v>78.28</v>
      </c>
      <c r="E20" s="34" t="str">
        <f>IFERROR(ROUND(IF(B20&lt;2,"N/A",(IF(C20&lt;=25%,"N/A",AVERAGE(I3:I17)))),2),"N/A")</f>
        <v>N/A</v>
      </c>
      <c r="F20" s="34">
        <f>ROUND(MEDIAN(H3:H17),2)</f>
        <v>76.75</v>
      </c>
      <c r="G20" s="35" t="str">
        <f>INDEX(G3:G17,MATCH(H20,H3:H17,0))</f>
        <v>ZAN LOGISTICA E COMERCIO EIRELI</v>
      </c>
      <c r="H20" s="36">
        <f>MIN(H3:H17)</f>
        <v>57.9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78.28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176130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18" sqref="D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261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170</v>
      </c>
      <c r="C3" s="9" t="s">
        <v>153</v>
      </c>
      <c r="D3" s="8">
        <v>2250</v>
      </c>
      <c r="E3" s="7">
        <f>IF(C20&lt;=25%,D20,MIN(E20:F20))</f>
        <v>27.53</v>
      </c>
      <c r="F3" s="7">
        <f>MIN(H3:H17)</f>
        <v>12.5</v>
      </c>
      <c r="G3" s="18" t="s">
        <v>171</v>
      </c>
      <c r="H3" s="19">
        <f>0.25*50</f>
        <v>12.5</v>
      </c>
      <c r="I3" s="20">
        <f t="shared" ref="I3:I17" si="0">IF(H3="","",(IF($C$20&lt;25%,"N/A",IF(H3&lt;=($D$20+$A$20),H3,"Descartado"))))</f>
        <v>12.5</v>
      </c>
    </row>
    <row r="4" spans="1:9">
      <c r="A4" s="11"/>
      <c r="B4" s="10"/>
      <c r="C4" s="9"/>
      <c r="D4" s="8"/>
      <c r="E4" s="7"/>
      <c r="F4" s="7"/>
      <c r="G4" s="18" t="s">
        <v>172</v>
      </c>
      <c r="H4" s="19">
        <f>0.25*50</f>
        <v>12.5</v>
      </c>
      <c r="I4" s="20">
        <f t="shared" si="0"/>
        <v>12.5</v>
      </c>
    </row>
    <row r="5" spans="1:9">
      <c r="A5" s="11"/>
      <c r="B5" s="10"/>
      <c r="C5" s="9"/>
      <c r="D5" s="8"/>
      <c r="E5" s="7"/>
      <c r="F5" s="7"/>
      <c r="G5" s="18" t="s">
        <v>173</v>
      </c>
      <c r="H5" s="19">
        <f>0.415*50</f>
        <v>20.75</v>
      </c>
      <c r="I5" s="20">
        <f t="shared" si="0"/>
        <v>20.75</v>
      </c>
    </row>
    <row r="6" spans="1:9">
      <c r="A6" s="11"/>
      <c r="B6" s="10"/>
      <c r="C6" s="9"/>
      <c r="D6" s="8"/>
      <c r="E6" s="7"/>
      <c r="F6" s="7"/>
      <c r="G6" s="18" t="s">
        <v>174</v>
      </c>
      <c r="H6" s="19">
        <f>0.44*50</f>
        <v>22</v>
      </c>
      <c r="I6" s="20">
        <f t="shared" si="0"/>
        <v>22</v>
      </c>
    </row>
    <row r="7" spans="1:9">
      <c r="A7" s="11"/>
      <c r="B7" s="10"/>
      <c r="C7" s="9"/>
      <c r="D7" s="8"/>
      <c r="E7" s="7"/>
      <c r="F7" s="7"/>
      <c r="G7" s="18" t="s">
        <v>175</v>
      </c>
      <c r="H7" s="19">
        <f>0.6*50</f>
        <v>30</v>
      </c>
      <c r="I7" s="20">
        <f t="shared" si="0"/>
        <v>30</v>
      </c>
    </row>
    <row r="8" spans="1:9">
      <c r="A8" s="11"/>
      <c r="B8" s="10"/>
      <c r="C8" s="9"/>
      <c r="D8" s="8"/>
      <c r="E8" s="7"/>
      <c r="F8" s="7"/>
      <c r="G8" s="18" t="s">
        <v>176</v>
      </c>
      <c r="H8" s="19">
        <f>0.77*50</f>
        <v>38.5</v>
      </c>
      <c r="I8" s="20">
        <f t="shared" si="0"/>
        <v>38.5</v>
      </c>
    </row>
    <row r="9" spans="1:9">
      <c r="A9" s="11"/>
      <c r="B9" s="10"/>
      <c r="C9" s="9"/>
      <c r="D9" s="8"/>
      <c r="E9" s="7"/>
      <c r="F9" s="7"/>
      <c r="G9" s="18" t="s">
        <v>177</v>
      </c>
      <c r="H9" s="19">
        <f>0.7999*50</f>
        <v>39.995000000000005</v>
      </c>
      <c r="I9" s="20">
        <f t="shared" si="0"/>
        <v>39.995000000000005</v>
      </c>
    </row>
    <row r="10" spans="1:9">
      <c r="A10" s="11"/>
      <c r="B10" s="10"/>
      <c r="C10" s="9"/>
      <c r="D10" s="8"/>
      <c r="E10" s="7"/>
      <c r="F10" s="7"/>
      <c r="G10" s="18" t="s">
        <v>178</v>
      </c>
      <c r="H10" s="19">
        <f>0.88*50</f>
        <v>44</v>
      </c>
      <c r="I10" s="20">
        <f t="shared" si="0"/>
        <v>44</v>
      </c>
    </row>
    <row r="11" spans="1:9">
      <c r="A11" s="11"/>
      <c r="B11" s="10"/>
      <c r="C11" s="9"/>
      <c r="D11" s="8"/>
      <c r="E11" s="7"/>
      <c r="F11" s="7"/>
      <c r="G11" s="18" t="s">
        <v>179</v>
      </c>
      <c r="H11" s="19">
        <f>16.35*50</f>
        <v>817.50000000000011</v>
      </c>
      <c r="I11" s="20" t="str">
        <f t="shared" si="0"/>
        <v>Descartado</v>
      </c>
    </row>
    <row r="12" spans="1:9">
      <c r="A12" s="11"/>
      <c r="B12" s="10"/>
      <c r="C12" s="9"/>
      <c r="D12" s="8"/>
      <c r="E12" s="7"/>
      <c r="F12" s="7"/>
      <c r="G12" s="18" t="s">
        <v>180</v>
      </c>
      <c r="H12" s="19">
        <f>24.2*50</f>
        <v>1210</v>
      </c>
      <c r="I12" s="20" t="str">
        <f t="shared" si="0"/>
        <v>Descartado</v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426.13448633846156</v>
      </c>
      <c r="B20" s="31">
        <f>COUNT(H3:H17)</f>
        <v>10</v>
      </c>
      <c r="C20" s="32">
        <f>IF(B20&lt;2,"N/A",(A20/D20))</f>
        <v>1.8958690498663591</v>
      </c>
      <c r="D20" s="33">
        <f>ROUND(AVERAGE(H3:H17),2)</f>
        <v>224.77</v>
      </c>
      <c r="E20" s="34">
        <f>IFERROR(ROUND(IF(B20&lt;2,"N/A",(IF(C20&lt;=25%,"N/A",AVERAGE(I3:I17)))),2),"N/A")</f>
        <v>27.53</v>
      </c>
      <c r="F20" s="34">
        <f>ROUND(MEDIAN(H3:H17),2)</f>
        <v>34.25</v>
      </c>
      <c r="G20" s="35" t="str">
        <f>INDEX(G3:G17,MATCH(H20,H3:H17,0))</f>
        <v>OG MED EQUIPAMENTOS DE PROTECAO LTDA</v>
      </c>
      <c r="H20" s="36">
        <f>MIN(H3:H17)</f>
        <v>12.5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27.53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61942.5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262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267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268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269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273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9" sqref="G9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54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55</v>
      </c>
      <c r="C3" s="9" t="s">
        <v>44</v>
      </c>
      <c r="D3" s="8">
        <v>200</v>
      </c>
      <c r="E3" s="7">
        <f>IF(C20&lt;=25%,D20,MIN(E20:F20))</f>
        <v>15.42</v>
      </c>
      <c r="F3" s="7">
        <f>MIN(H3:H17)</f>
        <v>6.5</v>
      </c>
      <c r="G3" s="18" t="s">
        <v>56</v>
      </c>
      <c r="H3" s="19">
        <v>6.5</v>
      </c>
      <c r="I3" s="20">
        <f t="shared" ref="I3:I17" si="0">IF(H3="","",(IF($C$20&lt;25%,"N/A",IF(H3&lt;=($D$20+$A$20),H3,"Descartado"))))</f>
        <v>6.5</v>
      </c>
    </row>
    <row r="4" spans="1:9">
      <c r="A4" s="11"/>
      <c r="B4" s="10"/>
      <c r="C4" s="9"/>
      <c r="D4" s="8"/>
      <c r="E4" s="7"/>
      <c r="F4" s="7"/>
      <c r="G4" s="18" t="s">
        <v>57</v>
      </c>
      <c r="H4" s="19">
        <v>10.75</v>
      </c>
      <c r="I4" s="20">
        <f t="shared" si="0"/>
        <v>10.75</v>
      </c>
    </row>
    <row r="5" spans="1:9">
      <c r="A5" s="11"/>
      <c r="B5" s="10"/>
      <c r="C5" s="9"/>
      <c r="D5" s="8"/>
      <c r="E5" s="7"/>
      <c r="F5" s="7"/>
      <c r="G5" s="18" t="s">
        <v>58</v>
      </c>
      <c r="H5" s="19">
        <v>17.5</v>
      </c>
      <c r="I5" s="20">
        <f t="shared" si="0"/>
        <v>17.5</v>
      </c>
    </row>
    <row r="6" spans="1:9">
      <c r="A6" s="11"/>
      <c r="B6" s="10"/>
      <c r="C6" s="9"/>
      <c r="D6" s="8"/>
      <c r="E6" s="7"/>
      <c r="F6" s="7"/>
      <c r="G6" s="18" t="s">
        <v>59</v>
      </c>
      <c r="H6" s="19">
        <v>18.34</v>
      </c>
      <c r="I6" s="20">
        <f t="shared" si="0"/>
        <v>18.34</v>
      </c>
    </row>
    <row r="7" spans="1:9">
      <c r="A7" s="11"/>
      <c r="B7" s="10"/>
      <c r="C7" s="9"/>
      <c r="D7" s="8"/>
      <c r="E7" s="7"/>
      <c r="F7" s="7"/>
      <c r="G7" s="18" t="s">
        <v>60</v>
      </c>
      <c r="H7" s="19">
        <v>19.5</v>
      </c>
      <c r="I7" s="20">
        <f t="shared" si="0"/>
        <v>19.5</v>
      </c>
    </row>
    <row r="8" spans="1:9">
      <c r="A8" s="11"/>
      <c r="B8" s="10"/>
      <c r="C8" s="9"/>
      <c r="D8" s="8"/>
      <c r="E8" s="7"/>
      <c r="F8" s="7"/>
      <c r="G8" s="18" t="s">
        <v>61</v>
      </c>
      <c r="H8" s="19">
        <v>19.899999999999999</v>
      </c>
      <c r="I8" s="20">
        <f t="shared" si="0"/>
        <v>19.899999999999999</v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5.4944471969434634</v>
      </c>
      <c r="B20" s="31">
        <f>COUNT(H3:H17)</f>
        <v>6</v>
      </c>
      <c r="C20" s="32">
        <f>IF(B20&lt;2,"N/A",(A20/D20))</f>
        <v>0.356319532875711</v>
      </c>
      <c r="D20" s="33">
        <f>ROUND(AVERAGE(H3:H17),2)</f>
        <v>15.42</v>
      </c>
      <c r="E20" s="34">
        <f>IFERROR(ROUND(IF(B20&lt;2,"N/A",(IF(C20&lt;=25%,"N/A",AVERAGE(I3:I17)))),2),"N/A")</f>
        <v>15.42</v>
      </c>
      <c r="F20" s="34">
        <f>ROUND(MEDIAN(H3:H17),2)</f>
        <v>17.920000000000002</v>
      </c>
      <c r="G20" s="35" t="str">
        <f>INDEX(G3:G17,MATCH(H20,H3:H17,0))</f>
        <v>BRASIL NORTE EMPREENDIMENTOS EIRELI</v>
      </c>
      <c r="H20" s="36">
        <f>MIN(H3:H17)</f>
        <v>6.5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15.42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3084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274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276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2" sqref="A2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280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281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282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283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8" sqref="G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63</v>
      </c>
      <c r="C3" s="9" t="s">
        <v>64</v>
      </c>
      <c r="D3" s="8">
        <v>7000</v>
      </c>
      <c r="E3" s="7">
        <f>IF(C20&lt;=25%,D20,MIN(E20:F20))</f>
        <v>0.82</v>
      </c>
      <c r="F3" s="7">
        <f>MIN(H3:H17)</f>
        <v>0.52</v>
      </c>
      <c r="G3" s="18" t="s">
        <v>65</v>
      </c>
      <c r="H3" s="19">
        <v>0.52</v>
      </c>
      <c r="I3" s="20">
        <f t="shared" ref="I3:I17" si="0">IF(H3="","",(IF($C$20&lt;25%,"N/A",IF(H3&lt;=($D$20+$A$20),H3,"Descartado"))))</f>
        <v>0.52</v>
      </c>
    </row>
    <row r="4" spans="1:9">
      <c r="A4" s="11"/>
      <c r="B4" s="10"/>
      <c r="C4" s="9"/>
      <c r="D4" s="8"/>
      <c r="E4" s="7"/>
      <c r="F4" s="7"/>
      <c r="G4" s="18" t="s">
        <v>66</v>
      </c>
      <c r="H4" s="19">
        <v>0.85</v>
      </c>
      <c r="I4" s="20">
        <f t="shared" si="0"/>
        <v>0.85</v>
      </c>
    </row>
    <row r="5" spans="1:9">
      <c r="A5" s="11"/>
      <c r="B5" s="10"/>
      <c r="C5" s="9"/>
      <c r="D5" s="8"/>
      <c r="E5" s="7"/>
      <c r="F5" s="7"/>
      <c r="G5" s="18" t="s">
        <v>67</v>
      </c>
      <c r="H5" s="19">
        <v>0.9</v>
      </c>
      <c r="I5" s="20">
        <f t="shared" si="0"/>
        <v>0.9</v>
      </c>
    </row>
    <row r="6" spans="1:9">
      <c r="A6" s="11"/>
      <c r="B6" s="10"/>
      <c r="C6" s="9"/>
      <c r="D6" s="8"/>
      <c r="E6" s="7"/>
      <c r="F6" s="7"/>
      <c r="G6" s="18" t="s">
        <v>14</v>
      </c>
      <c r="H6" s="19">
        <v>1.02</v>
      </c>
      <c r="I6" s="20">
        <f t="shared" si="0"/>
        <v>1.02</v>
      </c>
    </row>
    <row r="7" spans="1:9">
      <c r="A7" s="11"/>
      <c r="B7" s="10"/>
      <c r="C7" s="9"/>
      <c r="D7" s="8"/>
      <c r="E7" s="7"/>
      <c r="F7" s="7"/>
      <c r="G7" s="18" t="s">
        <v>68</v>
      </c>
      <c r="H7" s="19">
        <v>1.21</v>
      </c>
      <c r="I7" s="20" t="str">
        <f t="shared" si="0"/>
        <v>Descartado</v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0.25367301787931668</v>
      </c>
      <c r="B20" s="31">
        <f>COUNT(H3:H17)</f>
        <v>5</v>
      </c>
      <c r="C20" s="32">
        <f>IF(B20&lt;2,"N/A",(A20/D20))</f>
        <v>0.2818589087547963</v>
      </c>
      <c r="D20" s="33">
        <f>ROUND(AVERAGE(H3:H17),2)</f>
        <v>0.9</v>
      </c>
      <c r="E20" s="34">
        <f>IFERROR(ROUND(IF(B20&lt;2,"N/A",(IF(C20&lt;=25%,"N/A",AVERAGE(I3:I17)))),2),"N/A")</f>
        <v>0.82</v>
      </c>
      <c r="F20" s="34">
        <f>ROUND(MEDIAN(H3:H17),2)</f>
        <v>0.9</v>
      </c>
      <c r="G20" s="35" t="str">
        <f>INDEX(G3:G17,MATCH(H20,H3:H17,0))</f>
        <v>LIMP MED COMERCIO DE MATERIAIS MEDICOS ORTOPEDICOS LTDA</v>
      </c>
      <c r="H20" s="36">
        <f>MIN(H3:H17)</f>
        <v>0.52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0.82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5740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284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263</v>
      </c>
      <c r="C3" s="9" t="s">
        <v>44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264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265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266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view="pageBreakPreview" topLeftCell="A106" zoomScaleNormal="100" workbookViewId="0">
      <selection activeCell="F42" sqref="F42"/>
    </sheetView>
  </sheetViews>
  <sheetFormatPr defaultColWidth="9.140625" defaultRowHeight="12.75"/>
  <cols>
    <col min="1" max="1" width="9.140625" style="46"/>
    <col min="2" max="2" width="86.85546875" style="46" customWidth="1"/>
    <col min="3" max="5" width="13.28515625" style="46" customWidth="1"/>
    <col min="6" max="6" width="15.5703125" style="46" customWidth="1"/>
    <col min="7" max="14" width="9.140625" style="47"/>
    <col min="15" max="1024" width="9.140625" style="46"/>
  </cols>
  <sheetData>
    <row r="1" spans="1:7" ht="12.75" customHeight="1">
      <c r="A1" s="48"/>
      <c r="B1" s="48"/>
      <c r="C1" s="48"/>
      <c r="D1" s="48"/>
      <c r="E1" s="48"/>
      <c r="F1" s="48"/>
    </row>
    <row r="2" spans="1:7" ht="12.75" customHeight="1">
      <c r="A2" s="48"/>
      <c r="B2" s="48"/>
      <c r="C2" s="48"/>
      <c r="D2" s="48"/>
      <c r="E2" s="48"/>
      <c r="F2" s="48"/>
    </row>
    <row r="3" spans="1:7" ht="12.75" customHeight="1">
      <c r="A3" s="48"/>
      <c r="B3" s="48"/>
      <c r="C3" s="48"/>
      <c r="D3" s="48"/>
      <c r="E3" s="48"/>
      <c r="F3" s="48"/>
    </row>
    <row r="4" spans="1:7" ht="12.75" customHeight="1">
      <c r="A4" s="48"/>
      <c r="B4" s="48"/>
      <c r="C4" s="48"/>
      <c r="D4" s="48"/>
      <c r="E4" s="48"/>
      <c r="F4" s="48"/>
    </row>
    <row r="5" spans="1:7" ht="12.75" customHeight="1">
      <c r="A5" s="2" t="s">
        <v>285</v>
      </c>
      <c r="B5" s="2"/>
      <c r="C5" s="2"/>
      <c r="D5" s="2"/>
      <c r="E5" s="2"/>
      <c r="F5" s="2"/>
    </row>
    <row r="6" spans="1:7" ht="12.75" customHeight="1">
      <c r="A6" s="2" t="s">
        <v>286</v>
      </c>
      <c r="B6" s="2"/>
      <c r="C6" s="2"/>
      <c r="D6" s="2"/>
      <c r="E6" s="2"/>
      <c r="F6" s="2"/>
    </row>
    <row r="7" spans="1:7" ht="12.75" customHeight="1">
      <c r="A7" s="49"/>
      <c r="B7" s="49"/>
      <c r="C7" s="49"/>
      <c r="D7" s="49"/>
      <c r="E7" s="49"/>
      <c r="F7" s="49"/>
    </row>
    <row r="8" spans="1:7" ht="15.75" customHeight="1">
      <c r="A8" s="1" t="s">
        <v>287</v>
      </c>
      <c r="B8" s="1"/>
      <c r="C8" s="1"/>
      <c r="D8" s="1"/>
      <c r="E8" s="1"/>
      <c r="F8" s="1"/>
    </row>
    <row r="9" spans="1:7" ht="25.5">
      <c r="A9" s="50" t="s">
        <v>288</v>
      </c>
      <c r="B9" s="50" t="s">
        <v>289</v>
      </c>
      <c r="C9" s="50" t="s">
        <v>290</v>
      </c>
      <c r="D9" s="50" t="s">
        <v>291</v>
      </c>
      <c r="E9" s="50" t="s">
        <v>292</v>
      </c>
      <c r="F9" s="50" t="s">
        <v>293</v>
      </c>
    </row>
    <row r="10" spans="1:7" ht="25.5">
      <c r="A10" s="51">
        <v>1</v>
      </c>
      <c r="B10" s="52" t="str">
        <f>Item1!B3</f>
        <v xml:space="preserve">Copo plástico descartável – para Água Capacidade: 200 ml; Material: Poliestireno; De acordo com norma NBR 14865, da ABNT. Acondicionados em tiras de 100 unidades. </v>
      </c>
      <c r="C10" s="51" t="str">
        <f>Item1!C3</f>
        <v>centena</v>
      </c>
      <c r="D10" s="51">
        <f>Item1!D3</f>
        <v>10000</v>
      </c>
      <c r="E10" s="53">
        <f>Item1!E3</f>
        <v>3.62</v>
      </c>
      <c r="F10" s="53">
        <f t="shared" ref="F10:F40" si="0">(ROUND(E10,2)*D10)</f>
        <v>36200</v>
      </c>
      <c r="G10" s="54"/>
    </row>
    <row r="11" spans="1:7" ht="25.5">
      <c r="A11" s="51">
        <v>2</v>
      </c>
      <c r="B11" s="52" t="str">
        <f>Item2!B3</f>
        <v>Copo plástico descartável – para Café Capacidade: 50 ml; Material: Poliestireno; De acordo com norma NBR 14865, da ABNT. Acondicionados em tiras de 100 unidades.</v>
      </c>
      <c r="C11" s="51" t="str">
        <f>Item2!C3</f>
        <v>centena</v>
      </c>
      <c r="D11" s="51">
        <f>Item2!D3</f>
        <v>10000</v>
      </c>
      <c r="E11" s="53">
        <f>Item2!E3</f>
        <v>1.75</v>
      </c>
      <c r="F11" s="53">
        <f t="shared" si="0"/>
        <v>17500</v>
      </c>
    </row>
    <row r="12" spans="1:7" ht="25.5">
      <c r="A12" s="51">
        <v>3</v>
      </c>
      <c r="B12" s="52" t="str">
        <f>Item3!B3</f>
        <v>Garrafa Térmica de Pressão Capacidade: 1 litro; Material: plástico; Ampola de Vidro; Indicação expressa de conformidade com a norma NBR 13282/98 da ABNT.</v>
      </c>
      <c r="C12" s="51" t="str">
        <f>Item3!C3</f>
        <v>unidade</v>
      </c>
      <c r="D12" s="51">
        <f>Item3!D3</f>
        <v>400</v>
      </c>
      <c r="E12" s="53">
        <f>Item3!E3</f>
        <v>35.380000000000003</v>
      </c>
      <c r="F12" s="53">
        <f t="shared" si="0"/>
        <v>14152.000000000002</v>
      </c>
    </row>
    <row r="13" spans="1:7" ht="38.25">
      <c r="A13" s="51">
        <v>4</v>
      </c>
      <c r="B13" s="52" t="str">
        <f>Item4!B3</f>
        <v>Garrafa plástica para água mineral Plástico, atóxico, transparente, resistente; Capacidade: 20 litros; Selo de adequação às normas ABNT NBR 14222, relativa ao seu processo de fabricação, e ABNT NBR 14328;  Fabricada no máximo a 06 meses contados da data de recebimento definitivo.</v>
      </c>
      <c r="C13" s="51" t="str">
        <f>Item4!C3</f>
        <v>unidade</v>
      </c>
      <c r="D13" s="51">
        <f>Item4!D3</f>
        <v>200</v>
      </c>
      <c r="E13" s="53">
        <f>Item4!E3</f>
        <v>15.42</v>
      </c>
      <c r="F13" s="53">
        <f t="shared" si="0"/>
        <v>3084</v>
      </c>
    </row>
    <row r="14" spans="1:7" ht="25.5">
      <c r="A14" s="51">
        <v>5</v>
      </c>
      <c r="B14" s="52" t="str">
        <f>Item5!B3</f>
        <v>Guardanapo de papel 100% em fibras virgens; Cor branca; Dimensões mínimas: 20 x 23 cm; Em embalagem plástica contendo no mínimo 48 unidades</v>
      </c>
      <c r="C14" s="51" t="str">
        <f>Item5!C3</f>
        <v>pacote</v>
      </c>
      <c r="D14" s="51">
        <f>Item5!D3</f>
        <v>7000</v>
      </c>
      <c r="E14" s="53">
        <f>Item5!E3</f>
        <v>0.82</v>
      </c>
      <c r="F14" s="53">
        <f t="shared" si="0"/>
        <v>5740</v>
      </c>
    </row>
    <row r="15" spans="1:7" ht="51">
      <c r="A15" s="51">
        <v>6</v>
      </c>
      <c r="B15" s="52" t="str">
        <f>Item6!B3</f>
        <v xml:space="preserve">Água sanitária Solução aquosa a base de hipoclorito de sódio, com funções alvejante e desinfetante; Frasco com 1.000 ml; Embalagem com impressão do nome do fabricante e indicação de registro na ANVISA/MS. Prazo de validade impresso na embalagem e não inferior a 11 meses contados da data de recebimento definitivo. O material deverá estar acondicionado em caixas com até 24 unidades </v>
      </c>
      <c r="C15" s="51" t="str">
        <f>Item6!C3</f>
        <v>frasco</v>
      </c>
      <c r="D15" s="51">
        <f>Item6!D3</f>
        <v>600</v>
      </c>
      <c r="E15" s="53">
        <f>Item6!E3</f>
        <v>2.96</v>
      </c>
      <c r="F15" s="53">
        <f t="shared" si="0"/>
        <v>1776</v>
      </c>
    </row>
    <row r="16" spans="1:7" ht="51">
      <c r="A16" s="51">
        <v>7</v>
      </c>
      <c r="B16" s="52" t="str">
        <f>Item7!B3</f>
        <v>Álcool Etílico em Gel 70% Sem perfume Frasco 500ml Fabricados conforme critérios estabelecidos pela ANVISA, com informação de data de fabricação e número de lote; Prazo de validade não inferior a 06 meses contados do recebimento definitivo. Álcool destinado à assepsia das mãos e objetos motivada pela situação de emergência de saúde pública internacional provocada pelo COVID –19.</v>
      </c>
      <c r="C16" s="51" t="str">
        <f>Item7!C3</f>
        <v>frasco</v>
      </c>
      <c r="D16" s="51">
        <f>Item7!D3</f>
        <v>8000</v>
      </c>
      <c r="E16" s="53">
        <f>Item7!E3</f>
        <v>4.75</v>
      </c>
      <c r="F16" s="53">
        <f t="shared" si="0"/>
        <v>38000</v>
      </c>
    </row>
    <row r="17" spans="1:6" ht="63.75">
      <c r="A17" s="51">
        <v>8</v>
      </c>
      <c r="B17" s="52" t="str">
        <f>Item8!B3</f>
        <v xml:space="preserve">Álcool Etílico Hidratado Líquido Mínimo de 70º INPM; Frasco com 1.000ml; Fabricados conforme critérios estabelecidos pela ANVISA, com informação de data de fabricação e número de lote; Prazo de validade não inferior a 06 meses contados do recebimento definitivo. Álcool destinado à assepsia das mãos e objetos motivada pela situação de emergência de saúde pública internacional provocada pelo COVID-19. O material deverá estar acondicionado em caixas com até 12 unidades; </v>
      </c>
      <c r="C17" s="51" t="str">
        <f>Item8!C3</f>
        <v>frasco</v>
      </c>
      <c r="D17" s="51">
        <f>Item8!D3</f>
        <v>8000</v>
      </c>
      <c r="E17" s="53">
        <f>Item8!E3</f>
        <v>5.16</v>
      </c>
      <c r="F17" s="53">
        <f t="shared" si="0"/>
        <v>41280</v>
      </c>
    </row>
    <row r="18" spans="1:6">
      <c r="A18" s="51">
        <v>9</v>
      </c>
      <c r="B18" s="52" t="str">
        <f>Item9!B3</f>
        <v>Balde plástico de uso doméstico Corpo em polipropileno; Alça em metal; Aro redondo; Capacidade 20 L.</v>
      </c>
      <c r="C18" s="51" t="str">
        <f>Item9!C3</f>
        <v>unidade</v>
      </c>
      <c r="D18" s="51">
        <f>Item9!D3</f>
        <v>200</v>
      </c>
      <c r="E18" s="53">
        <f>Item9!E3</f>
        <v>10.34</v>
      </c>
      <c r="F18" s="53">
        <f t="shared" si="0"/>
        <v>2068</v>
      </c>
    </row>
    <row r="19" spans="1:6" ht="25.5">
      <c r="A19" s="51">
        <v>10</v>
      </c>
      <c r="B19" s="52" t="str">
        <f>Item10!B3</f>
        <v>Cesto para lixo Em fibra; Altura: 35cm; Diâmetro superior: 31 cm; Diâmetro da base: 23 cm; Aros cromados;  Cor preta; Variação permitida: ± 1,5 cm</v>
      </c>
      <c r="C19" s="51" t="str">
        <f>Item10!C3</f>
        <v>unidade</v>
      </c>
      <c r="D19" s="51">
        <f>Item10!D3</f>
        <v>500</v>
      </c>
      <c r="E19" s="53">
        <f>Item10!E3</f>
        <v>47.3</v>
      </c>
      <c r="F19" s="53">
        <f t="shared" si="0"/>
        <v>23650</v>
      </c>
    </row>
    <row r="20" spans="1:6" ht="51">
      <c r="A20" s="51">
        <v>11</v>
      </c>
      <c r="B20" s="52" t="str">
        <f>Item11!B3</f>
        <v xml:space="preserve">Detergente líquido Com tensoativo biodegradável, aroma suave; Dermatologicamente testado; Em embalagem plástica de 500 ml com bico dosador, com rótulo indicando o nome do fabricante, CNPJ, químico responsável e nº CRQ, número de registro na Anvisa, lote de fabricação e prazo de validade do produto. Marcas de referência: Limpol e Ypê. </v>
      </c>
      <c r="C20" s="51" t="str">
        <f>Item11!C3</f>
        <v>frasco</v>
      </c>
      <c r="D20" s="51">
        <f>Item11!D3</f>
        <v>2000</v>
      </c>
      <c r="E20" s="53">
        <f>Item11!E3</f>
        <v>1.64</v>
      </c>
      <c r="F20" s="53">
        <f t="shared" si="0"/>
        <v>3280</v>
      </c>
    </row>
    <row r="21" spans="1:6" ht="38.25">
      <c r="A21" s="51">
        <v>12</v>
      </c>
      <c r="B21" s="52" t="str">
        <f>Item12!B3</f>
        <v>Esponja dupla face Em poliuretano e fibra têxtil; Dimensões: 105 x 70 x 22 mm (comprimento, largura e espessura), admitida variação de ± 5 mm. O material deverá estar acondicionado em caixas/fardos com até 120 unidades</v>
      </c>
      <c r="C21" s="51" t="str">
        <f>Item12!C3</f>
        <v>unidade</v>
      </c>
      <c r="D21" s="51">
        <f>Item12!D3</f>
        <v>10000</v>
      </c>
      <c r="E21" s="53">
        <f>Item12!E3</f>
        <v>0.57999999999999996</v>
      </c>
      <c r="F21" s="53">
        <f t="shared" si="0"/>
        <v>5800</v>
      </c>
    </row>
    <row r="22" spans="1:6" ht="25.5">
      <c r="A22" s="51">
        <v>13</v>
      </c>
      <c r="B22" s="52" t="str">
        <f>Item13!B3</f>
        <v>Flanela 100% Algodão; Cor branca; Dimensões: 29 x 29 cm (altura x largura). Variação permitida: ± 2cm; O material deverá estar acondicionado em caixas/fardos com até 100 unidades</v>
      </c>
      <c r="C22" s="51" t="str">
        <f>Item13!C3</f>
        <v>unidade</v>
      </c>
      <c r="D22" s="51">
        <f>Item13!D3</f>
        <v>8000</v>
      </c>
      <c r="E22" s="53">
        <f>Item13!E3</f>
        <v>1.21</v>
      </c>
      <c r="F22" s="53">
        <f t="shared" si="0"/>
        <v>9680</v>
      </c>
    </row>
    <row r="23" spans="1:6" ht="76.5">
      <c r="A23" s="51">
        <v>14</v>
      </c>
      <c r="B23" s="52" t="str">
        <f>Item14!B3</f>
        <v>Limpador instantâneo Ingrediente ativo: tensoativo aniônico biodegradável; Composição: Linear alquil benzeno, sulfonato de sódio, tensoativo não iônico, alcalinizante, sequestrante, solubilizante, éter glicólico, álcool, perfume e água; Embalagem com impressão do nome do fabricante e indicação de registro na ANVISA/MS;  Frasco com 500 ml, com tampa e bico econômico; Prazo de validade impresso na embalagem e não inferior a 11 meses contados da data de recebimento definitivo; O material deverá estar acondicionado em caixas com até 24 unidades</v>
      </c>
      <c r="C23" s="51" t="str">
        <f>Item14!C3</f>
        <v>frasco</v>
      </c>
      <c r="D23" s="51">
        <f>Item14!D3</f>
        <v>5000</v>
      </c>
      <c r="E23" s="53">
        <f>Item14!E3</f>
        <v>2.29</v>
      </c>
      <c r="F23" s="53">
        <f t="shared" si="0"/>
        <v>11450</v>
      </c>
    </row>
    <row r="24" spans="1:6" ht="38.25">
      <c r="A24" s="51">
        <v>15</v>
      </c>
      <c r="B24" s="52" t="str">
        <f>Item15!B3</f>
        <v>Luva para Procedimento não Cirúrgico Composição: Látex de borracha natural; Tamanho: M – Médio; Não Estéril; Com pó bioabsorvível; Ambidestra; Cor: Creme; Embalagem com 100 unidades; Prazo de validade não inferior a 12 meses contados do recebimento definitivo</v>
      </c>
      <c r="C24" s="51" t="str">
        <f>Item15!C3</f>
        <v>caixa</v>
      </c>
      <c r="D24" s="51">
        <f>Item15!D3</f>
        <v>1000</v>
      </c>
      <c r="E24" s="53">
        <f>Item15!E3</f>
        <v>78.739999999999995</v>
      </c>
      <c r="F24" s="53">
        <f t="shared" si="0"/>
        <v>78740</v>
      </c>
    </row>
    <row r="25" spans="1:6" ht="38.25">
      <c r="A25" s="51">
        <v>16</v>
      </c>
      <c r="B25" s="52" t="str">
        <f>Item16!B3</f>
        <v>Luva para Procedimento não Cirúrgico Composição: Látex de borracha natural; Tamanho: G – Grande; Não Estéril; Com pó bio-absorvível; Ambidestra; Cor: Creme; Embalagem com 100 unidades; Prazo de validade não inferior a 12 meses contados do recebimento definitivo.</v>
      </c>
      <c r="C25" s="51" t="str">
        <f>Item16!C3</f>
        <v>caixa</v>
      </c>
      <c r="D25" s="51">
        <f>Item16!D3</f>
        <v>750</v>
      </c>
      <c r="E25" s="53">
        <f>Item16!E3</f>
        <v>78.28</v>
      </c>
      <c r="F25" s="53">
        <f t="shared" si="0"/>
        <v>58710</v>
      </c>
    </row>
    <row r="26" spans="1:6" ht="89.25">
      <c r="A26" s="51">
        <v>17</v>
      </c>
      <c r="B26" s="52" t="str">
        <f>Item17!B3</f>
        <v xml:space="preserve">Mascara Cirúrgica Descartável - 40g/M2  Produzidas conforme a ABNT NBR 15052:2004 Máscara filtrante para vírus, bactérias, patógenos de transmissão aérea, partículas, e aerossóis no ar. Confeccionadas em três camadas externas de proteção - TNT com acabamento em todas as extremidades. Isenta de substância fibra de vidro Cor branca ou azul Com regulador / Clip Nasal Embutido Com tirantes / elástico Caixa com 50 unidades Obrigatória a apresentação de Laudo emitido por laboratório autorizado ou credenciado pelo INMETRO que ateste a segurança, eficiência e qualidade de filtração de acordo com as normas da ABNT e registro na ANVISA. </v>
      </c>
      <c r="C26" s="51" t="str">
        <f>Item17!C3</f>
        <v>caixa</v>
      </c>
      <c r="D26" s="51">
        <f>Item17!D3</f>
        <v>750</v>
      </c>
      <c r="E26" s="53">
        <f>Item17!E3</f>
        <v>27.53</v>
      </c>
      <c r="F26" s="53">
        <f t="shared" si="0"/>
        <v>20647.5</v>
      </c>
    </row>
    <row r="27" spans="1:6" ht="102">
      <c r="A27" s="51">
        <v>18</v>
      </c>
      <c r="B27" s="52" t="str">
        <f>Item18!B3</f>
        <v>Peça Facial Filtrante - Máscara Modelo PFF2 / N95. Equipamento de Proteção  Respiratória – Peça Filtrante para Partículas, Fabricadas  de acordo com a norma ABNT/NBR 13698:2011. Eficiência mínima de filtragem de partículas de 95% . Eficiência de Filtração Bacteriológica maior que 95%. Não valvulada. Indicado para proteção das vias respiratórias contra aerossóis e particulados potencialmente contaminados, vírus, bactérias e outros agentes biológicos potencialmente patogênicos e ou infecciosos. Cor branca Clip Nasal Embutido. Com tirantes/elásticos. Caixa com 50 unidades. Obrigatória a apresentação de Laudo emitido por laboratório autorizado ou credenciado pelo INMETRO que ateste a segurança, eficiência e qualidade de filtração de acordo com as normas da ABNT e registro na ANVISA.</v>
      </c>
      <c r="C27" s="51" t="str">
        <f>Item18!C3</f>
        <v>unidade</v>
      </c>
      <c r="D27" s="51">
        <f>Item18!D3</f>
        <v>6000</v>
      </c>
      <c r="E27" s="53">
        <f>Item18!E3</f>
        <v>2</v>
      </c>
      <c r="F27" s="53">
        <f t="shared" si="0"/>
        <v>12000</v>
      </c>
    </row>
    <row r="28" spans="1:6" ht="25.5">
      <c r="A28" s="51">
        <v>19</v>
      </c>
      <c r="B28" s="52" t="str">
        <f>Item19!B3</f>
        <v>Pá coletora lixo Material da base: zinco; Material do cabo: madeira; Comprimento do cabo: 60 cm; Para limpeza doméstica; Variação permitida: ± 5 cm</v>
      </c>
      <c r="C28" s="51" t="str">
        <f>Item19!C3</f>
        <v>unidade</v>
      </c>
      <c r="D28" s="51">
        <f>Item19!D3</f>
        <v>100</v>
      </c>
      <c r="E28" s="53">
        <f>Item19!E3</f>
        <v>5.7</v>
      </c>
      <c r="F28" s="53">
        <f t="shared" si="0"/>
        <v>570</v>
      </c>
    </row>
    <row r="29" spans="1:6" ht="38.25">
      <c r="A29" s="51">
        <v>20</v>
      </c>
      <c r="B29" s="52" t="str">
        <f>Item20!B3</f>
        <v>Pano para limpeza 100% algodão; Tipo saco, duplo, lavado e alvejado; Com alta absorção; Dimensões: 65 x 42 cm; Cor branca; Variação permitida: ± 5cm; O material deverá estar acondicionado em fardos com até 25 unidades</v>
      </c>
      <c r="C29" s="51" t="str">
        <f>Item20!C3</f>
        <v>unidade</v>
      </c>
      <c r="D29" s="51">
        <f>Item20!D3</f>
        <v>3000</v>
      </c>
      <c r="E29" s="53">
        <f>Item20!E3</f>
        <v>2.99</v>
      </c>
      <c r="F29" s="53">
        <f t="shared" si="0"/>
        <v>8970</v>
      </c>
    </row>
    <row r="30" spans="1:6" ht="25.5">
      <c r="A30" s="51">
        <v>21</v>
      </c>
      <c r="B30" s="52" t="str">
        <f>Item21!B3</f>
        <v>Pano em Microfibra para Limpeza de Lente/LCD/Tela Dimensões 13 X 13 cm, podendo variar em ± 2cm; Acondicionado em pacotes com 100 unidades</v>
      </c>
      <c r="C30" s="51" t="str">
        <f>Item21!C3</f>
        <v>pacote</v>
      </c>
      <c r="D30" s="51">
        <f>Item21!D3</f>
        <v>200</v>
      </c>
      <c r="E30" s="53">
        <f>Item21!E3</f>
        <v>39.57</v>
      </c>
      <c r="F30" s="53">
        <f t="shared" si="0"/>
        <v>7914</v>
      </c>
    </row>
    <row r="31" spans="1:6" ht="38.25">
      <c r="A31" s="51">
        <v>22</v>
      </c>
      <c r="B31" s="52" t="str">
        <f>Item22!B3</f>
        <v>Papel higiênico Celulose virgem – 100% celulose; Dimensões: mínimo de 30 m x 10 cm; Dermatologicamente testado; Picotado; Folha dupla; Sem perfume; Cor branca; Pacote com 4 unidades. PC = Pacote</v>
      </c>
      <c r="C31" s="51" t="str">
        <f>Item22!C3</f>
        <v>pacote</v>
      </c>
      <c r="D31" s="51">
        <f>Item22!D3</f>
        <v>15000</v>
      </c>
      <c r="E31" s="53">
        <f>Item22!E3</f>
        <v>2.95</v>
      </c>
      <c r="F31" s="53">
        <f t="shared" si="0"/>
        <v>44250</v>
      </c>
    </row>
    <row r="32" spans="1:6" ht="25.5">
      <c r="A32" s="51">
        <v>23</v>
      </c>
      <c r="B32" s="52" t="str">
        <f>Item23!B3</f>
        <v>Papel toalha Cor branca, duas dobras, texturizado; Dimensões: folhas com 22 cm x 22 cm; Tipo interfolhado; Macio e absorvente; Pacote com 1000 folhas; Variação permitida: ± 3.0 cm PC = Pacote</v>
      </c>
      <c r="C32" s="51" t="str">
        <f>Item23!C3</f>
        <v>pacote</v>
      </c>
      <c r="D32" s="51">
        <f>Item23!D3</f>
        <v>6000</v>
      </c>
      <c r="E32" s="53">
        <f>Item23!E3</f>
        <v>7.44</v>
      </c>
      <c r="F32" s="53">
        <f t="shared" si="0"/>
        <v>44640</v>
      </c>
    </row>
    <row r="33" spans="1:6" ht="51">
      <c r="A33" s="51">
        <v>24</v>
      </c>
      <c r="B33" s="52" t="str">
        <f>Item24!B3</f>
        <v>Sabão em pó Composição: alquil benzeno sulfato de sódio, corante; Embalagem com 500 g; Embalagem com impressão do nome do fabricante e indicação de registro na ANVISA/MS; Tensoativo aniônico biodegradável; Prazo de validade impresso na embalagem e não inferior a 11 meses contados da data de recebimento definitivo; O material deverá estar acondicionado em caixas/fardos com até 24 unidades</v>
      </c>
      <c r="C33" s="51" t="str">
        <f>Item24!C3</f>
        <v>caixa</v>
      </c>
      <c r="D33" s="51">
        <f>Item24!D3</f>
        <v>3500</v>
      </c>
      <c r="E33" s="53">
        <f>Item24!E3</f>
        <v>1.97</v>
      </c>
      <c r="F33" s="53">
        <f t="shared" si="0"/>
        <v>6895</v>
      </c>
    </row>
    <row r="34" spans="1:6" ht="38.25">
      <c r="A34" s="51">
        <v>25</v>
      </c>
      <c r="B34" s="52" t="str">
        <f>Item25!B3</f>
        <v>Saco plástico para lixo Cor preta; Capacidade de 40 Litros; Resistente ao peso mínimo de 5 Kg; Cada pacote deverá conter 100 sacos; O material deverá estar acondicionado em caixas/fardos com até 150 pacotes</v>
      </c>
      <c r="C34" s="55" t="str">
        <f>Item25!C3</f>
        <v>pacote</v>
      </c>
      <c r="D34" s="55">
        <f>Item25!D3</f>
        <v>6000</v>
      </c>
      <c r="E34" s="53">
        <f>Item25!E3</f>
        <v>7.25</v>
      </c>
      <c r="F34" s="53">
        <f t="shared" si="0"/>
        <v>43500</v>
      </c>
    </row>
    <row r="35" spans="1:6" ht="25.5">
      <c r="A35" s="51">
        <v>26</v>
      </c>
      <c r="B35" s="52" t="str">
        <f>Item26!B3</f>
        <v>Vassoura – Cerdas (naturais) em Piaçava  Cabo rosqueável; Comprimento do cabo: mínimo de 1,15m; Cepa com 20 cm, admitida variação de ± 2 cm; Comprimento das cerdas: mínimo 11 cm.</v>
      </c>
      <c r="C35" s="55" t="str">
        <f>Item26!C3</f>
        <v>unidade</v>
      </c>
      <c r="D35" s="55">
        <f>Item26!D3</f>
        <v>600</v>
      </c>
      <c r="E35" s="53">
        <f>Item26!E3</f>
        <v>5.37</v>
      </c>
      <c r="F35" s="53">
        <f t="shared" si="0"/>
        <v>3222</v>
      </c>
    </row>
    <row r="36" spans="1:6" ht="25.5">
      <c r="A36" s="51">
        <v>27</v>
      </c>
      <c r="B36" s="52" t="str">
        <f>Item27!B3</f>
        <v>Coador de Tecido para Cafeteira Elétrica Aplicação: para máquina de café industrial Compatível com as marcas/modelos:  CONSERCAF/ CIC20 e CIP20</v>
      </c>
      <c r="C36" s="55" t="str">
        <f>Item27!C3</f>
        <v>unidade</v>
      </c>
      <c r="D36" s="55">
        <f>Item27!D3</f>
        <v>120</v>
      </c>
      <c r="E36" s="53">
        <f>Item27!E3</f>
        <v>25</v>
      </c>
      <c r="F36" s="53">
        <f t="shared" si="0"/>
        <v>3000</v>
      </c>
    </row>
    <row r="37" spans="1:6" ht="25.5">
      <c r="A37" s="51">
        <v>28</v>
      </c>
      <c r="B37" s="52" t="str">
        <f>Item28!B3</f>
        <v>BORRIFADOR Confeccionado em material plástico Tipo SPRAY Contendo Bico Borrifador Aplicação de material de limpeza  Capacidade 500 ml</v>
      </c>
      <c r="C37" s="55" t="str">
        <f>Item28!C3</f>
        <v>unidade</v>
      </c>
      <c r="D37" s="55">
        <f>Item28!D3</f>
        <v>500</v>
      </c>
      <c r="E37" s="53">
        <f>Item28!E3</f>
        <v>5.67</v>
      </c>
      <c r="F37" s="53">
        <f t="shared" si="0"/>
        <v>2835</v>
      </c>
    </row>
    <row r="38" spans="1:6" ht="38.25">
      <c r="A38" s="51">
        <v>29</v>
      </c>
      <c r="B38" s="56" t="str">
        <f>Item29!B3</f>
        <v>Luva para Procedimento não Cirúrgico Composição: Látex de borracha natural; Tamanho: M – Médio; Não Estéril; Com pó bioabsorvível; Ambidestra; Cor: Creme; Embalagem com 100 unidades; Prazo de validade não inferior a 12 meses contados do recebimento definitivo</v>
      </c>
      <c r="C38" s="57" t="str">
        <f>Item29!C3</f>
        <v>caixa</v>
      </c>
      <c r="D38" s="57">
        <f>Item29!D3</f>
        <v>3000</v>
      </c>
      <c r="E38" s="58">
        <f>Item29!E3</f>
        <v>78.739999999999995</v>
      </c>
      <c r="F38" s="53">
        <f t="shared" si="0"/>
        <v>236219.99999999997</v>
      </c>
    </row>
    <row r="39" spans="1:6" ht="38.25">
      <c r="A39" s="51">
        <v>30</v>
      </c>
      <c r="B39" s="56" t="str">
        <f>Item30!B3</f>
        <v>Luva para Procedimento não Cirúrgico Composição: Látex de borracha natural; Tamanho: G – Grande; Não Estéril; Com pó bio-absorvível; Ambidestra; Cor: Creme; Embalagem com 100 unidades; Prazo de validade não inferior a 12 meses contados do recebimento definitivo.</v>
      </c>
      <c r="C39" s="57" t="str">
        <f>Item30!C3</f>
        <v>caixa</v>
      </c>
      <c r="D39" s="57">
        <f>Item30!D3</f>
        <v>2250</v>
      </c>
      <c r="E39" s="58">
        <f>Item30!E3</f>
        <v>78.28</v>
      </c>
      <c r="F39" s="53">
        <f t="shared" si="0"/>
        <v>176130</v>
      </c>
    </row>
    <row r="40" spans="1:6" ht="89.25">
      <c r="A40" s="51">
        <v>31</v>
      </c>
      <c r="B40" s="56" t="str">
        <f>Item31!B3</f>
        <v xml:space="preserve">Mascara Cirúrgica Descartável - 40g/M2  Produzidas conforme a ABNT NBR 15052:2004 Máscara filtrante para vírus, bactérias, patógenos de transmissão aérea, partículas, e aerossóis no ar. Confeccionadas em três camadas externas de proteção - TNT com acabamento em todas as extremidades. Isenta de substância fibra de vidro Cor branca ou azul Com regulador / Clip Nasal Embutido Com tirantes / elástico Caixa com 50 unidades Obrigatória a apresentação de Laudo emitido por laboratório autorizado ou credenciado pelo INMETRO que ateste a segurança, eficiência e qualidade de filtração de acordo com as normas da ABNT e registro na ANVISA. </v>
      </c>
      <c r="C40" s="57" t="str">
        <f>Item31!C3</f>
        <v>caixa</v>
      </c>
      <c r="D40" s="57">
        <f>Item31!D3</f>
        <v>2250</v>
      </c>
      <c r="E40" s="58">
        <f>Item31!E3</f>
        <v>27.53</v>
      </c>
      <c r="F40" s="53">
        <f t="shared" si="0"/>
        <v>61942.5</v>
      </c>
    </row>
    <row r="41" spans="1:6" ht="15.75" customHeight="1">
      <c r="A41" s="59"/>
      <c r="B41" s="59"/>
      <c r="C41" s="1" t="s">
        <v>294</v>
      </c>
      <c r="D41" s="1"/>
      <c r="E41" s="1"/>
      <c r="F41" s="60">
        <f>SUM(F10:F40)</f>
        <v>1023846</v>
      </c>
    </row>
  </sheetData>
  <mergeCells count="4">
    <mergeCell ref="A5:F5"/>
    <mergeCell ref="A6:F6"/>
    <mergeCell ref="A8:F8"/>
    <mergeCell ref="C41:E41"/>
  </mergeCells>
  <pageMargins left="0.51180555555555496" right="0.51180555555555496" top="0.78749999999999998" bottom="0.95416666666666705" header="0.51180555555555496" footer="0.78749999999999998"/>
  <pageSetup paperSize="9" scale="91" firstPageNumber="0" fitToHeight="0" orientation="landscape" horizontalDpi="300" verticalDpi="300" r:id="rId1"/>
  <headerFooter>
    <oddFooter>&amp;L&amp;"Times New Roman,Normal"&amp;12Estimativa em 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2" sqref="G12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70</v>
      </c>
      <c r="C3" s="9" t="s">
        <v>71</v>
      </c>
      <c r="D3" s="8">
        <v>600</v>
      </c>
      <c r="E3" s="7">
        <f>IF(C20&lt;=25%,D20,MIN(E20:F20))</f>
        <v>2.96</v>
      </c>
      <c r="F3" s="7">
        <f>MIN(H3:H17)</f>
        <v>1.62</v>
      </c>
      <c r="G3" s="18" t="s">
        <v>72</v>
      </c>
      <c r="H3" s="19">
        <v>1.62</v>
      </c>
      <c r="I3" s="20">
        <f t="shared" ref="I3:I17" si="0">IF(H3="","",(IF($C$20&lt;25%,"N/A",IF(H3&lt;=($D$20+$A$20),H3,"Descartado"))))</f>
        <v>1.62</v>
      </c>
    </row>
    <row r="4" spans="1:9">
      <c r="A4" s="11"/>
      <c r="B4" s="10"/>
      <c r="C4" s="9"/>
      <c r="D4" s="8"/>
      <c r="E4" s="7"/>
      <c r="F4" s="7"/>
      <c r="G4" s="18" t="s">
        <v>73</v>
      </c>
      <c r="H4" s="19">
        <v>2.25</v>
      </c>
      <c r="I4" s="20">
        <f t="shared" si="0"/>
        <v>2.25</v>
      </c>
    </row>
    <row r="5" spans="1:9">
      <c r="A5" s="11"/>
      <c r="B5" s="10"/>
      <c r="C5" s="9"/>
      <c r="D5" s="8"/>
      <c r="E5" s="7"/>
      <c r="F5" s="7"/>
      <c r="G5" s="18" t="s">
        <v>74</v>
      </c>
      <c r="H5" s="19">
        <v>2.4500000000000002</v>
      </c>
      <c r="I5" s="20">
        <f t="shared" si="0"/>
        <v>2.4500000000000002</v>
      </c>
    </row>
    <row r="6" spans="1:9">
      <c r="A6" s="11"/>
      <c r="B6" s="10"/>
      <c r="C6" s="9"/>
      <c r="D6" s="8"/>
      <c r="E6" s="7"/>
      <c r="F6" s="7"/>
      <c r="G6" s="18" t="s">
        <v>75</v>
      </c>
      <c r="H6" s="19">
        <v>2.9599000000000002</v>
      </c>
      <c r="I6" s="20">
        <f t="shared" si="0"/>
        <v>2.9599000000000002</v>
      </c>
    </row>
    <row r="7" spans="1:9">
      <c r="A7" s="11"/>
      <c r="B7" s="10"/>
      <c r="C7" s="9"/>
      <c r="D7" s="8"/>
      <c r="E7" s="7"/>
      <c r="F7" s="7"/>
      <c r="G7" s="18" t="s">
        <v>76</v>
      </c>
      <c r="H7" s="19">
        <v>2.9666000000000001</v>
      </c>
      <c r="I7" s="20">
        <f t="shared" si="0"/>
        <v>2.9666000000000001</v>
      </c>
    </row>
    <row r="8" spans="1:9">
      <c r="A8" s="11"/>
      <c r="B8" s="10"/>
      <c r="C8" s="9"/>
      <c r="D8" s="8"/>
      <c r="E8" s="7"/>
      <c r="F8" s="7"/>
      <c r="G8" s="18" t="s">
        <v>77</v>
      </c>
      <c r="H8" s="19">
        <v>3.2189999999999999</v>
      </c>
      <c r="I8" s="20">
        <f t="shared" si="0"/>
        <v>3.2189999999999999</v>
      </c>
    </row>
    <row r="9" spans="1:9">
      <c r="A9" s="11"/>
      <c r="B9" s="10"/>
      <c r="C9" s="9"/>
      <c r="D9" s="8"/>
      <c r="E9" s="7"/>
      <c r="F9" s="7"/>
      <c r="G9" s="18" t="s">
        <v>78</v>
      </c>
      <c r="H9" s="19">
        <v>4</v>
      </c>
      <c r="I9" s="20">
        <f t="shared" si="0"/>
        <v>4</v>
      </c>
    </row>
    <row r="10" spans="1:9">
      <c r="A10" s="11"/>
      <c r="B10" s="10"/>
      <c r="C10" s="9"/>
      <c r="D10" s="8"/>
      <c r="E10" s="7"/>
      <c r="F10" s="7"/>
      <c r="G10" s="18" t="s">
        <v>79</v>
      </c>
      <c r="H10" s="19">
        <v>4.1900000000000004</v>
      </c>
      <c r="I10" s="20">
        <f t="shared" si="0"/>
        <v>4.1900000000000004</v>
      </c>
    </row>
    <row r="11" spans="1:9">
      <c r="A11" s="11"/>
      <c r="B11" s="10"/>
      <c r="C11" s="9"/>
      <c r="D11" s="8"/>
      <c r="E11" s="7"/>
      <c r="F11" s="7"/>
      <c r="G11" s="18" t="s">
        <v>80</v>
      </c>
      <c r="H11" s="19">
        <v>9.6999999999999993</v>
      </c>
      <c r="I11" s="20" t="str">
        <f t="shared" si="0"/>
        <v>Descartado</v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2.3884655722869441</v>
      </c>
      <c r="B20" s="31">
        <f>COUNT(H3:H17)</f>
        <v>9</v>
      </c>
      <c r="C20" s="32">
        <f>IF(B20&lt;2,"N/A",(A20/D20))</f>
        <v>0.64379125937653481</v>
      </c>
      <c r="D20" s="33">
        <f>ROUND(AVERAGE(H3:H17),2)</f>
        <v>3.71</v>
      </c>
      <c r="E20" s="34">
        <f>IFERROR(ROUND(IF(B20&lt;2,"N/A",(IF(C20&lt;=25%,"N/A",AVERAGE(I3:I17)))),2),"N/A")</f>
        <v>2.96</v>
      </c>
      <c r="F20" s="34">
        <f>ROUND(MEDIAN(H3:H17),2)</f>
        <v>2.97</v>
      </c>
      <c r="G20" s="35" t="str">
        <f>INDEX(G3:G17,MATCH(H20,H3:H17,0))</f>
        <v>G C C COMERCIAL E SERVICOS P/ ESCRITORIOS EIRELI</v>
      </c>
      <c r="H20" s="36">
        <f>MIN(H3:H17)</f>
        <v>1.62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2.96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1776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6" sqref="G16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81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82</v>
      </c>
      <c r="C3" s="9" t="s">
        <v>71</v>
      </c>
      <c r="D3" s="8">
        <v>8000</v>
      </c>
      <c r="E3" s="7">
        <f>IF(C20&lt;=25%,D20,MIN(E20:F20))</f>
        <v>4.75</v>
      </c>
      <c r="F3" s="7">
        <f>MIN(H3:H17)</f>
        <v>2.9</v>
      </c>
      <c r="G3" s="18" t="s">
        <v>83</v>
      </c>
      <c r="H3" s="19">
        <v>2.9</v>
      </c>
      <c r="I3" s="20">
        <f t="shared" ref="I3:I17" si="0">IF(H3="","",(IF($C$20&lt;25%,"N/A",IF(H3&lt;=($D$20+$A$20),H3,"Descartado"))))</f>
        <v>2.9</v>
      </c>
    </row>
    <row r="4" spans="1:9">
      <c r="A4" s="11"/>
      <c r="B4" s="10"/>
      <c r="C4" s="9"/>
      <c r="D4" s="8"/>
      <c r="E4" s="7"/>
      <c r="F4" s="7"/>
      <c r="G4" s="18" t="s">
        <v>84</v>
      </c>
      <c r="H4" s="19">
        <v>3.36</v>
      </c>
      <c r="I4" s="20">
        <f t="shared" si="0"/>
        <v>3.36</v>
      </c>
    </row>
    <row r="5" spans="1:9">
      <c r="A5" s="11"/>
      <c r="B5" s="10"/>
      <c r="C5" s="9"/>
      <c r="D5" s="8"/>
      <c r="E5" s="7"/>
      <c r="F5" s="7"/>
      <c r="G5" s="18" t="s">
        <v>85</v>
      </c>
      <c r="H5" s="19">
        <v>3.55</v>
      </c>
      <c r="I5" s="20">
        <f t="shared" si="0"/>
        <v>3.55</v>
      </c>
    </row>
    <row r="6" spans="1:9">
      <c r="A6" s="11"/>
      <c r="B6" s="10"/>
      <c r="C6" s="9"/>
      <c r="D6" s="8"/>
      <c r="E6" s="7"/>
      <c r="F6" s="7"/>
      <c r="G6" s="18" t="s">
        <v>86</v>
      </c>
      <c r="H6" s="19">
        <v>3.56</v>
      </c>
      <c r="I6" s="20">
        <f t="shared" si="0"/>
        <v>3.56</v>
      </c>
    </row>
    <row r="7" spans="1:9">
      <c r="A7" s="11"/>
      <c r="B7" s="10"/>
      <c r="C7" s="9"/>
      <c r="D7" s="8"/>
      <c r="E7" s="7"/>
      <c r="F7" s="7"/>
      <c r="G7" s="18" t="s">
        <v>87</v>
      </c>
      <c r="H7" s="19">
        <v>4.38</v>
      </c>
      <c r="I7" s="20">
        <f t="shared" si="0"/>
        <v>4.38</v>
      </c>
    </row>
    <row r="8" spans="1:9">
      <c r="A8" s="11"/>
      <c r="B8" s="10"/>
      <c r="C8" s="9"/>
      <c r="D8" s="8"/>
      <c r="E8" s="7"/>
      <c r="F8" s="7"/>
      <c r="G8" s="18" t="s">
        <v>88</v>
      </c>
      <c r="H8" s="19">
        <v>4.5</v>
      </c>
      <c r="I8" s="20">
        <f t="shared" si="0"/>
        <v>4.5</v>
      </c>
    </row>
    <row r="9" spans="1:9">
      <c r="A9" s="11"/>
      <c r="B9" s="10"/>
      <c r="C9" s="9"/>
      <c r="D9" s="8"/>
      <c r="E9" s="7"/>
      <c r="F9" s="7"/>
      <c r="G9" s="18" t="s">
        <v>89</v>
      </c>
      <c r="H9" s="19">
        <v>4.75</v>
      </c>
      <c r="I9" s="20">
        <f t="shared" si="0"/>
        <v>4.75</v>
      </c>
    </row>
    <row r="10" spans="1:9">
      <c r="A10" s="11"/>
      <c r="B10" s="10"/>
      <c r="C10" s="9"/>
      <c r="D10" s="8"/>
      <c r="E10" s="7"/>
      <c r="F10" s="7"/>
      <c r="G10" s="18" t="s">
        <v>90</v>
      </c>
      <c r="H10" s="19">
        <v>5.7</v>
      </c>
      <c r="I10" s="20">
        <f t="shared" si="0"/>
        <v>5.7</v>
      </c>
    </row>
    <row r="11" spans="1:9">
      <c r="A11" s="11"/>
      <c r="B11" s="10"/>
      <c r="C11" s="9"/>
      <c r="D11" s="8"/>
      <c r="E11" s="7"/>
      <c r="F11" s="7"/>
      <c r="G11" s="18" t="s">
        <v>91</v>
      </c>
      <c r="H11" s="19">
        <v>5.8</v>
      </c>
      <c r="I11" s="20">
        <f t="shared" si="0"/>
        <v>5.8</v>
      </c>
    </row>
    <row r="12" spans="1:9">
      <c r="A12" s="11"/>
      <c r="B12" s="10"/>
      <c r="C12" s="9"/>
      <c r="D12" s="8"/>
      <c r="E12" s="7"/>
      <c r="F12" s="7"/>
      <c r="G12" s="18" t="s">
        <v>92</v>
      </c>
      <c r="H12" s="19">
        <v>7.0769000000000002</v>
      </c>
      <c r="I12" s="20">
        <f t="shared" si="0"/>
        <v>7.0769000000000002</v>
      </c>
    </row>
    <row r="13" spans="1:9">
      <c r="A13" s="11"/>
      <c r="B13" s="10"/>
      <c r="C13" s="9"/>
      <c r="D13" s="8"/>
      <c r="E13" s="7"/>
      <c r="F13" s="7"/>
      <c r="G13" s="18" t="s">
        <v>93</v>
      </c>
      <c r="H13" s="19">
        <v>8.06</v>
      </c>
      <c r="I13" s="20">
        <f t="shared" si="0"/>
        <v>8.06</v>
      </c>
    </row>
    <row r="14" spans="1:9">
      <c r="A14" s="11"/>
      <c r="B14" s="10"/>
      <c r="C14" s="9"/>
      <c r="D14" s="8"/>
      <c r="E14" s="7"/>
      <c r="F14" s="7"/>
      <c r="G14" s="18" t="s">
        <v>94</v>
      </c>
      <c r="H14" s="19">
        <v>10.029999999999999</v>
      </c>
      <c r="I14" s="20" t="str">
        <f t="shared" si="0"/>
        <v>Descartado</v>
      </c>
    </row>
    <row r="15" spans="1:9">
      <c r="A15" s="11"/>
      <c r="B15" s="10"/>
      <c r="C15" s="9"/>
      <c r="D15" s="8"/>
      <c r="E15" s="7"/>
      <c r="F15" s="7"/>
      <c r="G15" s="18" t="s">
        <v>95</v>
      </c>
      <c r="H15" s="19">
        <v>10.99</v>
      </c>
      <c r="I15" s="20" t="str">
        <f t="shared" si="0"/>
        <v>Descartado</v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2.5946611350805386</v>
      </c>
      <c r="B20" s="31">
        <f>COUNT(H3:H17)</f>
        <v>13</v>
      </c>
      <c r="C20" s="32">
        <f>IF(B20&lt;2,"N/A",(A20/D20))</f>
        <v>0.45203155663424016</v>
      </c>
      <c r="D20" s="33">
        <f>ROUND(AVERAGE(H3:H17),2)</f>
        <v>5.74</v>
      </c>
      <c r="E20" s="34">
        <f>IFERROR(ROUND(IF(B20&lt;2,"N/A",(IF(C20&lt;=25%,"N/A",AVERAGE(I3:I17)))),2),"N/A")</f>
        <v>4.88</v>
      </c>
      <c r="F20" s="34">
        <f>ROUND(MEDIAN(H3:H17),2)</f>
        <v>4.75</v>
      </c>
      <c r="G20" s="35" t="str">
        <f>INDEX(G3:G17,MATCH(H20,H3:H17,0))</f>
        <v>F G DE OLIVEIRA LTDA</v>
      </c>
      <c r="H20" s="36">
        <f>MIN(H3:H17)</f>
        <v>2.9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4.75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38000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6" sqref="G16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96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97</v>
      </c>
      <c r="C3" s="9" t="s">
        <v>71</v>
      </c>
      <c r="D3" s="8">
        <v>8000</v>
      </c>
      <c r="E3" s="7">
        <f>IF(C20&lt;=25%,D20,MIN(E20:F20))</f>
        <v>5.16</v>
      </c>
      <c r="F3" s="7">
        <f>MIN(H3:H17)</f>
        <v>3.85</v>
      </c>
      <c r="G3" s="18" t="s">
        <v>98</v>
      </c>
      <c r="H3" s="19">
        <v>3.85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99</v>
      </c>
      <c r="H4" s="19">
        <v>4.18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100</v>
      </c>
      <c r="H5" s="19">
        <v>4.18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101</v>
      </c>
      <c r="H6" s="19">
        <v>4.3499999999999996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65</v>
      </c>
      <c r="H7" s="19">
        <v>4.3499999999999996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102</v>
      </c>
      <c r="H8" s="19">
        <v>4.3499999999999996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103</v>
      </c>
      <c r="H9" s="19">
        <v>4.99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 t="s">
        <v>104</v>
      </c>
      <c r="H10" s="19">
        <v>5.28</v>
      </c>
      <c r="I10" s="20" t="str">
        <f t="shared" si="0"/>
        <v>N/A</v>
      </c>
    </row>
    <row r="11" spans="1:9">
      <c r="A11" s="11"/>
      <c r="B11" s="10"/>
      <c r="C11" s="9"/>
      <c r="D11" s="8"/>
      <c r="E11" s="7"/>
      <c r="F11" s="7"/>
      <c r="G11" s="18" t="s">
        <v>105</v>
      </c>
      <c r="H11" s="19">
        <v>5.39</v>
      </c>
      <c r="I11" s="20" t="str">
        <f t="shared" si="0"/>
        <v>N/A</v>
      </c>
    </row>
    <row r="12" spans="1:9">
      <c r="A12" s="11"/>
      <c r="B12" s="10"/>
      <c r="C12" s="9"/>
      <c r="D12" s="8"/>
      <c r="E12" s="7"/>
      <c r="F12" s="7"/>
      <c r="G12" s="18" t="s">
        <v>106</v>
      </c>
      <c r="H12" s="19">
        <v>5.8</v>
      </c>
      <c r="I12" s="20" t="str">
        <f t="shared" si="0"/>
        <v>N/A</v>
      </c>
    </row>
    <row r="13" spans="1:9">
      <c r="A13" s="11"/>
      <c r="B13" s="10"/>
      <c r="C13" s="9"/>
      <c r="D13" s="8"/>
      <c r="E13" s="7"/>
      <c r="F13" s="7"/>
      <c r="G13" s="18" t="s">
        <v>107</v>
      </c>
      <c r="H13" s="19">
        <v>6.0594000000000001</v>
      </c>
      <c r="I13" s="20" t="str">
        <f t="shared" si="0"/>
        <v>N/A</v>
      </c>
    </row>
    <row r="14" spans="1:9">
      <c r="A14" s="11"/>
      <c r="B14" s="10"/>
      <c r="C14" s="9"/>
      <c r="D14" s="8"/>
      <c r="E14" s="7"/>
      <c r="F14" s="7"/>
      <c r="G14" s="18" t="s">
        <v>108</v>
      </c>
      <c r="H14" s="19">
        <v>6.5</v>
      </c>
      <c r="I14" s="20" t="str">
        <f t="shared" si="0"/>
        <v>N/A</v>
      </c>
    </row>
    <row r="15" spans="1:9">
      <c r="A15" s="11"/>
      <c r="B15" s="10"/>
      <c r="C15" s="9"/>
      <c r="D15" s="8"/>
      <c r="E15" s="7"/>
      <c r="F15" s="7"/>
      <c r="G15" s="18" t="s">
        <v>109</v>
      </c>
      <c r="H15" s="19">
        <v>7.75</v>
      </c>
      <c r="I15" s="20" t="str">
        <f t="shared" si="0"/>
        <v>N/A</v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1.1337042313154548</v>
      </c>
      <c r="B20" s="31">
        <f>COUNT(H3:H17)</f>
        <v>13</v>
      </c>
      <c r="C20" s="32">
        <f>IF(B20&lt;2,"N/A",(A20/D20))</f>
        <v>0.21971012234795637</v>
      </c>
      <c r="D20" s="33">
        <f>ROUND(AVERAGE(H3:H17),2)</f>
        <v>5.16</v>
      </c>
      <c r="E20" s="34" t="str">
        <f>IFERROR(ROUND(IF(B20&lt;2,"N/A",(IF(C20&lt;=25%,"N/A",AVERAGE(I3:I17)))),2),"N/A")</f>
        <v>N/A</v>
      </c>
      <c r="F20" s="34">
        <f>ROUND(MEDIAN(H3:H17),2)</f>
        <v>4.99</v>
      </c>
      <c r="G20" s="35" t="str">
        <f>INDEX(G3:G17,MATCH(H20,H3:H17,0))</f>
        <v>LIMP DESC COMERCIO DE MATERIAIS DE LIMPEZA E DESCARTAVEIS</v>
      </c>
      <c r="H20" s="36">
        <f>MIN(H3:H17)</f>
        <v>3.85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5.16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41280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8" sqref="G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110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111</v>
      </c>
      <c r="C3" s="9" t="s">
        <v>44</v>
      </c>
      <c r="D3" s="8">
        <v>200</v>
      </c>
      <c r="E3" s="7">
        <f>IF(C20&lt;=25%,D20,MIN(E20:F20))</f>
        <v>10.34</v>
      </c>
      <c r="F3" s="7">
        <f>MIN(H3:H17)</f>
        <v>7.12</v>
      </c>
      <c r="G3" s="18" t="s">
        <v>112</v>
      </c>
      <c r="H3" s="19">
        <v>7.12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113</v>
      </c>
      <c r="H4" s="19">
        <v>9.99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114</v>
      </c>
      <c r="H5" s="19">
        <v>10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115</v>
      </c>
      <c r="H6" s="19">
        <v>10.6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116</v>
      </c>
      <c r="H7" s="19">
        <v>14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18</v>
      </c>
      <c r="B19" s="17" t="s">
        <v>19</v>
      </c>
      <c r="C19" s="16" t="s">
        <v>20</v>
      </c>
      <c r="D19" s="28" t="s">
        <v>21</v>
      </c>
      <c r="E19" s="29" t="s">
        <v>22</v>
      </c>
      <c r="F19" s="28" t="s">
        <v>23</v>
      </c>
      <c r="G19" s="6" t="s">
        <v>24</v>
      </c>
      <c r="H19" s="6"/>
      <c r="I19" s="30"/>
    </row>
    <row r="20" spans="1:11">
      <c r="A20" s="31">
        <f>IF(B20&lt;2,"N/A",(STDEV(H3:H17)))</f>
        <v>2.4530430081839141</v>
      </c>
      <c r="B20" s="31">
        <f>COUNT(H3:H17)</f>
        <v>5</v>
      </c>
      <c r="C20" s="32">
        <f>IF(B20&lt;2,"N/A",(A20/D20))</f>
        <v>0.23723820195202264</v>
      </c>
      <c r="D20" s="33">
        <f>ROUND(AVERAGE(H3:H17),2)</f>
        <v>10.34</v>
      </c>
      <c r="E20" s="34" t="str">
        <f>IFERROR(ROUND(IF(B20&lt;2,"N/A",(IF(C20&lt;=25%,"N/A",AVERAGE(I3:I17)))),2),"N/A")</f>
        <v>N/A</v>
      </c>
      <c r="F20" s="34">
        <f>ROUND(MEDIAN(H3:H17),2)</f>
        <v>10</v>
      </c>
      <c r="G20" s="35" t="str">
        <f>INDEX(G3:G17,MATCH(H20,H3:H17,0))</f>
        <v>MULTISUL COMERCIO E DISTRIBUICAO LTDA</v>
      </c>
      <c r="H20" s="36">
        <f>MIN(H3:H17)</f>
        <v>7.12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25</v>
      </c>
      <c r="H22" s="44">
        <f>IF(C20&lt;=25%,D20,MIN(E20:F20))</f>
        <v>10.34</v>
      </c>
    </row>
    <row r="23" spans="1:11">
      <c r="B23" s="37"/>
      <c r="C23" s="37"/>
      <c r="D23" s="5"/>
      <c r="E23" s="5"/>
      <c r="F23" s="45"/>
      <c r="G23" s="16" t="s">
        <v>26</v>
      </c>
      <c r="H23" s="36">
        <f>ROUND(H22,2)*D3</f>
        <v>2068</v>
      </c>
    </row>
    <row r="24" spans="1:11">
      <c r="B24" s="41"/>
      <c r="C24" s="41"/>
      <c r="D24" s="30"/>
      <c r="E24" s="30"/>
    </row>
    <row r="26" spans="1:11" ht="12.75" customHeigh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28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29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31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32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33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51</vt:i4>
      </vt:variant>
      <vt:variant>
        <vt:lpstr>Intervalos nomeados</vt:lpstr>
      </vt:variant>
      <vt:variant>
        <vt:i4>2</vt:i4>
      </vt:variant>
    </vt:vector>
  </HeadingPairs>
  <TitlesOfParts>
    <vt:vector size="5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Marconni Rodrigues de AlcGntara Santos</dc:creator>
  <dc:description/>
  <cp:lastModifiedBy>Gilson Soares Da Conceicao</cp:lastModifiedBy>
  <cp:revision>90</cp:revision>
  <cp:lastPrinted>2021-02-04T11:05:54Z</cp:lastPrinted>
  <dcterms:created xsi:type="dcterms:W3CDTF">2019-01-16T20:04:04Z</dcterms:created>
  <dcterms:modified xsi:type="dcterms:W3CDTF">2021-09-10T13:22:57Z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