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611" activeTab="8"/>
  </bookViews>
  <sheets>
    <sheet name="engdados" sheetId="1" r:id="rId1"/>
    <sheet name="ciendados" sheetId="2" r:id="rId2"/>
    <sheet name="engsoft" sheetId="3" r:id="rId3"/>
    <sheet name="desenvRPA" sheetId="4" r:id="rId4"/>
    <sheet name="he_engdados" sheetId="5" r:id="rId5"/>
    <sheet name="he_ciendados" sheetId="6" r:id="rId6"/>
    <sheet name="he_engsoft" sheetId="7" r:id="rId7"/>
    <sheet name="he_desenvRPA" sheetId="8" r:id="rId8"/>
    <sheet name="Total" sheetId="9" r:id="rId9"/>
  </sheets>
  <definedNames>
    <definedName name="_xlnm.Print_Titles" localSheetId="5">he_ciendados!$1:$1</definedName>
    <definedName name="_xlnm.Print_Titles" localSheetId="7">he_desenvRPA!$1:$1</definedName>
    <definedName name="_xlnm.Print_Titles" localSheetId="4">he_engdados!$1:$1</definedName>
    <definedName name="_xlnm.Print_Titles" localSheetId="6">he_engsoft!$1:$1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27" i="9" l="1"/>
  <c r="D27" i="9"/>
  <c r="C27" i="9" s="1"/>
  <c r="E26" i="9"/>
  <c r="D26" i="9"/>
  <c r="C26" i="9" s="1"/>
  <c r="E25" i="9"/>
  <c r="D25" i="9"/>
  <c r="C25" i="9" s="1"/>
  <c r="E17" i="9"/>
  <c r="B17" i="9"/>
  <c r="B27" i="9" s="1"/>
  <c r="E16" i="9"/>
  <c r="B16" i="9"/>
  <c r="B26" i="9" s="1"/>
  <c r="E15" i="9"/>
  <c r="B15" i="9"/>
  <c r="B25" i="9" s="1"/>
  <c r="E14" i="9"/>
  <c r="B14" i="9"/>
  <c r="B24" i="9" s="1"/>
  <c r="F9" i="9"/>
  <c r="D24" i="8"/>
  <c r="D26" i="8" s="1"/>
  <c r="E23" i="8"/>
  <c r="E24" i="8" s="1"/>
  <c r="D23" i="8"/>
  <c r="D7" i="8"/>
  <c r="C26" i="8" s="1"/>
  <c r="D6" i="8"/>
  <c r="C25" i="8" s="1"/>
  <c r="D25" i="8" s="1"/>
  <c r="C26" i="7"/>
  <c r="C25" i="7"/>
  <c r="E23" i="7"/>
  <c r="E24" i="7" s="1"/>
  <c r="D23" i="7"/>
  <c r="D24" i="7" s="1"/>
  <c r="D7" i="7"/>
  <c r="D6" i="7"/>
  <c r="E24" i="6"/>
  <c r="E23" i="6"/>
  <c r="D23" i="6"/>
  <c r="D24" i="6" s="1"/>
  <c r="D7" i="6"/>
  <c r="C26" i="6" s="1"/>
  <c r="D6" i="6"/>
  <c r="C25" i="6" s="1"/>
  <c r="C25" i="5"/>
  <c r="D24" i="5"/>
  <c r="E23" i="5"/>
  <c r="E24" i="5" s="1"/>
  <c r="D23" i="5"/>
  <c r="D7" i="5"/>
  <c r="C26" i="5" s="1"/>
  <c r="D6" i="5"/>
  <c r="C143" i="4"/>
  <c r="C136" i="4"/>
  <c r="D8" i="8" s="1"/>
  <c r="C27" i="8" s="1"/>
  <c r="D128" i="4"/>
  <c r="D153" i="4" s="1"/>
  <c r="C101" i="4"/>
  <c r="C100" i="4"/>
  <c r="C99" i="4"/>
  <c r="C98" i="4"/>
  <c r="C97" i="4"/>
  <c r="D87" i="4"/>
  <c r="C87" i="4"/>
  <c r="C85" i="4"/>
  <c r="C84" i="4"/>
  <c r="C82" i="4"/>
  <c r="D65" i="4"/>
  <c r="D64" i="4"/>
  <c r="D63" i="4"/>
  <c r="D67" i="4" s="1"/>
  <c r="D75" i="4" s="1"/>
  <c r="C57" i="4"/>
  <c r="C86" i="4" s="1"/>
  <c r="C43" i="4"/>
  <c r="D42" i="4"/>
  <c r="C42" i="4"/>
  <c r="C41" i="4"/>
  <c r="D33" i="4"/>
  <c r="E4" i="8" s="1"/>
  <c r="C136" i="3"/>
  <c r="D8" i="7" s="1"/>
  <c r="C27" i="7" s="1"/>
  <c r="D128" i="3"/>
  <c r="D153" i="3" s="1"/>
  <c r="C101" i="3"/>
  <c r="C100" i="3"/>
  <c r="C99" i="3"/>
  <c r="C98" i="3"/>
  <c r="C97" i="3"/>
  <c r="C87" i="3"/>
  <c r="C86" i="3"/>
  <c r="C85" i="3"/>
  <c r="C84" i="3"/>
  <c r="C82" i="3"/>
  <c r="D65" i="3"/>
  <c r="D64" i="3"/>
  <c r="D63" i="3"/>
  <c r="D67" i="3" s="1"/>
  <c r="D75" i="3" s="1"/>
  <c r="C57" i="3"/>
  <c r="D5" i="7" s="1"/>
  <c r="C42" i="3"/>
  <c r="C41" i="3"/>
  <c r="C43" i="3" s="1"/>
  <c r="D33" i="3"/>
  <c r="D41" i="3" s="1"/>
  <c r="C143" i="2"/>
  <c r="C136" i="2"/>
  <c r="D8" i="6" s="1"/>
  <c r="C27" i="6" s="1"/>
  <c r="D128" i="2"/>
  <c r="D153" i="2" s="1"/>
  <c r="C101" i="2"/>
  <c r="C100" i="2"/>
  <c r="C99" i="2"/>
  <c r="C98" i="2"/>
  <c r="C97" i="2"/>
  <c r="C87" i="2"/>
  <c r="C85" i="2"/>
  <c r="C84" i="2"/>
  <c r="C82" i="2"/>
  <c r="D65" i="2"/>
  <c r="D64" i="2"/>
  <c r="D63" i="2"/>
  <c r="D67" i="2" s="1"/>
  <c r="D75" i="2" s="1"/>
  <c r="C57" i="2"/>
  <c r="D5" i="6" s="1"/>
  <c r="C43" i="2"/>
  <c r="C42" i="2"/>
  <c r="C41" i="2"/>
  <c r="D33" i="2"/>
  <c r="D87" i="2" s="1"/>
  <c r="C136" i="1"/>
  <c r="D8" i="5" s="1"/>
  <c r="C27" i="5" s="1"/>
  <c r="D128" i="1"/>
  <c r="D153" i="1" s="1"/>
  <c r="C101" i="1"/>
  <c r="C100" i="1"/>
  <c r="C99" i="1"/>
  <c r="C98" i="1"/>
  <c r="C97" i="1"/>
  <c r="C87" i="1"/>
  <c r="C86" i="1"/>
  <c r="C85" i="1"/>
  <c r="C84" i="1"/>
  <c r="C82" i="1"/>
  <c r="D67" i="1"/>
  <c r="D75" i="1" s="1"/>
  <c r="D65" i="1"/>
  <c r="D64" i="1"/>
  <c r="D63" i="1"/>
  <c r="C57" i="1"/>
  <c r="D5" i="5" s="1"/>
  <c r="C43" i="1"/>
  <c r="C42" i="1"/>
  <c r="C41" i="1"/>
  <c r="D33" i="1"/>
  <c r="D41" i="1" s="1"/>
  <c r="D85" i="3" l="1"/>
  <c r="D86" i="3" s="1"/>
  <c r="D82" i="3"/>
  <c r="D83" i="3" s="1"/>
  <c r="D84" i="4"/>
  <c r="D84" i="2"/>
  <c r="D82" i="1"/>
  <c r="D83" i="1" s="1"/>
  <c r="E18" i="9"/>
  <c r="D25" i="7"/>
  <c r="D26" i="6"/>
  <c r="D27" i="6" s="1"/>
  <c r="D25" i="6"/>
  <c r="D28" i="6" s="1"/>
  <c r="E25" i="7"/>
  <c r="E27" i="8"/>
  <c r="E25" i="8"/>
  <c r="E28" i="8" s="1"/>
  <c r="E26" i="8"/>
  <c r="E26" i="5"/>
  <c r="E25" i="5"/>
  <c r="D27" i="8"/>
  <c r="D42" i="1"/>
  <c r="D43" i="1" s="1"/>
  <c r="D85" i="2"/>
  <c r="D86" i="2" s="1"/>
  <c r="D149" i="2"/>
  <c r="D42" i="3"/>
  <c r="D43" i="3" s="1"/>
  <c r="D85" i="4"/>
  <c r="D86" i="4" s="1"/>
  <c r="D149" i="4"/>
  <c r="E4" i="7"/>
  <c r="D5" i="8"/>
  <c r="E5" i="8" s="1"/>
  <c r="D28" i="8"/>
  <c r="D84" i="1"/>
  <c r="D87" i="1"/>
  <c r="D88" i="1" s="1"/>
  <c r="D151" i="1" s="1"/>
  <c r="C143" i="1"/>
  <c r="D41" i="2"/>
  <c r="D82" i="2"/>
  <c r="C86" i="2"/>
  <c r="D84" i="3"/>
  <c r="D88" i="3" s="1"/>
  <c r="D151" i="3" s="1"/>
  <c r="D87" i="3"/>
  <c r="C143" i="3"/>
  <c r="D41" i="4"/>
  <c r="D43" i="4" s="1"/>
  <c r="D49" i="4" s="1"/>
  <c r="D82" i="4"/>
  <c r="D25" i="5"/>
  <c r="D26" i="5" s="1"/>
  <c r="E4" i="6"/>
  <c r="E25" i="6"/>
  <c r="E26" i="6"/>
  <c r="E4" i="5"/>
  <c r="F25" i="9"/>
  <c r="F26" i="9"/>
  <c r="F27" i="9"/>
  <c r="D85" i="1"/>
  <c r="D86" i="1" s="1"/>
  <c r="D149" i="1"/>
  <c r="D42" i="2"/>
  <c r="D149" i="3"/>
  <c r="D50" i="4" l="1"/>
  <c r="D54" i="4"/>
  <c r="D55" i="4"/>
  <c r="D51" i="4"/>
  <c r="D56" i="4"/>
  <c r="E26" i="7"/>
  <c r="E6" i="8"/>
  <c r="E7" i="8" s="1"/>
  <c r="D73" i="3"/>
  <c r="D55" i="3"/>
  <c r="D49" i="3"/>
  <c r="D56" i="3"/>
  <c r="D50" i="3"/>
  <c r="D51" i="3"/>
  <c r="D52" i="3"/>
  <c r="D53" i="3"/>
  <c r="D54" i="3"/>
  <c r="E28" i="6"/>
  <c r="E29" i="6" s="1"/>
  <c r="D27" i="5"/>
  <c r="D28" i="5" s="1"/>
  <c r="D73" i="1"/>
  <c r="D56" i="1"/>
  <c r="D50" i="1"/>
  <c r="D54" i="1"/>
  <c r="D49" i="1"/>
  <c r="D53" i="1"/>
  <c r="D55" i="1"/>
  <c r="D51" i="1"/>
  <c r="D52" i="1"/>
  <c r="D27" i="7"/>
  <c r="E29" i="8"/>
  <c r="E27" i="6"/>
  <c r="E27" i="5"/>
  <c r="E28" i="5" s="1"/>
  <c r="D26" i="7"/>
  <c r="D83" i="4"/>
  <c r="D88" i="4" s="1"/>
  <c r="D151" i="4" s="1"/>
  <c r="D83" i="2"/>
  <c r="D88" i="2" s="1"/>
  <c r="D151" i="2" s="1"/>
  <c r="E5" i="7"/>
  <c r="E5" i="5"/>
  <c r="E5" i="6"/>
  <c r="D52" i="4"/>
  <c r="D73" i="4"/>
  <c r="D53" i="4"/>
  <c r="D43" i="2"/>
  <c r="D57" i="4" l="1"/>
  <c r="D74" i="4" s="1"/>
  <c r="D76" i="4" s="1"/>
  <c r="E6" i="7"/>
  <c r="E8" i="7" s="1"/>
  <c r="E7" i="7"/>
  <c r="E6" i="5"/>
  <c r="E7" i="5" s="1"/>
  <c r="E8" i="5" s="1"/>
  <c r="E9" i="5" s="1"/>
  <c r="E10" i="5" s="1"/>
  <c r="E27" i="7"/>
  <c r="E28" i="7" s="1"/>
  <c r="D28" i="7"/>
  <c r="E29" i="5"/>
  <c r="D57" i="1"/>
  <c r="D74" i="1" s="1"/>
  <c r="D76" i="1" s="1"/>
  <c r="E6" i="6"/>
  <c r="E8" i="8"/>
  <c r="E9" i="8" s="1"/>
  <c r="E10" i="8" s="1"/>
  <c r="D53" i="2"/>
  <c r="D73" i="2"/>
  <c r="D52" i="2"/>
  <c r="D49" i="2"/>
  <c r="D50" i="2"/>
  <c r="D54" i="2"/>
  <c r="D55" i="2"/>
  <c r="D56" i="2"/>
  <c r="D51" i="2"/>
  <c r="D57" i="3"/>
  <c r="D74" i="3" s="1"/>
  <c r="D76" i="3" s="1"/>
  <c r="E9" i="7" l="1"/>
  <c r="E10" i="7" s="1"/>
  <c r="E11" i="5"/>
  <c r="E14" i="5" s="1"/>
  <c r="E12" i="5"/>
  <c r="E16" i="5" s="1"/>
  <c r="E29" i="7"/>
  <c r="D100" i="3"/>
  <c r="D150" i="3"/>
  <c r="D97" i="3"/>
  <c r="D99" i="3"/>
  <c r="D98" i="3"/>
  <c r="D101" i="3"/>
  <c r="D109" i="3"/>
  <c r="D110" i="3" s="1"/>
  <c r="D117" i="3" s="1"/>
  <c r="D102" i="3"/>
  <c r="E12" i="8"/>
  <c r="E16" i="8" s="1"/>
  <c r="E11" i="8"/>
  <c r="E11" i="7"/>
  <c r="E12" i="7"/>
  <c r="E16" i="7" s="1"/>
  <c r="D102" i="4"/>
  <c r="D150" i="4"/>
  <c r="D101" i="4"/>
  <c r="D109" i="4"/>
  <c r="D110" i="4" s="1"/>
  <c r="D117" i="4" s="1"/>
  <c r="D99" i="4"/>
  <c r="D97" i="4"/>
  <c r="D100" i="4"/>
  <c r="D98" i="4"/>
  <c r="D97" i="1"/>
  <c r="D150" i="1"/>
  <c r="D100" i="1"/>
  <c r="D101" i="1"/>
  <c r="D109" i="1"/>
  <c r="D110" i="1" s="1"/>
  <c r="D117" i="1" s="1"/>
  <c r="D99" i="1"/>
  <c r="D102" i="1"/>
  <c r="D98" i="1"/>
  <c r="D57" i="2"/>
  <c r="D74" i="2" s="1"/>
  <c r="D76" i="2"/>
  <c r="E7" i="6"/>
  <c r="E15" i="5" l="1"/>
  <c r="E17" i="5" s="1"/>
  <c r="E19" i="5" s="1"/>
  <c r="E30" i="5" s="1"/>
  <c r="G24" i="9" s="1"/>
  <c r="D103" i="1"/>
  <c r="D116" i="1" s="1"/>
  <c r="D118" i="1" s="1"/>
  <c r="D152" i="1" s="1"/>
  <c r="D154" i="1" s="1"/>
  <c r="E15" i="7"/>
  <c r="E14" i="7"/>
  <c r="E17" i="7" s="1"/>
  <c r="E19" i="7" s="1"/>
  <c r="E30" i="7" s="1"/>
  <c r="G26" i="9" s="1"/>
  <c r="E15" i="8"/>
  <c r="E14" i="8"/>
  <c r="E17" i="8" s="1"/>
  <c r="E19" i="8" s="1"/>
  <c r="E30" i="8" s="1"/>
  <c r="G27" i="9" s="1"/>
  <c r="D103" i="4"/>
  <c r="D116" i="4" s="1"/>
  <c r="D118" i="4" s="1"/>
  <c r="D152" i="4" s="1"/>
  <c r="D154" i="4" s="1"/>
  <c r="D103" i="3"/>
  <c r="D116" i="3" s="1"/>
  <c r="D118" i="3" s="1"/>
  <c r="D152" i="3" s="1"/>
  <c r="D102" i="2"/>
  <c r="D150" i="2"/>
  <c r="D99" i="2"/>
  <c r="D100" i="2"/>
  <c r="D98" i="2"/>
  <c r="D101" i="2"/>
  <c r="D109" i="2"/>
  <c r="D110" i="2" s="1"/>
  <c r="D117" i="2" s="1"/>
  <c r="D97" i="2"/>
  <c r="D154" i="3"/>
  <c r="E8" i="6"/>
  <c r="E9" i="6" s="1"/>
  <c r="E10" i="6" s="1"/>
  <c r="E12" i="6" l="1"/>
  <c r="E16" i="6" s="1"/>
  <c r="E11" i="6"/>
  <c r="D134" i="4"/>
  <c r="D135" i="4" s="1"/>
  <c r="D103" i="2"/>
  <c r="D116" i="2" s="1"/>
  <c r="D118" i="2" s="1"/>
  <c r="D152" i="2" s="1"/>
  <c r="D154" i="2" s="1"/>
  <c r="D134" i="1"/>
  <c r="D135" i="1"/>
  <c r="D136" i="1" s="1"/>
  <c r="D134" i="3"/>
  <c r="D135" i="3"/>
  <c r="D136" i="3"/>
  <c r="D136" i="4" l="1"/>
  <c r="D143" i="4" s="1"/>
  <c r="D155" i="4" s="1"/>
  <c r="D156" i="4" s="1"/>
  <c r="D134" i="2"/>
  <c r="D135" i="2" s="1"/>
  <c r="D143" i="1"/>
  <c r="D155" i="1" s="1"/>
  <c r="D156" i="1" s="1"/>
  <c r="D143" i="3"/>
  <c r="D155" i="3" s="1"/>
  <c r="D156" i="3" s="1"/>
  <c r="E15" i="6"/>
  <c r="E14" i="6"/>
  <c r="E17" i="6" s="1"/>
  <c r="E19" i="6" s="1"/>
  <c r="E30" i="6" s="1"/>
  <c r="G25" i="9" s="1"/>
  <c r="G28" i="9" s="1"/>
  <c r="D138" i="4" l="1"/>
  <c r="D142" i="4"/>
  <c r="D141" i="4"/>
  <c r="D17" i="9"/>
  <c r="D140" i="4"/>
  <c r="D139" i="4"/>
  <c r="D137" i="4"/>
  <c r="D136" i="2"/>
  <c r="D143" i="2" s="1"/>
  <c r="D155" i="2" s="1"/>
  <c r="D156" i="2" s="1"/>
  <c r="D141" i="3"/>
  <c r="D140" i="3"/>
  <c r="D139" i="3"/>
  <c r="D138" i="3"/>
  <c r="D16" i="9"/>
  <c r="D137" i="3"/>
  <c r="D142" i="3"/>
  <c r="D141" i="1"/>
  <c r="D140" i="1"/>
  <c r="D139" i="1"/>
  <c r="D138" i="1"/>
  <c r="D14" i="9"/>
  <c r="D137" i="1"/>
  <c r="D142" i="1"/>
  <c r="D138" i="2" l="1"/>
  <c r="D137" i="2"/>
  <c r="D142" i="2"/>
  <c r="D141" i="2"/>
  <c r="D15" i="9"/>
  <c r="D140" i="2"/>
  <c r="D139" i="2"/>
  <c r="F17" i="9"/>
  <c r="G17" i="9" s="1"/>
  <c r="C17" i="9"/>
  <c r="F16" i="9"/>
  <c r="G16" i="9" s="1"/>
  <c r="C16" i="9"/>
  <c r="F14" i="9"/>
  <c r="G14" i="9" s="1"/>
  <c r="C14" i="9"/>
  <c r="F15" i="9" l="1"/>
  <c r="G15" i="9" s="1"/>
  <c r="C15" i="9"/>
  <c r="F18" i="9" l="1"/>
  <c r="G18" i="9"/>
  <c r="G30" i="9" s="1"/>
</calcChain>
</file>

<file path=xl/sharedStrings.xml><?xml version="1.0" encoding="utf-8"?>
<sst xmlns="http://schemas.openxmlformats.org/spreadsheetml/2006/main" count="975" uniqueCount="165">
  <si>
    <t>PLANILHA DE CUSTOS E FORMAÇÃO DE PREÇOS</t>
  </si>
  <si>
    <t>Discriminação dos Serviços</t>
  </si>
  <si>
    <t>A</t>
  </si>
  <si>
    <t>Data de apresentação da proposta</t>
  </si>
  <si>
    <t>B</t>
  </si>
  <si>
    <t>Município</t>
  </si>
  <si>
    <t>C</t>
  </si>
  <si>
    <t>Ano do Acordo, Convenção ou Dissídio Coletivo</t>
  </si>
  <si>
    <t>D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</si>
  <si>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</si>
  <si>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</si>
  <si>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</si>
  <si>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</si>
  <si>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</si>
  <si>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Engenharia de dados</t>
  </si>
  <si>
    <t>posto de serviço</t>
  </si>
  <si>
    <t>Dados complementares para composição dos custos referente à mão-de-obra</t>
  </si>
  <si>
    <t>Tipo de serviço (mesmo serviço com características distintas)</t>
  </si>
  <si>
    <t>Engenheiro de Dados</t>
  </si>
  <si>
    <t>Classificação Brasileira de Ocupações (CBO)</t>
  </si>
  <si>
    <t>2122-15</t>
  </si>
  <si>
    <t>Salário Normativo da Categoria Profissional</t>
  </si>
  <si>
    <t>Categoria profissional (vinculada à execução contratual)</t>
  </si>
  <si>
    <t>SINEPD x SINDADOS</t>
  </si>
  <si>
    <t>Data base da categoria (dia/mês/ano)</t>
  </si>
  <si>
    <t>Módulo 1 - Composição da Remuneração</t>
  </si>
  <si>
    <t>Composição da Remuneração</t>
  </si>
  <si>
    <t>Valor (R$)</t>
  </si>
  <si>
    <t>Salário-Base</t>
  </si>
  <si>
    <t>Adicional de Periculosidade</t>
  </si>
  <si>
    <t>Adicional de Insalubridade</t>
  </si>
  <si>
    <t>Adicional Noturno</t>
  </si>
  <si>
    <t>E</t>
  </si>
  <si>
    <t>Adicional de Hora Noturna Reduzida</t>
  </si>
  <si>
    <t>G</t>
  </si>
  <si>
    <t>Outros (especificar)</t>
  </si>
  <si>
    <t>Total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</si>
  <si>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</si>
  <si>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</si>
  <si>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</si>
  <si>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</si>
  <si>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13º (décimo terceiro) Salário</t>
  </si>
  <si>
    <t>Férias e Adicional de Férias</t>
  </si>
  <si>
    <t>Submódulo 2.2 - Encargos Previdenciários (GPS), Fundo de Garantia por Tempo de Serviço (FGTS) e outras contribuições.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</si>
  <si>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</si>
  <si>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</si>
  <si>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</si>
  <si>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</si>
  <si>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</si>
  <si>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</si>
  <si>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</si>
  <si>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- SENAC</t>
  </si>
  <si>
    <t>F</t>
  </si>
  <si>
    <t>SEBRAE</t>
  </si>
  <si>
    <t>INCRA</t>
  </si>
  <si>
    <t>H</t>
  </si>
  <si>
    <t>FGTS</t>
  </si>
  <si>
    <t xml:space="preserve">Total 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</si>
  <si>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</si>
  <si>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</si>
  <si>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</si>
  <si>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</si>
  <si>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</si>
  <si>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Assistência Médica</t>
  </si>
  <si>
    <t>Quadro-Resumo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</si>
  <si>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</si>
  <si>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</si>
  <si>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</si>
  <si>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</si>
  <si>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</si>
  <si>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</si>
  <si>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</si>
  <si>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Incidência de GPS, FGTS e outras contribuições sobre o Aviso Prévio Trabalhado</t>
  </si>
  <si>
    <t>Multa do FGTS e contribuição social sobre o Aviso Prévio Trabalhado</t>
  </si>
  <si>
    <t>Módulo 4 - Custo de Reposição do Profissional Ausente</t>
  </si>
  <si>
    <t>Submódulo 4.1 - Substituto nas Ausências Legais</t>
  </si>
  <si>
    <t>4.1</t>
  </si>
  <si>
    <t>Substituto nas 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</si>
  <si>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</si>
  <si>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</si>
  <si>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</si>
  <si>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</si>
  <si>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</si>
  <si>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Outras ausências (especificar)</t>
  </si>
  <si>
    <t>Submódulo 4.2 - Substituto na Intrajornada</t>
  </si>
  <si>
    <t>4.2</t>
  </si>
  <si>
    <t>Substituto na Intrajornada</t>
  </si>
  <si>
    <t>Substituto na cobertura de Intervalo para repouso e alimentação</t>
  </si>
  <si>
    <t>Quadro-Resumo do Módulo 4 - Custo de Reposição do Profissional Ausente</t>
  </si>
  <si>
    <t>Custo de Reposição do Profissional Ausente</t>
  </si>
  <si>
    <t>Módulo 5 - Insumos Diversos</t>
  </si>
  <si>
    <t>Insumos Diversos</t>
  </si>
  <si>
    <t>Uniformes</t>
  </si>
  <si>
    <t>Materiais</t>
  </si>
  <si>
    <t>Equipamentos</t>
  </si>
  <si>
    <t>Módulo 6 - Custos Indiretos, Tributos e Lucro</t>
  </si>
  <si>
    <t>Custos Indiretos, Tributos e Lucro</t>
  </si>
  <si>
    <t>Custos Indiretos</t>
  </si>
  <si>
    <t>Lucro</t>
  </si>
  <si>
    <t>Tributos</t>
  </si>
  <si>
    <t>C.1. Tributos Federais (especificar)</t>
  </si>
  <si>
    <t>C.1.A. PIS</t>
  </si>
  <si>
    <t>C.1.B. COFINS</t>
  </si>
  <si>
    <t>C.2. Tributos Estaduais (especificar)</t>
  </si>
  <si>
    <t>C.3. Tributos Municipais (especificar)</t>
  </si>
  <si>
    <t>C.3.A. ISS</t>
  </si>
  <si>
    <t>2. QUADRO-RESUMO DO CUSTO POR EMPREGADO</t>
  </si>
  <si>
    <t>Mão de obra vinculada à execução contratual (valor por empregado)</t>
  </si>
  <si>
    <t>Subtotal (A + B +C+ D + E)</t>
  </si>
  <si>
    <t>Módulo 6 – Custos Indiretos, Tributos e Lucro</t>
  </si>
  <si>
    <t xml:space="preserve">Valor Total por Empregado </t>
  </si>
  <si>
    <t>Ciência de dados</t>
  </si>
  <si>
    <t>Cientista de Dados</t>
  </si>
  <si>
    <t>2031-05</t>
  </si>
  <si>
    <t>Engenharia de software</t>
  </si>
  <si>
    <t>Engenheiro de Software</t>
  </si>
  <si>
    <t>2122-05</t>
  </si>
  <si>
    <t>Desenvolvimento RPA</t>
  </si>
  <si>
    <t>Desenvolvedor RPA</t>
  </si>
  <si>
    <t>2124-05</t>
  </si>
  <si>
    <t>Remuneração</t>
  </si>
  <si>
    <t>Encargos</t>
  </si>
  <si>
    <t>Subtotal</t>
  </si>
  <si>
    <t>Valor da hora normal</t>
  </si>
  <si>
    <t>Valor da hora extra</t>
  </si>
  <si>
    <t>Qtde H.E.</t>
  </si>
  <si>
    <t>Valor</t>
  </si>
  <si>
    <t>I</t>
  </si>
  <si>
    <t>Segunda a Sexta</t>
  </si>
  <si>
    <t>J</t>
  </si>
  <si>
    <t>Sábados</t>
  </si>
  <si>
    <t>K</t>
  </si>
  <si>
    <t>Domingos e Feriados</t>
  </si>
  <si>
    <t>Total com horas extras - por posto</t>
  </si>
  <si>
    <t>Quantidade de profissionais</t>
  </si>
  <si>
    <t>Total com horas extras</t>
  </si>
  <si>
    <t>Transporte e alimentação</t>
  </si>
  <si>
    <t>Dom./Fer.</t>
  </si>
  <si>
    <t>Qtde dias com horas extras</t>
  </si>
  <si>
    <t>L</t>
  </si>
  <si>
    <t>Vale transporte</t>
  </si>
  <si>
    <t>M</t>
  </si>
  <si>
    <t>Vale alimentação</t>
  </si>
  <si>
    <t>Subtotal1</t>
  </si>
  <si>
    <t>N</t>
  </si>
  <si>
    <t>O</t>
  </si>
  <si>
    <t>P</t>
  </si>
  <si>
    <t>Subtotal2</t>
  </si>
  <si>
    <t>Total transporte e alimentação com horas extras</t>
  </si>
  <si>
    <t>Custo Total com Hora Extra</t>
  </si>
  <si>
    <t>TRIBUNAL REGIONAL ELEITORAL DA BAHIA</t>
  </si>
  <si>
    <t>Seção de Análise e Aquisições</t>
  </si>
  <si>
    <t>QUADRO RESUMO - VALORES ESTIMADOS</t>
  </si>
  <si>
    <t>Valor dos postos regulares (A)</t>
  </si>
  <si>
    <t>item</t>
  </si>
  <si>
    <t>profissional</t>
  </si>
  <si>
    <r>
      <rPr>
        <b/>
        <sz val="11"/>
        <color rgb="FF000000"/>
        <rFont val="Times New Roman"/>
        <family val="1"/>
        <charset val="1"/>
      </rPr>
      <t>valor da hora</t>
    </r>
    <r>
      <rPr>
        <b/>
        <vertAlign val="superscript"/>
        <sz val="11"/>
        <color rgb="FFC9211E"/>
        <rFont val="Times New Roman"/>
        <family val="1"/>
        <charset val="1"/>
      </rPr>
      <t>1</t>
    </r>
  </si>
  <si>
    <t>valor mensal do posto</t>
  </si>
  <si>
    <t>quantidade de postos</t>
  </si>
  <si>
    <t>valor mensal</t>
  </si>
  <si>
    <r>
      <rPr>
        <b/>
        <vertAlign val="superscript"/>
        <sz val="11"/>
        <color rgb="FFC9211E"/>
        <rFont val="Times New Roman"/>
        <family val="1"/>
        <charset val="1"/>
      </rPr>
      <t>1</t>
    </r>
    <r>
      <rPr>
        <sz val="10"/>
        <color rgb="FF000000"/>
        <rFont val="Times New Roman"/>
        <family val="1"/>
        <charset val="1"/>
      </rPr>
      <t>utilizado divisor 200</t>
    </r>
  </si>
  <si>
    <t>Valor do serviço extraordinário (B)</t>
  </si>
  <si>
    <t>Total estimado para a contratação (A+B)</t>
  </si>
  <si>
    <t>HORAS EXTRAS – tópico 4.1.2.3.2 do TR</t>
  </si>
  <si>
    <t>valor total 
(24 meses)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</si>
</sst>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\-??_);_(@_)"/>
    <numFmt numFmtId="165" formatCode="_-* #,##0.00_-;\-* #,##0.00_-;_-* \-??_-;_-@_-"/>
    <numFmt numFmtId="166" formatCode="dd/mm/yy"/>
    <numFmt numFmtId="167" formatCode="#,##0.0"/>
  </numFmts>
  <fonts count="13" x14ac:knownFonts="1"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0"/>
      <color rgb="FF000000"/>
      <name val="Times New Roman"/>
      <family val="1"/>
      <charset val="1"/>
    </font>
    <font>
      <b/>
      <sz val="12"/>
      <color rgb="FFFFFFFF"/>
      <name val="Times New Roman"/>
      <family val="1"/>
      <charset val="1"/>
    </font>
    <font>
      <b/>
      <sz val="10"/>
      <color rgb="FF000000"/>
      <name val="Times New Roman"/>
      <family val="1"/>
      <charset val="1"/>
    </font>
    <font>
      <b/>
      <i/>
      <sz val="10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/>
      <sz val="13"/>
      <color rgb="FFFFFFFF"/>
      <name val="Times New Roman"/>
      <family val="1"/>
      <charset val="1"/>
    </font>
    <font>
      <b/>
      <sz val="11"/>
      <color rgb="FF000000"/>
      <name val="Times New Roman"/>
      <family val="1"/>
      <charset val="1"/>
    </font>
    <font>
      <b/>
      <sz val="11"/>
      <color rgb="FFFFFFFF"/>
      <name val="Times New Roman"/>
      <family val="1"/>
      <charset val="1"/>
    </font>
    <font>
      <b/>
      <sz val="11"/>
      <name val="Times New Roman"/>
      <family val="1"/>
      <charset val="1"/>
    </font>
    <font>
      <b/>
      <vertAlign val="superscript"/>
      <sz val="11"/>
      <color rgb="FFC9211E"/>
      <name val="Times New Roman"/>
      <family val="1"/>
      <charset val="1"/>
    </font>
    <font>
      <sz val="11"/>
      <color rgb="FF000000"/>
      <name val="Calibr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595959"/>
        <bgColor rgb="FF7F7F7F"/>
      </patternFill>
    </fill>
    <fill>
      <patternFill patternType="solid">
        <fgColor rgb="FF7F7F7F"/>
        <bgColor rgb="FF969696"/>
      </patternFill>
    </fill>
    <fill>
      <patternFill patternType="solid">
        <fgColor rgb="FFBFBFBF"/>
        <bgColor rgb="FFE6B9B8"/>
      </patternFill>
    </fill>
    <fill>
      <patternFill patternType="solid">
        <fgColor rgb="FFE6B9B8"/>
        <bgColor rgb="FFBFBFBF"/>
      </patternFill>
    </fill>
    <fill>
      <patternFill patternType="solid">
        <fgColor rgb="FFD9D9D9"/>
        <bgColor rgb="FFBFBFBF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2">
    <xf numFmtId="0" fontId="0" fillId="0" borderId="0"/>
    <xf numFmtId="165" fontId="12" fillId="0" borderId="0" applyBorder="0" applyProtection="0"/>
    <xf numFmtId="9" fontId="12" fillId="0" borderId="0" applyBorder="0" applyProtection="0"/>
    <xf numFmtId="0" fontId="12" fillId="0" borderId="0"/>
    <xf numFmtId="164" fontId="1" fillId="0" borderId="0" applyBorder="0" applyProtection="0"/>
    <xf numFmtId="165" fontId="12" fillId="0" borderId="0" applyBorder="0" applyProtection="0"/>
    <xf numFmtId="165" fontId="12" fillId="0" borderId="0" applyBorder="0" applyProtection="0"/>
    <xf numFmtId="165" fontId="12" fillId="0" borderId="0" applyBorder="0" applyProtection="0"/>
    <xf numFmtId="165" fontId="12" fillId="0" borderId="0" applyBorder="0" applyProtection="0"/>
    <xf numFmtId="165" fontId="12" fillId="0" borderId="0" applyBorder="0" applyProtection="0"/>
    <xf numFmtId="165" fontId="12" fillId="0" borderId="0" applyBorder="0" applyProtection="0"/>
    <xf numFmtId="165" fontId="12" fillId="0" borderId="0" applyBorder="0" applyProtection="0"/>
  </cellStyleXfs>
  <cellXfs count="8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 applyAlignment="1"/>
    <xf numFmtId="0" fontId="2" fillId="0" borderId="1" xfId="0" applyFont="1" applyBorder="1" applyAlignme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5" fontId="2" fillId="0" borderId="1" xfId="1" applyFont="1" applyBorder="1" applyAlignment="1" applyProtection="1">
      <alignment horizontal="center" vertical="center" wrapText="1"/>
    </xf>
    <xf numFmtId="165" fontId="4" fillId="0" borderId="1" xfId="1" applyFont="1" applyBorder="1" applyAlignment="1" applyProtection="1">
      <alignment horizontal="center" vertical="center" wrapText="1"/>
    </xf>
    <xf numFmtId="0" fontId="4" fillId="0" borderId="0" xfId="0" applyFont="1" applyAlignment="1">
      <alignment vertical="center"/>
    </xf>
    <xf numFmtId="10" fontId="2" fillId="0" borderId="1" xfId="2" applyNumberFormat="1" applyFont="1" applyBorder="1" applyAlignment="1" applyProtection="1">
      <alignment horizontal="center" vertical="center" wrapText="1"/>
    </xf>
    <xf numFmtId="10" fontId="4" fillId="0" borderId="3" xfId="0" applyNumberFormat="1" applyFont="1" applyBorder="1" applyAlignment="1">
      <alignment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0" fontId="2" fillId="5" borderId="1" xfId="2" applyNumberFormat="1" applyFont="1" applyFill="1" applyBorder="1" applyAlignment="1" applyProtection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0" fontId="2" fillId="0" borderId="0" xfId="2" applyNumberFormat="1" applyFont="1" applyBorder="1" applyAlignment="1" applyProtection="1"/>
    <xf numFmtId="165" fontId="2" fillId="0" borderId="0" xfId="0" applyNumberFormat="1" applyFont="1"/>
    <xf numFmtId="0" fontId="2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10" fontId="5" fillId="0" borderId="3" xfId="2" applyNumberFormat="1" applyFont="1" applyBorder="1" applyAlignment="1" applyProtection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165" fontId="4" fillId="0" borderId="1" xfId="0" applyNumberFormat="1" applyFont="1" applyBorder="1" applyAlignment="1">
      <alignment vertical="center" wrapText="1"/>
    </xf>
    <xf numFmtId="165" fontId="2" fillId="0" borderId="1" xfId="1" applyFont="1" applyBorder="1" applyAlignment="1" applyProtection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/>
    <xf numFmtId="165" fontId="6" fillId="0" borderId="1" xfId="1" applyFont="1" applyBorder="1" applyAlignment="1" applyProtection="1"/>
    <xf numFmtId="10" fontId="6" fillId="0" borderId="1" xfId="0" applyNumberFormat="1" applyFont="1" applyBorder="1"/>
    <xf numFmtId="165" fontId="8" fillId="0" borderId="1" xfId="0" applyNumberFormat="1" applyFont="1" applyBorder="1"/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8" fillId="0" borderId="0" xfId="0" applyFont="1" applyBorder="1" applyAlignment="1">
      <alignment horizontal="center" vertical="center"/>
    </xf>
    <xf numFmtId="165" fontId="8" fillId="0" borderId="0" xfId="1" applyFont="1" applyBorder="1" applyAlignment="1" applyProtection="1">
      <alignment vertical="center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" fontId="6" fillId="0" borderId="1" xfId="0" applyNumberFormat="1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right" vertical="center"/>
    </xf>
    <xf numFmtId="167" fontId="6" fillId="0" borderId="1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165" fontId="6" fillId="0" borderId="1" xfId="1" applyFont="1" applyBorder="1" applyAlignment="1" applyProtection="1">
      <alignment vertical="center"/>
    </xf>
    <xf numFmtId="167" fontId="8" fillId="0" borderId="1" xfId="0" applyNumberFormat="1" applyFont="1" applyBorder="1" applyAlignment="1">
      <alignment vertical="center"/>
    </xf>
    <xf numFmtId="4" fontId="8" fillId="0" borderId="1" xfId="0" applyNumberFormat="1" applyFont="1" applyBorder="1" applyAlignment="1">
      <alignment vertical="center"/>
    </xf>
    <xf numFmtId="0" fontId="11" fillId="0" borderId="0" xfId="0" applyFont="1" applyAlignment="1">
      <alignment vertical="center"/>
    </xf>
    <xf numFmtId="0" fontId="3" fillId="2" borderId="0" xfId="0" applyFont="1" applyFill="1" applyBorder="1" applyAlignment="1">
      <alignment horizontal="center"/>
    </xf>
    <xf numFmtId="0" fontId="4" fillId="3" borderId="0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166" fontId="2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4" fillId="4" borderId="0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/>
    </xf>
    <xf numFmtId="0" fontId="6" fillId="0" borderId="1" xfId="0" applyFont="1" applyBorder="1"/>
    <xf numFmtId="0" fontId="6" fillId="0" borderId="1" xfId="0" applyFont="1" applyBorder="1" applyAlignment="1">
      <alignment horizontal="right"/>
    </xf>
    <xf numFmtId="0" fontId="6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6" fillId="6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right" vertical="center"/>
    </xf>
    <xf numFmtId="0" fontId="9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8" fillId="6" borderId="0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</cellXfs>
  <cellStyles count="12">
    <cellStyle name="Normal" xfId="0" builtinId="0"/>
    <cellStyle name="Normal 2" xfId="3"/>
    <cellStyle name="Porcentagem" xfId="2" builtinId="5"/>
    <cellStyle name="Vírgula" xfId="1" builtinId="3"/>
    <cellStyle name="Vírgula 2" xfId="4"/>
    <cellStyle name="Vírgula 3" xfId="5"/>
    <cellStyle name="Vírgula 3 2" xfId="6"/>
    <cellStyle name="Vírgula 4" xfId="7"/>
    <cellStyle name="Vírgula 4 2" xfId="8"/>
    <cellStyle name="Vírgula 5" xfId="9"/>
    <cellStyle name="Vírgula 5 2" xfId="10"/>
    <cellStyle name="Vírgula 6" xfId="1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7F7F7F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E6B9B8"/>
      <rgbColor rgb="FF3366FF"/>
      <rgbColor rgb="FF33CCCC"/>
      <rgbColor rgb="FF99CC00"/>
      <rgbColor rgb="FFFFCC00"/>
      <rgbColor rgb="FFFF9900"/>
      <rgbColor rgb="FFFF6600"/>
      <rgbColor rgb="FF59595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3033000</xdr:colOff>
      <xdr:row>0</xdr:row>
      <xdr:rowOff>0</xdr:rowOff>
    </xdr:from>
    <xdr:to>
      <xdr:col>2</xdr:col>
      <xdr:colOff>682920</xdr:colOff>
      <xdr:row>4</xdr:row>
      <xdr:rowOff>67680</xdr:rowOff>
    </xdr:to>
    <xdr:pic>
      <xdr:nvPicPr>
        <xdr:cNvPr id="2" name="Figura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960000" y="0"/>
          <a:ext cx="764640" cy="76860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56"/>
  <sheetViews>
    <sheetView view="pageBreakPreview" topLeftCell="A19" zoomScaleNormal="115" workbookViewId="0">
      <selection activeCell="D27" sqref="D27"/>
    </sheetView>
  </sheetViews>
  <sheetFormatPr defaultColWidth="9.140625" defaultRowHeight="15" x14ac:dyDescent="0.25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024" width="9.140625" style="1"/>
  </cols>
  <sheetData>
    <row r="1" spans="1:4" ht="15.75" x14ac:dyDescent="0.25">
      <c r="A1" s="53" t="s">
        <v>0</v>
      </c>
      <c r="B1" s="53"/>
      <c r="C1" s="53"/>
      <c r="D1" s="53"/>
    </row>
    <row r="2" spans="1:4" ht="15.75" x14ac:dyDescent="0.25">
      <c r="A2" s="2"/>
      <c r="B2" s="2"/>
      <c r="C2" s="2"/>
      <c r="D2" s="2"/>
    </row>
    <row r="3" spans="1:4" x14ac:dyDescent="0.25">
      <c r="A3" s="54" t="s">
        <v>1</v>
      </c>
      <c r="B3" s="54"/>
      <c r="C3" s="54"/>
      <c r="D3" s="54"/>
    </row>
    <row r="4" spans="1:4" x14ac:dyDescent="0.25">
      <c r="A4" s="3"/>
      <c r="B4" s="3"/>
      <c r="C4" s="3"/>
      <c r="D4" s="3"/>
    </row>
    <row r="5" spans="1:4" x14ac:dyDescent="0.25">
      <c r="A5" s="4" t="s">
        <v>2</v>
      </c>
      <c r="B5" s="5" t="s">
        <v>3</v>
      </c>
      <c r="C5" s="6"/>
      <c r="D5" s="7"/>
    </row>
    <row r="6" spans="1:4" x14ac:dyDescent="0.25">
      <c r="A6" s="4" t="s">
        <v>4</v>
      </c>
      <c r="B6" s="5" t="s">
        <v>5</v>
      </c>
      <c r="C6" s="6"/>
      <c r="D6" s="7"/>
    </row>
    <row r="7" spans="1:4" x14ac:dyDescent="0.25">
      <c r="A7" s="4" t="s">
        <v>6</v>
      </c>
      <c r="B7" s="5" t="s">
        <v>7</v>
      </c>
      <c r="C7" s="6"/>
      <c r="D7" s="7"/>
    </row>
    <row r="8" spans="1:4" x14ac:dyDescent="0.25">
      <c r="A8" s="4" t="s">
        <v>8</v>
      </c>
      <c r="B8" s="5" t="s">
        <v>9</v>
      </c>
      <c r="C8" s="6"/>
      <c r="D8" s="7"/>
    </row>
    <row r="10" spans="1:4" x14ac:dyDescent="0.25">
      <c r="A10" s="54" t="s">
        <v>10</v>
      </c>
      <c r="B10" s="54"/>
      <c r="C10" s="54"/>
      <c r="D10" s="54"/>
    </row>
    <row r="11" spans="1:4" x14ac:dyDescent="0.25">
      <c r="A11" s="3"/>
      <c r="B11" s="3"/>
      <c r="C11" s="3"/>
      <c r="D11" s="3"/>
    </row>
    <row r="12" spans="1:4" ht="38.25" customHeight="1" x14ac:dyDescent="0.25">
      <c r="A12" s="55" t="s">
        <v>11</v>
      </c>
      <c r="B12" s="55"/>
      <c r="C12" s="8" t="s">
        <v>12</v>
      </c>
      <c r="D12" s="9" t="s">
        <v>13</v>
      </c>
    </row>
    <row r="13" spans="1:4" x14ac:dyDescent="0.25">
      <c r="A13" s="56" t="s">
        <v>14</v>
      </c>
      <c r="B13" s="56"/>
      <c r="C13" s="7" t="s">
        <v>15</v>
      </c>
      <c r="D13" s="7">
        <v>1</v>
      </c>
    </row>
    <row r="15" spans="1:4" x14ac:dyDescent="0.25">
      <c r="A15" s="54" t="s">
        <v>16</v>
      </c>
      <c r="B15" s="54"/>
      <c r="C15" s="54"/>
      <c r="D15" s="54"/>
    </row>
    <row r="16" spans="1:4" x14ac:dyDescent="0.25">
      <c r="A16" s="3"/>
      <c r="B16" s="3"/>
      <c r="C16" s="3"/>
      <c r="D16" s="3"/>
    </row>
    <row r="17" spans="1:4" x14ac:dyDescent="0.25">
      <c r="A17" s="4">
        <v>1</v>
      </c>
      <c r="B17" s="4" t="s">
        <v>17</v>
      </c>
      <c r="C17" s="56" t="s">
        <v>18</v>
      </c>
      <c r="D17" s="56"/>
    </row>
    <row r="18" spans="1:4" x14ac:dyDescent="0.25">
      <c r="A18" s="4">
        <v>2</v>
      </c>
      <c r="B18" s="4" t="s">
        <v>19</v>
      </c>
      <c r="C18" s="56" t="s">
        <v>20</v>
      </c>
      <c r="D18" s="56"/>
    </row>
    <row r="19" spans="1:4" x14ac:dyDescent="0.25">
      <c r="A19" s="4">
        <v>3</v>
      </c>
      <c r="B19" s="4" t="s">
        <v>21</v>
      </c>
      <c r="C19" s="57">
        <v>1100</v>
      </c>
      <c r="D19" s="57"/>
    </row>
    <row r="20" spans="1:4" x14ac:dyDescent="0.25">
      <c r="A20" s="4">
        <v>4</v>
      </c>
      <c r="B20" s="4" t="s">
        <v>22</v>
      </c>
      <c r="C20" s="56" t="s">
        <v>23</v>
      </c>
      <c r="D20" s="56"/>
    </row>
    <row r="21" spans="1:4" x14ac:dyDescent="0.25">
      <c r="A21" s="4">
        <v>5</v>
      </c>
      <c r="B21" s="4" t="s">
        <v>24</v>
      </c>
      <c r="C21" s="58">
        <v>44317</v>
      </c>
      <c r="D21" s="58"/>
    </row>
    <row r="23" spans="1:4" x14ac:dyDescent="0.25">
      <c r="A23" s="54" t="s">
        <v>25</v>
      </c>
      <c r="B23" s="54"/>
      <c r="C23" s="54"/>
      <c r="D23" s="54"/>
    </row>
    <row r="25" spans="1:4" ht="12.75" customHeight="1" x14ac:dyDescent="0.25">
      <c r="A25" s="10">
        <v>1</v>
      </c>
      <c r="B25" s="59" t="s">
        <v>26</v>
      </c>
      <c r="C25" s="59"/>
      <c r="D25" s="10" t="s">
        <v>27</v>
      </c>
    </row>
    <row r="26" spans="1:4" ht="12.75" customHeight="1" x14ac:dyDescent="0.25">
      <c r="A26" s="8" t="s">
        <v>2</v>
      </c>
      <c r="B26" s="60" t="s">
        <v>28</v>
      </c>
      <c r="C26" s="60"/>
      <c r="D26" s="12">
        <v>7328.05</v>
      </c>
    </row>
    <row r="27" spans="1:4" ht="12.75" customHeight="1" x14ac:dyDescent="0.25">
      <c r="A27" s="8" t="s">
        <v>4</v>
      </c>
      <c r="B27" s="60" t="s">
        <v>29</v>
      </c>
      <c r="C27" s="60"/>
      <c r="D27" s="12"/>
    </row>
    <row r="28" spans="1:4" ht="12.75" customHeight="1" x14ac:dyDescent="0.25">
      <c r="A28" s="8" t="s">
        <v>6</v>
      </c>
      <c r="B28" s="60" t="s">
        <v>30</v>
      </c>
      <c r="C28" s="60"/>
      <c r="D28" s="12"/>
    </row>
    <row r="29" spans="1:4" ht="12.75" customHeight="1" x14ac:dyDescent="0.25">
      <c r="A29" s="8" t="s">
        <v>8</v>
      </c>
      <c r="B29" s="60" t="s">
        <v>31</v>
      </c>
      <c r="C29" s="60"/>
      <c r="D29" s="12"/>
    </row>
    <row r="30" spans="1:4" ht="12.75" customHeight="1" x14ac:dyDescent="0.25">
      <c r="A30" s="8" t="s">
        <v>32</v>
      </c>
      <c r="B30" s="60" t="s">
        <v>33</v>
      </c>
      <c r="C30" s="60"/>
      <c r="D30" s="12"/>
    </row>
    <row r="31" spans="1:4" x14ac:dyDescent="0.25">
      <c r="A31" s="8"/>
      <c r="B31" s="60"/>
      <c r="C31" s="60"/>
      <c r="D31" s="12"/>
    </row>
    <row r="32" spans="1:4" ht="12.75" customHeight="1" x14ac:dyDescent="0.25">
      <c r="A32" s="8" t="s">
        <v>34</v>
      </c>
      <c r="B32" s="60" t="s">
        <v>35</v>
      </c>
      <c r="C32" s="60"/>
      <c r="D32" s="12"/>
    </row>
    <row r="33" spans="1:4" ht="12.75" customHeight="1" x14ac:dyDescent="0.25">
      <c r="A33" s="59" t="s">
        <v>36</v>
      </c>
      <c r="B33" s="59"/>
      <c r="C33" s="59"/>
      <c r="D33" s="13">
        <f>SUM(D26:D32)</f>
        <v>7328.05</v>
      </c>
    </row>
    <row r="36" spans="1:4" x14ac:dyDescent="0.25">
      <c r="A36" s="54" t="s">
        <v>37</v>
      </c>
      <c r="B36" s="54"/>
      <c r="C36" s="54"/>
      <c r="D36" s="54"/>
    </row>
    <row r="37" spans="1:4" x14ac:dyDescent="0.25">
      <c r="A37" s="14"/>
    </row>
    <row r="38" spans="1:4" x14ac:dyDescent="0.25">
      <c r="A38" s="61" t="s">
        <v>38</v>
      </c>
      <c r="B38" s="61"/>
      <c r="C38" s="61"/>
      <c r="D38" s="61"/>
    </row>
    <row r="40" spans="1:4" ht="12.75" customHeight="1" x14ac:dyDescent="0.25">
      <c r="A40" s="10" t="s">
        <v>39</v>
      </c>
      <c r="B40" s="59" t="s">
        <v>40</v>
      </c>
      <c r="C40" s="59"/>
      <c r="D40" s="10" t="s">
        <v>27</v>
      </c>
    </row>
    <row r="41" spans="1:4" x14ac:dyDescent="0.25">
      <c r="A41" s="8" t="s">
        <v>2</v>
      </c>
      <c r="B41" s="11" t="s">
        <v>41</v>
      </c>
      <c r="C41" s="15">
        <f>TRUNC(1/12,4)</f>
        <v>8.3299999999999999E-2</v>
      </c>
      <c r="D41" s="12">
        <f>TRUNC($D$33*C41,2)</f>
        <v>610.41999999999996</v>
      </c>
    </row>
    <row r="42" spans="1:4" x14ac:dyDescent="0.25">
      <c r="A42" s="8" t="s">
        <v>4</v>
      </c>
      <c r="B42" s="11" t="s">
        <v>42</v>
      </c>
      <c r="C42" s="15">
        <f>TRUNC(((1+1/3)/12),4)</f>
        <v>0.1111</v>
      </c>
      <c r="D42" s="12">
        <f>TRUNC($D$33*C42,2)</f>
        <v>814.14</v>
      </c>
    </row>
    <row r="43" spans="1:4" ht="12.75" customHeight="1" x14ac:dyDescent="0.25">
      <c r="A43" s="59" t="s">
        <v>36</v>
      </c>
      <c r="B43" s="59"/>
      <c r="C43" s="16">
        <f>SUM(C41:C42)</f>
        <v>0.19440000000000002</v>
      </c>
      <c r="D43" s="17">
        <f>SUM(D41:D42)</f>
        <v>1424.56</v>
      </c>
    </row>
    <row r="46" spans="1:4" ht="12.75" customHeight="1" x14ac:dyDescent="0.25">
      <c r="A46" s="62" t="s">
        <v>43</v>
      </c>
      <c r="B46" s="62"/>
      <c r="C46" s="62"/>
      <c r="D46" s="62"/>
    </row>
    <row r="48" spans="1:4" x14ac:dyDescent="0.25">
      <c r="A48" s="10" t="s">
        <v>44</v>
      </c>
      <c r="B48" s="10" t="s">
        <v>45</v>
      </c>
      <c r="C48" s="10" t="s">
        <v>46</v>
      </c>
      <c r="D48" s="10" t="s">
        <v>27</v>
      </c>
    </row>
    <row r="49" spans="1:4" x14ac:dyDescent="0.25">
      <c r="A49" s="8" t="s">
        <v>2</v>
      </c>
      <c r="B49" s="11" t="s">
        <v>47</v>
      </c>
      <c r="C49" s="18">
        <v>0.2</v>
      </c>
      <c r="D49" s="12">
        <f t="shared" ref="D49:D56" si="0">TRUNC(($D$33+$D$43)*C49,2)</f>
        <v>1750.52</v>
      </c>
    </row>
    <row r="50" spans="1:4" x14ac:dyDescent="0.25">
      <c r="A50" s="8" t="s">
        <v>4</v>
      </c>
      <c r="B50" s="11" t="s">
        <v>48</v>
      </c>
      <c r="C50" s="18">
        <v>2.5000000000000001E-2</v>
      </c>
      <c r="D50" s="12">
        <f t="shared" si="0"/>
        <v>218.81</v>
      </c>
    </row>
    <row r="51" spans="1:4" x14ac:dyDescent="0.25">
      <c r="A51" s="8" t="s">
        <v>6</v>
      </c>
      <c r="B51" s="11" t="s">
        <v>49</v>
      </c>
      <c r="C51" s="19">
        <v>0.03</v>
      </c>
      <c r="D51" s="12">
        <f t="shared" si="0"/>
        <v>262.57</v>
      </c>
    </row>
    <row r="52" spans="1:4" x14ac:dyDescent="0.25">
      <c r="A52" s="8" t="s">
        <v>8</v>
      </c>
      <c r="B52" s="11" t="s">
        <v>50</v>
      </c>
      <c r="C52" s="18">
        <v>1.4999999999999999E-2</v>
      </c>
      <c r="D52" s="12">
        <f t="shared" si="0"/>
        <v>131.28</v>
      </c>
    </row>
    <row r="53" spans="1:4" x14ac:dyDescent="0.25">
      <c r="A53" s="8" t="s">
        <v>32</v>
      </c>
      <c r="B53" s="11" t="s">
        <v>51</v>
      </c>
      <c r="C53" s="18">
        <v>0.01</v>
      </c>
      <c r="D53" s="12">
        <f t="shared" si="0"/>
        <v>87.52</v>
      </c>
    </row>
    <row r="54" spans="1:4" x14ac:dyDescent="0.25">
      <c r="A54" s="8" t="s">
        <v>52</v>
      </c>
      <c r="B54" s="11" t="s">
        <v>53</v>
      </c>
      <c r="C54" s="18">
        <v>6.0000000000000001E-3</v>
      </c>
      <c r="D54" s="12">
        <f t="shared" si="0"/>
        <v>52.51</v>
      </c>
    </row>
    <row r="55" spans="1:4" x14ac:dyDescent="0.25">
      <c r="A55" s="8" t="s">
        <v>34</v>
      </c>
      <c r="B55" s="11" t="s">
        <v>54</v>
      </c>
      <c r="C55" s="18">
        <v>2E-3</v>
      </c>
      <c r="D55" s="12">
        <f t="shared" si="0"/>
        <v>17.5</v>
      </c>
    </row>
    <row r="56" spans="1:4" x14ac:dyDescent="0.25">
      <c r="A56" s="8" t="s">
        <v>55</v>
      </c>
      <c r="B56" s="11" t="s">
        <v>56</v>
      </c>
      <c r="C56" s="18">
        <v>0.08</v>
      </c>
      <c r="D56" s="12">
        <f t="shared" si="0"/>
        <v>700.2</v>
      </c>
    </row>
    <row r="57" spans="1:4" ht="12.75" customHeight="1" x14ac:dyDescent="0.25">
      <c r="A57" s="59" t="s">
        <v>57</v>
      </c>
      <c r="B57" s="59"/>
      <c r="C57" s="20">
        <f>SUM(C49:C56)</f>
        <v>0.36800000000000005</v>
      </c>
      <c r="D57" s="17">
        <f>SUM(D49:D56)</f>
        <v>3220.9100000000008</v>
      </c>
    </row>
    <row r="60" spans="1:4" x14ac:dyDescent="0.25">
      <c r="A60" s="61" t="s">
        <v>58</v>
      </c>
      <c r="B60" s="61"/>
      <c r="C60" s="61"/>
      <c r="D60" s="61"/>
    </row>
    <row r="62" spans="1:4" ht="12.75" customHeight="1" x14ac:dyDescent="0.25">
      <c r="A62" s="10" t="s">
        <v>59</v>
      </c>
      <c r="B62" s="63" t="s">
        <v>60</v>
      </c>
      <c r="C62" s="63"/>
      <c r="D62" s="10" t="s">
        <v>27</v>
      </c>
    </row>
    <row r="63" spans="1:4" ht="12.75" customHeight="1" x14ac:dyDescent="0.25">
      <c r="A63" s="8" t="s">
        <v>2</v>
      </c>
      <c r="B63" s="60" t="s">
        <v>61</v>
      </c>
      <c r="C63" s="60"/>
      <c r="D63" s="12">
        <f>IF((23*2*4.4)-(D26*0.06)&gt;0,(23*2*4.4)-(D26*0.06),0)</f>
        <v>0</v>
      </c>
    </row>
    <row r="64" spans="1:4" ht="12.75" customHeight="1" x14ac:dyDescent="0.25">
      <c r="A64" s="8" t="s">
        <v>4</v>
      </c>
      <c r="B64" s="60" t="s">
        <v>62</v>
      </c>
      <c r="C64" s="60"/>
      <c r="D64" s="12">
        <f>23*29*0.9</f>
        <v>600.30000000000007</v>
      </c>
    </row>
    <row r="65" spans="1:5" ht="12.75" customHeight="1" x14ac:dyDescent="0.25">
      <c r="A65" s="8" t="s">
        <v>6</v>
      </c>
      <c r="B65" s="60" t="s">
        <v>63</v>
      </c>
      <c r="C65" s="60"/>
      <c r="D65" s="12">
        <f>200*0.7</f>
        <v>140</v>
      </c>
    </row>
    <row r="66" spans="1:5" ht="12.75" customHeight="1" x14ac:dyDescent="0.25">
      <c r="A66" s="8" t="s">
        <v>8</v>
      </c>
      <c r="B66" s="60" t="s">
        <v>35</v>
      </c>
      <c r="C66" s="60"/>
      <c r="D66" s="12"/>
    </row>
    <row r="67" spans="1:5" ht="12.75" customHeight="1" x14ac:dyDescent="0.25">
      <c r="A67" s="59" t="s">
        <v>36</v>
      </c>
      <c r="B67" s="59"/>
      <c r="C67" s="59"/>
      <c r="D67" s="17">
        <f>SUM(D63:D66)</f>
        <v>740.30000000000007</v>
      </c>
    </row>
    <row r="70" spans="1:5" x14ac:dyDescent="0.25">
      <c r="A70" s="61" t="s">
        <v>64</v>
      </c>
      <c r="B70" s="61"/>
      <c r="C70" s="61"/>
      <c r="D70" s="61"/>
    </row>
    <row r="72" spans="1:5" ht="12.75" customHeight="1" x14ac:dyDescent="0.25">
      <c r="A72" s="10">
        <v>2</v>
      </c>
      <c r="B72" s="63" t="s">
        <v>65</v>
      </c>
      <c r="C72" s="63"/>
      <c r="D72" s="10" t="s">
        <v>27</v>
      </c>
    </row>
    <row r="73" spans="1:5" ht="12.75" customHeight="1" x14ac:dyDescent="0.25">
      <c r="A73" s="8" t="s">
        <v>39</v>
      </c>
      <c r="B73" s="60" t="s">
        <v>40</v>
      </c>
      <c r="C73" s="60"/>
      <c r="D73" s="21">
        <f>D43</f>
        <v>1424.56</v>
      </c>
    </row>
    <row r="74" spans="1:5" ht="12.75" customHeight="1" x14ac:dyDescent="0.25">
      <c r="A74" s="8" t="s">
        <v>44</v>
      </c>
      <c r="B74" s="60" t="s">
        <v>45</v>
      </c>
      <c r="C74" s="60"/>
      <c r="D74" s="21">
        <f>D57</f>
        <v>3220.9100000000008</v>
      </c>
    </row>
    <row r="75" spans="1:5" ht="12.75" customHeight="1" x14ac:dyDescent="0.25">
      <c r="A75" s="8" t="s">
        <v>59</v>
      </c>
      <c r="B75" s="60" t="s">
        <v>60</v>
      </c>
      <c r="C75" s="60"/>
      <c r="D75" s="21">
        <f>D67</f>
        <v>740.30000000000007</v>
      </c>
    </row>
    <row r="76" spans="1:5" ht="12.75" customHeight="1" x14ac:dyDescent="0.25">
      <c r="A76" s="59" t="s">
        <v>36</v>
      </c>
      <c r="B76" s="59"/>
      <c r="C76" s="59"/>
      <c r="D76" s="17">
        <f>SUM(D73:D75)</f>
        <v>5385.7700000000013</v>
      </c>
    </row>
    <row r="77" spans="1:5" x14ac:dyDescent="0.25">
      <c r="A77" s="22"/>
      <c r="E77" s="23"/>
    </row>
    <row r="79" spans="1:5" x14ac:dyDescent="0.25">
      <c r="A79" s="54" t="s">
        <v>66</v>
      </c>
      <c r="B79" s="54"/>
      <c r="C79" s="54"/>
      <c r="D79" s="54"/>
      <c r="E79" s="24"/>
    </row>
    <row r="80" spans="1:5" ht="12.75" customHeight="1" x14ac:dyDescent="0.25">
      <c r="E80" s="23"/>
    </row>
    <row r="81" spans="1:4" ht="12.75" customHeight="1" x14ac:dyDescent="0.25">
      <c r="A81" s="10">
        <v>3</v>
      </c>
      <c r="B81" s="63" t="s">
        <v>67</v>
      </c>
      <c r="C81" s="63"/>
      <c r="D81" s="10" t="s">
        <v>27</v>
      </c>
    </row>
    <row r="82" spans="1:4" x14ac:dyDescent="0.25">
      <c r="A82" s="8" t="s">
        <v>2</v>
      </c>
      <c r="B82" s="25" t="s">
        <v>68</v>
      </c>
      <c r="C82" s="18">
        <f>TRUNC(((1/12)*5%),4)</f>
        <v>4.1000000000000003E-3</v>
      </c>
      <c r="D82" s="12">
        <f>TRUNC($D$33*C82,2)</f>
        <v>30.04</v>
      </c>
    </row>
    <row r="83" spans="1:4" x14ac:dyDescent="0.25">
      <c r="A83" s="8" t="s">
        <v>4</v>
      </c>
      <c r="B83" s="25" t="s">
        <v>69</v>
      </c>
      <c r="C83" s="18">
        <v>0.08</v>
      </c>
      <c r="D83" s="12">
        <f>TRUNC(D82*C83,2)</f>
        <v>2.4</v>
      </c>
    </row>
    <row r="84" spans="1:4" x14ac:dyDescent="0.25">
      <c r="A84" s="8" t="s">
        <v>6</v>
      </c>
      <c r="B84" s="25" t="s">
        <v>70</v>
      </c>
      <c r="C84" s="18">
        <f>TRUNC(8%*5%*40%,4)</f>
        <v>1.6000000000000001E-3</v>
      </c>
      <c r="D84" s="12">
        <f>TRUNC($D$33*C84,2)</f>
        <v>11.72</v>
      </c>
    </row>
    <row r="85" spans="1:4" x14ac:dyDescent="0.25">
      <c r="A85" s="8" t="s">
        <v>8</v>
      </c>
      <c r="B85" s="25" t="s">
        <v>71</v>
      </c>
      <c r="C85" s="18">
        <f>TRUNC(((7/30)/12)*95%,4)</f>
        <v>1.84E-2</v>
      </c>
      <c r="D85" s="12">
        <f>TRUNC($D$33*C85,2)</f>
        <v>134.83000000000001</v>
      </c>
    </row>
    <row r="86" spans="1:4" ht="25.5" x14ac:dyDescent="0.25">
      <c r="A86" s="8" t="s">
        <v>32</v>
      </c>
      <c r="B86" s="25" t="s">
        <v>72</v>
      </c>
      <c r="C86" s="18">
        <f>C57</f>
        <v>0.36800000000000005</v>
      </c>
      <c r="D86" s="12">
        <f>TRUNC(D85*C86,2)</f>
        <v>49.61</v>
      </c>
    </row>
    <row r="87" spans="1:4" x14ac:dyDescent="0.25">
      <c r="A87" s="8" t="s">
        <v>52</v>
      </c>
      <c r="B87" s="25" t="s">
        <v>73</v>
      </c>
      <c r="C87" s="18">
        <f>TRUNC(8%*95%*40%,4)</f>
        <v>3.04E-2</v>
      </c>
      <c r="D87" s="12">
        <f>TRUNC($D$33*C87,2)</f>
        <v>222.77</v>
      </c>
    </row>
    <row r="88" spans="1:4" ht="12.75" customHeight="1" x14ac:dyDescent="0.25">
      <c r="A88" s="59" t="s">
        <v>36</v>
      </c>
      <c r="B88" s="59"/>
      <c r="C88" s="59"/>
      <c r="D88" s="17">
        <f>SUM(D82:D87)</f>
        <v>451.37</v>
      </c>
    </row>
    <row r="91" spans="1:4" x14ac:dyDescent="0.25">
      <c r="A91" s="54" t="s">
        <v>74</v>
      </c>
      <c r="B91" s="54"/>
      <c r="C91" s="54"/>
      <c r="D91" s="54"/>
    </row>
    <row r="94" spans="1:4" x14ac:dyDescent="0.25">
      <c r="A94" s="61" t="s">
        <v>75</v>
      </c>
      <c r="B94" s="61"/>
      <c r="C94" s="61"/>
      <c r="D94" s="61"/>
    </row>
    <row r="95" spans="1:4" x14ac:dyDescent="0.25">
      <c r="A95" s="14"/>
    </row>
    <row r="96" spans="1:4" ht="12.75" customHeight="1" x14ac:dyDescent="0.25">
      <c r="A96" s="10" t="s">
        <v>76</v>
      </c>
      <c r="B96" s="63" t="s">
        <v>77</v>
      </c>
      <c r="C96" s="63"/>
      <c r="D96" s="10" t="s">
        <v>27</v>
      </c>
    </row>
    <row r="97" spans="1:6" x14ac:dyDescent="0.25">
      <c r="A97" s="8" t="s">
        <v>2</v>
      </c>
      <c r="B97" s="11" t="s">
        <v>78</v>
      </c>
      <c r="C97" s="18">
        <f>TRUNC(((1+1/3)/12)/12,4)</f>
        <v>9.1999999999999998E-3</v>
      </c>
      <c r="D97" s="12">
        <f t="shared" ref="D97:D102" si="1">TRUNC(($D$33+$D$76+$D$88)*C97,2)</f>
        <v>121.11</v>
      </c>
    </row>
    <row r="98" spans="1:6" x14ac:dyDescent="0.25">
      <c r="A98" s="8" t="s">
        <v>4</v>
      </c>
      <c r="B98" s="11" t="s">
        <v>79</v>
      </c>
      <c r="C98" s="18">
        <f>TRUNC(((2/30)/12),4)</f>
        <v>5.4999999999999997E-3</v>
      </c>
      <c r="D98" s="12">
        <f t="shared" si="1"/>
        <v>72.400000000000006</v>
      </c>
    </row>
    <row r="99" spans="1:6" x14ac:dyDescent="0.25">
      <c r="A99" s="8" t="s">
        <v>6</v>
      </c>
      <c r="B99" s="11" t="s">
        <v>80</v>
      </c>
      <c r="C99" s="18">
        <f>TRUNC(((5/30)/12)*2%,4)</f>
        <v>2.0000000000000001E-4</v>
      </c>
      <c r="D99" s="12">
        <f t="shared" si="1"/>
        <v>2.63</v>
      </c>
    </row>
    <row r="100" spans="1:6" x14ac:dyDescent="0.25">
      <c r="A100" s="8" t="s">
        <v>8</v>
      </c>
      <c r="B100" s="11" t="s">
        <v>81</v>
      </c>
      <c r="C100" s="18">
        <f>TRUNC(((15/30)/12)*8%,4)</f>
        <v>3.3E-3</v>
      </c>
      <c r="D100" s="12">
        <f t="shared" si="1"/>
        <v>43.44</v>
      </c>
    </row>
    <row r="101" spans="1:6" x14ac:dyDescent="0.25">
      <c r="A101" s="8" t="s">
        <v>32</v>
      </c>
      <c r="B101" s="11" t="s">
        <v>82</v>
      </c>
      <c r="C101" s="18">
        <f>((1+1/3)/12)*3%*(6/12)</f>
        <v>1.6666666666666666E-3</v>
      </c>
      <c r="D101" s="12">
        <f t="shared" si="1"/>
        <v>21.94</v>
      </c>
    </row>
    <row r="102" spans="1:6" x14ac:dyDescent="0.25">
      <c r="A102" s="8" t="s">
        <v>52</v>
      </c>
      <c r="B102" s="11" t="s">
        <v>83</v>
      </c>
      <c r="C102" s="18"/>
      <c r="D102" s="12">
        <f t="shared" si="1"/>
        <v>0</v>
      </c>
    </row>
    <row r="103" spans="1:6" ht="12.75" customHeight="1" x14ac:dyDescent="0.25">
      <c r="A103" s="59" t="s">
        <v>57</v>
      </c>
      <c r="B103" s="59"/>
      <c r="C103" s="59"/>
      <c r="D103" s="17">
        <f>SUM(D97:D102)</f>
        <v>261.52</v>
      </c>
      <c r="E103" s="24"/>
      <c r="F103" s="24"/>
    </row>
    <row r="106" spans="1:6" x14ac:dyDescent="0.25">
      <c r="A106" s="61" t="s">
        <v>84</v>
      </c>
      <c r="B106" s="61"/>
      <c r="C106" s="61"/>
      <c r="D106" s="61"/>
    </row>
    <row r="107" spans="1:6" x14ac:dyDescent="0.25">
      <c r="A107" s="14"/>
    </row>
    <row r="108" spans="1:6" ht="12.75" customHeight="1" x14ac:dyDescent="0.25">
      <c r="A108" s="10" t="s">
        <v>85</v>
      </c>
      <c r="B108" s="63" t="s">
        <v>86</v>
      </c>
      <c r="C108" s="63"/>
      <c r="D108" s="10" t="s">
        <v>27</v>
      </c>
    </row>
    <row r="109" spans="1:6" ht="12.75" customHeight="1" x14ac:dyDescent="0.25">
      <c r="A109" s="8" t="s">
        <v>2</v>
      </c>
      <c r="B109" s="60" t="s">
        <v>87</v>
      </c>
      <c r="C109" s="60"/>
      <c r="D109" s="12">
        <f>((D33+D76+D88)/220)*22*0</f>
        <v>0</v>
      </c>
    </row>
    <row r="110" spans="1:6" ht="12.75" customHeight="1" x14ac:dyDescent="0.25">
      <c r="A110" s="59" t="s">
        <v>36</v>
      </c>
      <c r="B110" s="59"/>
      <c r="C110" s="59"/>
      <c r="D110" s="17">
        <f>SUM(D109)</f>
        <v>0</v>
      </c>
    </row>
    <row r="113" spans="1:4" x14ac:dyDescent="0.25">
      <c r="A113" s="61" t="s">
        <v>88</v>
      </c>
      <c r="B113" s="61"/>
      <c r="C113" s="61"/>
      <c r="D113" s="61"/>
    </row>
    <row r="114" spans="1:4" x14ac:dyDescent="0.25">
      <c r="A114" s="14"/>
    </row>
    <row r="115" spans="1:4" ht="12.75" customHeight="1" x14ac:dyDescent="0.25">
      <c r="A115" s="10">
        <v>4</v>
      </c>
      <c r="B115" s="59" t="s">
        <v>89</v>
      </c>
      <c r="C115" s="59"/>
      <c r="D115" s="10" t="s">
        <v>27</v>
      </c>
    </row>
    <row r="116" spans="1:4" ht="12.75" customHeight="1" x14ac:dyDescent="0.25">
      <c r="A116" s="8" t="s">
        <v>76</v>
      </c>
      <c r="B116" s="60" t="s">
        <v>77</v>
      </c>
      <c r="C116" s="60"/>
      <c r="D116" s="21">
        <f>D103</f>
        <v>261.52</v>
      </c>
    </row>
    <row r="117" spans="1:4" ht="12.75" customHeight="1" x14ac:dyDescent="0.25">
      <c r="A117" s="8" t="s">
        <v>85</v>
      </c>
      <c r="B117" s="60" t="s">
        <v>86</v>
      </c>
      <c r="C117" s="60"/>
      <c r="D117" s="21">
        <f>D110</f>
        <v>0</v>
      </c>
    </row>
    <row r="118" spans="1:4" ht="12.75" customHeight="1" x14ac:dyDescent="0.25">
      <c r="A118" s="59" t="s">
        <v>36</v>
      </c>
      <c r="B118" s="59"/>
      <c r="C118" s="59"/>
      <c r="D118" s="17">
        <f>SUM(D116:D117)</f>
        <v>261.52</v>
      </c>
    </row>
    <row r="121" spans="1:4" x14ac:dyDescent="0.25">
      <c r="A121" s="54" t="s">
        <v>90</v>
      </c>
      <c r="B121" s="54"/>
      <c r="C121" s="54"/>
      <c r="D121" s="54"/>
    </row>
    <row r="123" spans="1:4" ht="12.75" customHeight="1" x14ac:dyDescent="0.25">
      <c r="A123" s="10">
        <v>5</v>
      </c>
      <c r="B123" s="64" t="s">
        <v>91</v>
      </c>
      <c r="C123" s="64"/>
      <c r="D123" s="10" t="s">
        <v>27</v>
      </c>
    </row>
    <row r="124" spans="1:4" x14ac:dyDescent="0.25">
      <c r="A124" s="8" t="s">
        <v>2</v>
      </c>
      <c r="B124" s="11" t="s">
        <v>92</v>
      </c>
      <c r="C124" s="11"/>
      <c r="D124" s="12">
        <v>0.43</v>
      </c>
    </row>
    <row r="125" spans="1:4" x14ac:dyDescent="0.25">
      <c r="A125" s="8" t="s">
        <v>4</v>
      </c>
      <c r="B125" s="11" t="s">
        <v>93</v>
      </c>
      <c r="C125" s="11"/>
      <c r="D125" s="12"/>
    </row>
    <row r="126" spans="1:4" x14ac:dyDescent="0.25">
      <c r="A126" s="8" t="s">
        <v>6</v>
      </c>
      <c r="B126" s="11" t="s">
        <v>94</v>
      </c>
      <c r="C126" s="11"/>
      <c r="D126" s="12"/>
    </row>
    <row r="127" spans="1:4" x14ac:dyDescent="0.25">
      <c r="A127" s="8" t="s">
        <v>8</v>
      </c>
      <c r="B127" s="11" t="s">
        <v>35</v>
      </c>
      <c r="C127" s="11"/>
      <c r="D127" s="12"/>
    </row>
    <row r="128" spans="1:4" ht="12.75" customHeight="1" x14ac:dyDescent="0.25">
      <c r="A128" s="59" t="s">
        <v>57</v>
      </c>
      <c r="B128" s="59"/>
      <c r="C128" s="59"/>
      <c r="D128" s="13">
        <f>SUM(D124:D127)</f>
        <v>0.43</v>
      </c>
    </row>
    <row r="131" spans="1:4" x14ac:dyDescent="0.25">
      <c r="A131" s="54" t="s">
        <v>95</v>
      </c>
      <c r="B131" s="54"/>
      <c r="C131" s="54"/>
      <c r="D131" s="54"/>
    </row>
    <row r="133" spans="1:4" x14ac:dyDescent="0.25">
      <c r="A133" s="10">
        <v>6</v>
      </c>
      <c r="B133" s="26" t="s">
        <v>96</v>
      </c>
      <c r="C133" s="10" t="s">
        <v>46</v>
      </c>
      <c r="D133" s="10" t="s">
        <v>27</v>
      </c>
    </row>
    <row r="134" spans="1:4" x14ac:dyDescent="0.25">
      <c r="A134" s="8" t="s">
        <v>2</v>
      </c>
      <c r="B134" s="11" t="s">
        <v>97</v>
      </c>
      <c r="C134" s="18">
        <v>0.05</v>
      </c>
      <c r="D134" s="21">
        <f>D154*C134</f>
        <v>671.3570000000002</v>
      </c>
    </row>
    <row r="135" spans="1:4" x14ac:dyDescent="0.25">
      <c r="A135" s="8" t="s">
        <v>4</v>
      </c>
      <c r="B135" s="11" t="s">
        <v>98</v>
      </c>
      <c r="C135" s="18">
        <v>0.06</v>
      </c>
      <c r="D135" s="12">
        <f>(D154+D134)*C135</f>
        <v>845.9098200000002</v>
      </c>
    </row>
    <row r="136" spans="1:4" x14ac:dyDescent="0.25">
      <c r="A136" s="8" t="s">
        <v>6</v>
      </c>
      <c r="B136" s="11" t="s">
        <v>99</v>
      </c>
      <c r="C136" s="15">
        <f>SUM(C137:C142)</f>
        <v>8.6499999999999994E-2</v>
      </c>
      <c r="D136" s="12">
        <f>(D154+D134+D135)*C136/(1-C136)</f>
        <v>1415.0970880459774</v>
      </c>
    </row>
    <row r="137" spans="1:4" x14ac:dyDescent="0.25">
      <c r="A137" s="8"/>
      <c r="B137" s="11" t="s">
        <v>100</v>
      </c>
      <c r="C137" s="18"/>
      <c r="D137" s="21">
        <f t="shared" ref="D137:D142" si="2">$D$156*C137</f>
        <v>0</v>
      </c>
    </row>
    <row r="138" spans="1:4" x14ac:dyDescent="0.25">
      <c r="A138" s="8"/>
      <c r="B138" s="11" t="s">
        <v>101</v>
      </c>
      <c r="C138" s="18">
        <v>6.4999999999999997E-3</v>
      </c>
      <c r="D138" s="21">
        <f t="shared" si="2"/>
        <v>106.33674999999999</v>
      </c>
    </row>
    <row r="139" spans="1:4" x14ac:dyDescent="0.25">
      <c r="A139" s="8"/>
      <c r="B139" s="11" t="s">
        <v>102</v>
      </c>
      <c r="C139" s="18">
        <v>0.03</v>
      </c>
      <c r="D139" s="21">
        <f t="shared" si="2"/>
        <v>490.78499999999997</v>
      </c>
    </row>
    <row r="140" spans="1:4" x14ac:dyDescent="0.25">
      <c r="A140" s="8"/>
      <c r="B140" s="11" t="s">
        <v>103</v>
      </c>
      <c r="C140" s="8"/>
      <c r="D140" s="21">
        <f t="shared" si="2"/>
        <v>0</v>
      </c>
    </row>
    <row r="141" spans="1:4" x14ac:dyDescent="0.25">
      <c r="A141" s="8"/>
      <c r="B141" s="11" t="s">
        <v>104</v>
      </c>
      <c r="C141" s="18"/>
      <c r="D141" s="21">
        <f t="shared" si="2"/>
        <v>0</v>
      </c>
    </row>
    <row r="142" spans="1:4" x14ac:dyDescent="0.25">
      <c r="A142" s="8"/>
      <c r="B142" s="11" t="s">
        <v>105</v>
      </c>
      <c r="C142" s="18">
        <v>0.05</v>
      </c>
      <c r="D142" s="21">
        <f t="shared" si="2"/>
        <v>817.97500000000002</v>
      </c>
    </row>
    <row r="143" spans="1:4" ht="13.5" customHeight="1" x14ac:dyDescent="0.25">
      <c r="A143" s="65" t="s">
        <v>57</v>
      </c>
      <c r="B143" s="65"/>
      <c r="C143" s="27">
        <f>(1+C135)*(1+C134)/(1-C136)-1</f>
        <v>0.21839080459770144</v>
      </c>
      <c r="D143" s="17">
        <f>SUM(D134:D136)</f>
        <v>2932.363908045978</v>
      </c>
    </row>
    <row r="146" spans="1:4" x14ac:dyDescent="0.25">
      <c r="A146" s="54" t="s">
        <v>106</v>
      </c>
      <c r="B146" s="54"/>
      <c r="C146" s="54"/>
      <c r="D146" s="54"/>
    </row>
    <row r="148" spans="1:4" ht="12.75" customHeight="1" x14ac:dyDescent="0.25">
      <c r="A148" s="10"/>
      <c r="B148" s="59" t="s">
        <v>107</v>
      </c>
      <c r="C148" s="59"/>
      <c r="D148" s="10" t="s">
        <v>27</v>
      </c>
    </row>
    <row r="149" spans="1:4" ht="12.75" customHeight="1" x14ac:dyDescent="0.25">
      <c r="A149" s="10" t="s">
        <v>2</v>
      </c>
      <c r="B149" s="60" t="s">
        <v>25</v>
      </c>
      <c r="C149" s="60"/>
      <c r="D149" s="28">
        <f>D33</f>
        <v>7328.05</v>
      </c>
    </row>
    <row r="150" spans="1:4" ht="12.75" customHeight="1" x14ac:dyDescent="0.25">
      <c r="A150" s="10" t="s">
        <v>4</v>
      </c>
      <c r="B150" s="60" t="s">
        <v>37</v>
      </c>
      <c r="C150" s="60"/>
      <c r="D150" s="28">
        <f>D76</f>
        <v>5385.7700000000013</v>
      </c>
    </row>
    <row r="151" spans="1:4" ht="12.75" customHeight="1" x14ac:dyDescent="0.25">
      <c r="A151" s="10" t="s">
        <v>6</v>
      </c>
      <c r="B151" s="60" t="s">
        <v>66</v>
      </c>
      <c r="C151" s="60"/>
      <c r="D151" s="28">
        <f>D88</f>
        <v>451.37</v>
      </c>
    </row>
    <row r="152" spans="1:4" ht="12.75" customHeight="1" x14ac:dyDescent="0.25">
      <c r="A152" s="10" t="s">
        <v>8</v>
      </c>
      <c r="B152" s="60" t="s">
        <v>74</v>
      </c>
      <c r="C152" s="60"/>
      <c r="D152" s="28">
        <f>D118</f>
        <v>261.52</v>
      </c>
    </row>
    <row r="153" spans="1:4" ht="12.75" customHeight="1" x14ac:dyDescent="0.25">
      <c r="A153" s="10" t="s">
        <v>32</v>
      </c>
      <c r="B153" s="60" t="s">
        <v>90</v>
      </c>
      <c r="C153" s="60"/>
      <c r="D153" s="28">
        <f>D128</f>
        <v>0.43</v>
      </c>
    </row>
    <row r="154" spans="1:4" ht="12.75" customHeight="1" x14ac:dyDescent="0.25">
      <c r="A154" s="59" t="s">
        <v>108</v>
      </c>
      <c r="B154" s="59"/>
      <c r="C154" s="59"/>
      <c r="D154" s="29">
        <f>SUM(D149:D153)</f>
        <v>13427.140000000003</v>
      </c>
    </row>
    <row r="155" spans="1:4" ht="12.75" customHeight="1" x14ac:dyDescent="0.25">
      <c r="A155" s="10" t="s">
        <v>52</v>
      </c>
      <c r="B155" s="60" t="s">
        <v>109</v>
      </c>
      <c r="C155" s="60"/>
      <c r="D155" s="30">
        <f>D143</f>
        <v>2932.363908045978</v>
      </c>
    </row>
    <row r="156" spans="1:4" ht="12.75" customHeight="1" x14ac:dyDescent="0.25">
      <c r="A156" s="59" t="s">
        <v>110</v>
      </c>
      <c r="B156" s="59"/>
      <c r="C156" s="59"/>
      <c r="D156" s="29">
        <f>TRUNC(SUM(D154:D155),2)</f>
        <v>16359.5</v>
      </c>
    </row>
  </sheetData>
  <mergeCells count="71">
    <mergeCell ref="A156:C156"/>
    <mergeCell ref="B151:C151"/>
    <mergeCell ref="B152:C152"/>
    <mergeCell ref="B153:C153"/>
    <mergeCell ref="A154:C154"/>
    <mergeCell ref="B155:C155"/>
    <mergeCell ref="A143:B143"/>
    <mergeCell ref="A146:D146"/>
    <mergeCell ref="B148:C148"/>
    <mergeCell ref="B149:C149"/>
    <mergeCell ref="B150:C150"/>
    <mergeCell ref="A118:C118"/>
    <mergeCell ref="A121:D121"/>
    <mergeCell ref="B123:C123"/>
    <mergeCell ref="A128:C128"/>
    <mergeCell ref="A131:D131"/>
    <mergeCell ref="A110:C110"/>
    <mergeCell ref="A113:D113"/>
    <mergeCell ref="B115:C115"/>
    <mergeCell ref="B116:C116"/>
    <mergeCell ref="B117:C117"/>
    <mergeCell ref="B96:C96"/>
    <mergeCell ref="A103:C103"/>
    <mergeCell ref="A106:D106"/>
    <mergeCell ref="B108:C108"/>
    <mergeCell ref="B109:C109"/>
    <mergeCell ref="A79:D79"/>
    <mergeCell ref="B81:C81"/>
    <mergeCell ref="A88:C88"/>
    <mergeCell ref="A91:D91"/>
    <mergeCell ref="A94:D94"/>
    <mergeCell ref="B72:C72"/>
    <mergeCell ref="B73:C73"/>
    <mergeCell ref="B74:C74"/>
    <mergeCell ref="B75:C75"/>
    <mergeCell ref="A76:C76"/>
    <mergeCell ref="B64:C64"/>
    <mergeCell ref="B65:C65"/>
    <mergeCell ref="B66:C66"/>
    <mergeCell ref="A67:C67"/>
    <mergeCell ref="A70:D70"/>
    <mergeCell ref="A46:D46"/>
    <mergeCell ref="A57:B57"/>
    <mergeCell ref="A60:D60"/>
    <mergeCell ref="B62:C62"/>
    <mergeCell ref="B63:C63"/>
    <mergeCell ref="A33:C33"/>
    <mergeCell ref="A36:D36"/>
    <mergeCell ref="A38:D38"/>
    <mergeCell ref="B40:C40"/>
    <mergeCell ref="A43:B43"/>
    <mergeCell ref="B28:C28"/>
    <mergeCell ref="B29:C29"/>
    <mergeCell ref="B30:C30"/>
    <mergeCell ref="B31:C31"/>
    <mergeCell ref="B32:C32"/>
    <mergeCell ref="C21:D21"/>
    <mergeCell ref="A23:D23"/>
    <mergeCell ref="B25:C25"/>
    <mergeCell ref="B26:C26"/>
    <mergeCell ref="B27:C27"/>
    <mergeCell ref="A15:D15"/>
    <mergeCell ref="C17:D17"/>
    <mergeCell ref="C18:D18"/>
    <mergeCell ref="C19:D19"/>
    <mergeCell ref="C20:D20"/>
    <mergeCell ref="A1:D1"/>
    <mergeCell ref="A3:D3"/>
    <mergeCell ref="A10:D10"/>
    <mergeCell ref="A12:B12"/>
    <mergeCell ref="A13:B13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56"/>
  <sheetViews>
    <sheetView view="pageBreakPreview" topLeftCell="A16" zoomScaleNormal="115" workbookViewId="0">
      <selection activeCell="D27" sqref="D27"/>
    </sheetView>
  </sheetViews>
  <sheetFormatPr defaultColWidth="9.140625" defaultRowHeight="15" x14ac:dyDescent="0.25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024" width="9.140625" style="1"/>
  </cols>
  <sheetData>
    <row r="1" spans="1:4" ht="15.75" x14ac:dyDescent="0.25">
      <c r="A1" s="53" t="s">
        <v>0</v>
      </c>
      <c r="B1" s="53"/>
      <c r="C1" s="53"/>
      <c r="D1" s="53"/>
    </row>
    <row r="2" spans="1:4" ht="15.75" x14ac:dyDescent="0.25">
      <c r="A2" s="2"/>
      <c r="B2" s="2"/>
      <c r="C2" s="2"/>
      <c r="D2" s="2"/>
    </row>
    <row r="3" spans="1:4" x14ac:dyDescent="0.25">
      <c r="A3" s="54" t="s">
        <v>1</v>
      </c>
      <c r="B3" s="54"/>
      <c r="C3" s="54"/>
      <c r="D3" s="54"/>
    </row>
    <row r="4" spans="1:4" x14ac:dyDescent="0.25">
      <c r="A4" s="3"/>
      <c r="B4" s="3"/>
      <c r="C4" s="3"/>
      <c r="D4" s="3"/>
    </row>
    <row r="5" spans="1:4" x14ac:dyDescent="0.25">
      <c r="A5" s="4" t="s">
        <v>2</v>
      </c>
      <c r="B5" s="5" t="s">
        <v>3</v>
      </c>
      <c r="C5" s="6"/>
      <c r="D5" s="7"/>
    </row>
    <row r="6" spans="1:4" x14ac:dyDescent="0.25">
      <c r="A6" s="4" t="s">
        <v>4</v>
      </c>
      <c r="B6" s="5" t="s">
        <v>5</v>
      </c>
      <c r="C6" s="6"/>
      <c r="D6" s="7"/>
    </row>
    <row r="7" spans="1:4" x14ac:dyDescent="0.25">
      <c r="A7" s="4" t="s">
        <v>6</v>
      </c>
      <c r="B7" s="5" t="s">
        <v>7</v>
      </c>
      <c r="C7" s="6"/>
      <c r="D7" s="7"/>
    </row>
    <row r="8" spans="1:4" x14ac:dyDescent="0.25">
      <c r="A8" s="4" t="s">
        <v>8</v>
      </c>
      <c r="B8" s="5" t="s">
        <v>9</v>
      </c>
      <c r="C8" s="6"/>
      <c r="D8" s="7"/>
    </row>
    <row r="10" spans="1:4" x14ac:dyDescent="0.25">
      <c r="A10" s="54" t="s">
        <v>10</v>
      </c>
      <c r="B10" s="54"/>
      <c r="C10" s="54"/>
      <c r="D10" s="54"/>
    </row>
    <row r="11" spans="1:4" x14ac:dyDescent="0.25">
      <c r="A11" s="3"/>
      <c r="B11" s="3"/>
      <c r="C11" s="3"/>
      <c r="D11" s="3"/>
    </row>
    <row r="12" spans="1:4" ht="38.25" customHeight="1" x14ac:dyDescent="0.25">
      <c r="A12" s="55" t="s">
        <v>11</v>
      </c>
      <c r="B12" s="55"/>
      <c r="C12" s="8" t="s">
        <v>12</v>
      </c>
      <c r="D12" s="9" t="s">
        <v>13</v>
      </c>
    </row>
    <row r="13" spans="1:4" x14ac:dyDescent="0.25">
      <c r="A13" s="56" t="s">
        <v>111</v>
      </c>
      <c r="B13" s="56"/>
      <c r="C13" s="7" t="s">
        <v>15</v>
      </c>
      <c r="D13" s="7">
        <v>1</v>
      </c>
    </row>
    <row r="15" spans="1:4" x14ac:dyDescent="0.25">
      <c r="A15" s="54" t="s">
        <v>16</v>
      </c>
      <c r="B15" s="54"/>
      <c r="C15" s="54"/>
      <c r="D15" s="54"/>
    </row>
    <row r="16" spans="1:4" x14ac:dyDescent="0.25">
      <c r="A16" s="3"/>
      <c r="B16" s="3"/>
      <c r="C16" s="3"/>
      <c r="D16" s="3"/>
    </row>
    <row r="17" spans="1:4" x14ac:dyDescent="0.25">
      <c r="A17" s="4">
        <v>1</v>
      </c>
      <c r="B17" s="4" t="s">
        <v>17</v>
      </c>
      <c r="C17" s="56" t="s">
        <v>112</v>
      </c>
      <c r="D17" s="56"/>
    </row>
    <row r="18" spans="1:4" x14ac:dyDescent="0.25">
      <c r="A18" s="4">
        <v>2</v>
      </c>
      <c r="B18" s="4" t="s">
        <v>19</v>
      </c>
      <c r="C18" s="56" t="s">
        <v>113</v>
      </c>
      <c r="D18" s="56"/>
    </row>
    <row r="19" spans="1:4" x14ac:dyDescent="0.25">
      <c r="A19" s="4">
        <v>3</v>
      </c>
      <c r="B19" s="4" t="s">
        <v>21</v>
      </c>
      <c r="C19" s="57">
        <v>1100</v>
      </c>
      <c r="D19" s="57"/>
    </row>
    <row r="20" spans="1:4" x14ac:dyDescent="0.25">
      <c r="A20" s="4">
        <v>4</v>
      </c>
      <c r="B20" s="4" t="s">
        <v>22</v>
      </c>
      <c r="C20" s="56" t="s">
        <v>23</v>
      </c>
      <c r="D20" s="56"/>
    </row>
    <row r="21" spans="1:4" x14ac:dyDescent="0.25">
      <c r="A21" s="4">
        <v>5</v>
      </c>
      <c r="B21" s="4" t="s">
        <v>24</v>
      </c>
      <c r="C21" s="58">
        <v>44317</v>
      </c>
      <c r="D21" s="58"/>
    </row>
    <row r="23" spans="1:4" x14ac:dyDescent="0.25">
      <c r="A23" s="54" t="s">
        <v>25</v>
      </c>
      <c r="B23" s="54"/>
      <c r="C23" s="54"/>
      <c r="D23" s="54"/>
    </row>
    <row r="25" spans="1:4" ht="12.75" customHeight="1" x14ac:dyDescent="0.25">
      <c r="A25" s="10">
        <v>1</v>
      </c>
      <c r="B25" s="59" t="s">
        <v>26</v>
      </c>
      <c r="C25" s="59"/>
      <c r="D25" s="10" t="s">
        <v>27</v>
      </c>
    </row>
    <row r="26" spans="1:4" ht="12.75" customHeight="1" x14ac:dyDescent="0.25">
      <c r="A26" s="8" t="s">
        <v>2</v>
      </c>
      <c r="B26" s="60" t="s">
        <v>28</v>
      </c>
      <c r="C26" s="60"/>
      <c r="D26" s="12">
        <v>6117.28</v>
      </c>
    </row>
    <row r="27" spans="1:4" ht="12.75" customHeight="1" x14ac:dyDescent="0.25">
      <c r="A27" s="8" t="s">
        <v>4</v>
      </c>
      <c r="B27" s="60" t="s">
        <v>29</v>
      </c>
      <c r="C27" s="60"/>
      <c r="D27" s="12"/>
    </row>
    <row r="28" spans="1:4" ht="12.75" customHeight="1" x14ac:dyDescent="0.25">
      <c r="A28" s="8" t="s">
        <v>6</v>
      </c>
      <c r="B28" s="60" t="s">
        <v>30</v>
      </c>
      <c r="C28" s="60"/>
      <c r="D28" s="12"/>
    </row>
    <row r="29" spans="1:4" ht="12.75" customHeight="1" x14ac:dyDescent="0.25">
      <c r="A29" s="8" t="s">
        <v>8</v>
      </c>
      <c r="B29" s="60" t="s">
        <v>31</v>
      </c>
      <c r="C29" s="60"/>
      <c r="D29" s="12"/>
    </row>
    <row r="30" spans="1:4" ht="12.75" customHeight="1" x14ac:dyDescent="0.25">
      <c r="A30" s="8" t="s">
        <v>32</v>
      </c>
      <c r="B30" s="60" t="s">
        <v>33</v>
      </c>
      <c r="C30" s="60"/>
      <c r="D30" s="12"/>
    </row>
    <row r="31" spans="1:4" x14ac:dyDescent="0.25">
      <c r="A31" s="8"/>
      <c r="B31" s="60"/>
      <c r="C31" s="60"/>
      <c r="D31" s="12"/>
    </row>
    <row r="32" spans="1:4" ht="12.75" customHeight="1" x14ac:dyDescent="0.25">
      <c r="A32" s="8" t="s">
        <v>34</v>
      </c>
      <c r="B32" s="60" t="s">
        <v>35</v>
      </c>
      <c r="C32" s="60"/>
      <c r="D32" s="12"/>
    </row>
    <row r="33" spans="1:4" ht="12.75" customHeight="1" x14ac:dyDescent="0.25">
      <c r="A33" s="59" t="s">
        <v>36</v>
      </c>
      <c r="B33" s="59"/>
      <c r="C33" s="59"/>
      <c r="D33" s="13">
        <f>SUM(D26:D32)</f>
        <v>6117.28</v>
      </c>
    </row>
    <row r="36" spans="1:4" x14ac:dyDescent="0.25">
      <c r="A36" s="54" t="s">
        <v>37</v>
      </c>
      <c r="B36" s="54"/>
      <c r="C36" s="54"/>
      <c r="D36" s="54"/>
    </row>
    <row r="37" spans="1:4" x14ac:dyDescent="0.25">
      <c r="A37" s="14"/>
    </row>
    <row r="38" spans="1:4" x14ac:dyDescent="0.25">
      <c r="A38" s="61" t="s">
        <v>38</v>
      </c>
      <c r="B38" s="61"/>
      <c r="C38" s="61"/>
      <c r="D38" s="61"/>
    </row>
    <row r="40" spans="1:4" ht="12.75" customHeight="1" x14ac:dyDescent="0.25">
      <c r="A40" s="10" t="s">
        <v>39</v>
      </c>
      <c r="B40" s="59" t="s">
        <v>40</v>
      </c>
      <c r="C40" s="59"/>
      <c r="D40" s="10" t="s">
        <v>27</v>
      </c>
    </row>
    <row r="41" spans="1:4" x14ac:dyDescent="0.25">
      <c r="A41" s="8" t="s">
        <v>2</v>
      </c>
      <c r="B41" s="11" t="s">
        <v>41</v>
      </c>
      <c r="C41" s="15">
        <f>TRUNC(1/12,4)</f>
        <v>8.3299999999999999E-2</v>
      </c>
      <c r="D41" s="12">
        <f>TRUNC($D$33*C41,2)</f>
        <v>509.56</v>
      </c>
    </row>
    <row r="42" spans="1:4" x14ac:dyDescent="0.25">
      <c r="A42" s="8" t="s">
        <v>4</v>
      </c>
      <c r="B42" s="11" t="s">
        <v>42</v>
      </c>
      <c r="C42" s="15">
        <f>TRUNC(((1+1/3)/12),4)</f>
        <v>0.1111</v>
      </c>
      <c r="D42" s="12">
        <f>TRUNC($D$33*C42,2)</f>
        <v>679.62</v>
      </c>
    </row>
    <row r="43" spans="1:4" ht="12.75" customHeight="1" x14ac:dyDescent="0.25">
      <c r="A43" s="59" t="s">
        <v>36</v>
      </c>
      <c r="B43" s="59"/>
      <c r="C43" s="16">
        <f>SUM(C41:C42)</f>
        <v>0.19440000000000002</v>
      </c>
      <c r="D43" s="17">
        <f>SUM(D41:D42)</f>
        <v>1189.18</v>
      </c>
    </row>
    <row r="46" spans="1:4" ht="12.75" customHeight="1" x14ac:dyDescent="0.25">
      <c r="A46" s="62" t="s">
        <v>43</v>
      </c>
      <c r="B46" s="62"/>
      <c r="C46" s="62"/>
      <c r="D46" s="62"/>
    </row>
    <row r="48" spans="1:4" x14ac:dyDescent="0.25">
      <c r="A48" s="10" t="s">
        <v>44</v>
      </c>
      <c r="B48" s="10" t="s">
        <v>45</v>
      </c>
      <c r="C48" s="10" t="s">
        <v>46</v>
      </c>
      <c r="D48" s="10" t="s">
        <v>27</v>
      </c>
    </row>
    <row r="49" spans="1:4" x14ac:dyDescent="0.25">
      <c r="A49" s="8" t="s">
        <v>2</v>
      </c>
      <c r="B49" s="11" t="s">
        <v>47</v>
      </c>
      <c r="C49" s="18">
        <v>0.2</v>
      </c>
      <c r="D49" s="12">
        <f t="shared" ref="D49:D56" si="0">TRUNC(($D$33+$D$43)*C49,2)</f>
        <v>1461.29</v>
      </c>
    </row>
    <row r="50" spans="1:4" x14ac:dyDescent="0.25">
      <c r="A50" s="8" t="s">
        <v>4</v>
      </c>
      <c r="B50" s="11" t="s">
        <v>48</v>
      </c>
      <c r="C50" s="18">
        <v>2.5000000000000001E-2</v>
      </c>
      <c r="D50" s="12">
        <f t="shared" si="0"/>
        <v>182.66</v>
      </c>
    </row>
    <row r="51" spans="1:4" x14ac:dyDescent="0.25">
      <c r="A51" s="8" t="s">
        <v>6</v>
      </c>
      <c r="B51" s="11" t="s">
        <v>49</v>
      </c>
      <c r="C51" s="19">
        <v>0.03</v>
      </c>
      <c r="D51" s="12">
        <f t="shared" si="0"/>
        <v>219.19</v>
      </c>
    </row>
    <row r="52" spans="1:4" x14ac:dyDescent="0.25">
      <c r="A52" s="8" t="s">
        <v>8</v>
      </c>
      <c r="B52" s="11" t="s">
        <v>50</v>
      </c>
      <c r="C52" s="18">
        <v>1.4999999999999999E-2</v>
      </c>
      <c r="D52" s="12">
        <f t="shared" si="0"/>
        <v>109.59</v>
      </c>
    </row>
    <row r="53" spans="1:4" x14ac:dyDescent="0.25">
      <c r="A53" s="8" t="s">
        <v>32</v>
      </c>
      <c r="B53" s="11" t="s">
        <v>51</v>
      </c>
      <c r="C53" s="18">
        <v>0.01</v>
      </c>
      <c r="D53" s="12">
        <f t="shared" si="0"/>
        <v>73.06</v>
      </c>
    </row>
    <row r="54" spans="1:4" x14ac:dyDescent="0.25">
      <c r="A54" s="8" t="s">
        <v>52</v>
      </c>
      <c r="B54" s="11" t="s">
        <v>53</v>
      </c>
      <c r="C54" s="18">
        <v>6.0000000000000001E-3</v>
      </c>
      <c r="D54" s="12">
        <f t="shared" si="0"/>
        <v>43.83</v>
      </c>
    </row>
    <row r="55" spans="1:4" x14ac:dyDescent="0.25">
      <c r="A55" s="8" t="s">
        <v>34</v>
      </c>
      <c r="B55" s="11" t="s">
        <v>54</v>
      </c>
      <c r="C55" s="18">
        <v>2E-3</v>
      </c>
      <c r="D55" s="12">
        <f t="shared" si="0"/>
        <v>14.61</v>
      </c>
    </row>
    <row r="56" spans="1:4" x14ac:dyDescent="0.25">
      <c r="A56" s="8" t="s">
        <v>55</v>
      </c>
      <c r="B56" s="11" t="s">
        <v>56</v>
      </c>
      <c r="C56" s="18">
        <v>0.08</v>
      </c>
      <c r="D56" s="12">
        <f t="shared" si="0"/>
        <v>584.51</v>
      </c>
    </row>
    <row r="57" spans="1:4" ht="12.75" customHeight="1" x14ac:dyDescent="0.25">
      <c r="A57" s="59" t="s">
        <v>57</v>
      </c>
      <c r="B57" s="59"/>
      <c r="C57" s="20">
        <f>SUM(C49:C56)</f>
        <v>0.36800000000000005</v>
      </c>
      <c r="D57" s="17">
        <f>SUM(D49:D56)</f>
        <v>2688.74</v>
      </c>
    </row>
    <row r="60" spans="1:4" x14ac:dyDescent="0.25">
      <c r="A60" s="61" t="s">
        <v>58</v>
      </c>
      <c r="B60" s="61"/>
      <c r="C60" s="61"/>
      <c r="D60" s="61"/>
    </row>
    <row r="62" spans="1:4" ht="12.75" customHeight="1" x14ac:dyDescent="0.25">
      <c r="A62" s="10" t="s">
        <v>59</v>
      </c>
      <c r="B62" s="63" t="s">
        <v>60</v>
      </c>
      <c r="C62" s="63"/>
      <c r="D62" s="10" t="s">
        <v>27</v>
      </c>
    </row>
    <row r="63" spans="1:4" ht="12.75" customHeight="1" x14ac:dyDescent="0.25">
      <c r="A63" s="8" t="s">
        <v>2</v>
      </c>
      <c r="B63" s="60" t="s">
        <v>61</v>
      </c>
      <c r="C63" s="60"/>
      <c r="D63" s="12">
        <f>IF((23*2*4.4)-(D26*0.06)&gt;0,(23*2*4.4)-(D26*0.06),0)</f>
        <v>0</v>
      </c>
    </row>
    <row r="64" spans="1:4" ht="12.75" customHeight="1" x14ac:dyDescent="0.25">
      <c r="A64" s="8" t="s">
        <v>4</v>
      </c>
      <c r="B64" s="60" t="s">
        <v>62</v>
      </c>
      <c r="C64" s="60"/>
      <c r="D64" s="12">
        <f>23*29*0.9</f>
        <v>600.30000000000007</v>
      </c>
    </row>
    <row r="65" spans="1:5" ht="12.75" customHeight="1" x14ac:dyDescent="0.25">
      <c r="A65" s="8" t="s">
        <v>6</v>
      </c>
      <c r="B65" s="60" t="s">
        <v>63</v>
      </c>
      <c r="C65" s="60"/>
      <c r="D65" s="12">
        <f>200*0.7</f>
        <v>140</v>
      </c>
    </row>
    <row r="66" spans="1:5" ht="12.75" customHeight="1" x14ac:dyDescent="0.25">
      <c r="A66" s="8" t="s">
        <v>8</v>
      </c>
      <c r="B66" s="60" t="s">
        <v>35</v>
      </c>
      <c r="C66" s="60"/>
      <c r="D66" s="12"/>
    </row>
    <row r="67" spans="1:5" ht="12.75" customHeight="1" x14ac:dyDescent="0.25">
      <c r="A67" s="59" t="s">
        <v>36</v>
      </c>
      <c r="B67" s="59"/>
      <c r="C67" s="59"/>
      <c r="D67" s="17">
        <f>SUM(D63:D66)</f>
        <v>740.30000000000007</v>
      </c>
    </row>
    <row r="70" spans="1:5" x14ac:dyDescent="0.25">
      <c r="A70" s="61" t="s">
        <v>64</v>
      </c>
      <c r="B70" s="61"/>
      <c r="C70" s="61"/>
      <c r="D70" s="61"/>
    </row>
    <row r="72" spans="1:5" ht="12.75" customHeight="1" x14ac:dyDescent="0.25">
      <c r="A72" s="10">
        <v>2</v>
      </c>
      <c r="B72" s="63" t="s">
        <v>65</v>
      </c>
      <c r="C72" s="63"/>
      <c r="D72" s="10" t="s">
        <v>27</v>
      </c>
    </row>
    <row r="73" spans="1:5" ht="12.75" customHeight="1" x14ac:dyDescent="0.25">
      <c r="A73" s="8" t="s">
        <v>39</v>
      </c>
      <c r="B73" s="60" t="s">
        <v>40</v>
      </c>
      <c r="C73" s="60"/>
      <c r="D73" s="21">
        <f>D43</f>
        <v>1189.18</v>
      </c>
    </row>
    <row r="74" spans="1:5" ht="12.75" customHeight="1" x14ac:dyDescent="0.25">
      <c r="A74" s="8" t="s">
        <v>44</v>
      </c>
      <c r="B74" s="60" t="s">
        <v>45</v>
      </c>
      <c r="C74" s="60"/>
      <c r="D74" s="21">
        <f>D57</f>
        <v>2688.74</v>
      </c>
    </row>
    <row r="75" spans="1:5" ht="12.75" customHeight="1" x14ac:dyDescent="0.25">
      <c r="A75" s="8" t="s">
        <v>59</v>
      </c>
      <c r="B75" s="60" t="s">
        <v>60</v>
      </c>
      <c r="C75" s="60"/>
      <c r="D75" s="21">
        <f>D67</f>
        <v>740.30000000000007</v>
      </c>
    </row>
    <row r="76" spans="1:5" ht="12.75" customHeight="1" x14ac:dyDescent="0.25">
      <c r="A76" s="59" t="s">
        <v>36</v>
      </c>
      <c r="B76" s="59"/>
      <c r="C76" s="59"/>
      <c r="D76" s="17">
        <f>SUM(D73:D75)</f>
        <v>4618.22</v>
      </c>
    </row>
    <row r="77" spans="1:5" x14ac:dyDescent="0.25">
      <c r="A77" s="22"/>
      <c r="E77" s="23"/>
    </row>
    <row r="79" spans="1:5" x14ac:dyDescent="0.25">
      <c r="A79" s="54" t="s">
        <v>66</v>
      </c>
      <c r="B79" s="54"/>
      <c r="C79" s="54"/>
      <c r="D79" s="54"/>
      <c r="E79" s="24"/>
    </row>
    <row r="80" spans="1:5" ht="12.75" customHeight="1" x14ac:dyDescent="0.25">
      <c r="E80" s="23"/>
    </row>
    <row r="81" spans="1:4" ht="12.75" customHeight="1" x14ac:dyDescent="0.25">
      <c r="A81" s="10">
        <v>3</v>
      </c>
      <c r="B81" s="63" t="s">
        <v>67</v>
      </c>
      <c r="C81" s="63"/>
      <c r="D81" s="10" t="s">
        <v>27</v>
      </c>
    </row>
    <row r="82" spans="1:4" x14ac:dyDescent="0.25">
      <c r="A82" s="8" t="s">
        <v>2</v>
      </c>
      <c r="B82" s="25" t="s">
        <v>68</v>
      </c>
      <c r="C82" s="18">
        <f>TRUNC(((1/12)*5%),4)</f>
        <v>4.1000000000000003E-3</v>
      </c>
      <c r="D82" s="12">
        <f>TRUNC($D$33*C82,2)</f>
        <v>25.08</v>
      </c>
    </row>
    <row r="83" spans="1:4" x14ac:dyDescent="0.25">
      <c r="A83" s="8" t="s">
        <v>4</v>
      </c>
      <c r="B83" s="25" t="s">
        <v>69</v>
      </c>
      <c r="C83" s="18">
        <v>0.08</v>
      </c>
      <c r="D83" s="12">
        <f>TRUNC(D82*C83,2)</f>
        <v>2</v>
      </c>
    </row>
    <row r="84" spans="1:4" x14ac:dyDescent="0.25">
      <c r="A84" s="8" t="s">
        <v>6</v>
      </c>
      <c r="B84" s="25" t="s">
        <v>70</v>
      </c>
      <c r="C84" s="18">
        <f>TRUNC(8%*5%*40%,4)</f>
        <v>1.6000000000000001E-3</v>
      </c>
      <c r="D84" s="12">
        <f>TRUNC($D$33*C84,2)</f>
        <v>9.7799999999999994</v>
      </c>
    </row>
    <row r="85" spans="1:4" x14ac:dyDescent="0.25">
      <c r="A85" s="8" t="s">
        <v>8</v>
      </c>
      <c r="B85" s="25" t="s">
        <v>71</v>
      </c>
      <c r="C85" s="18">
        <f>TRUNC(((7/30)/12)*95%,4)</f>
        <v>1.84E-2</v>
      </c>
      <c r="D85" s="12">
        <f>TRUNC($D$33*C85,2)</f>
        <v>112.55</v>
      </c>
    </row>
    <row r="86" spans="1:4" ht="25.5" x14ac:dyDescent="0.25">
      <c r="A86" s="8" t="s">
        <v>32</v>
      </c>
      <c r="B86" s="25" t="s">
        <v>72</v>
      </c>
      <c r="C86" s="18">
        <f>C57</f>
        <v>0.36800000000000005</v>
      </c>
      <c r="D86" s="12">
        <f>TRUNC(D85*C86,2)</f>
        <v>41.41</v>
      </c>
    </row>
    <row r="87" spans="1:4" x14ac:dyDescent="0.25">
      <c r="A87" s="8" t="s">
        <v>52</v>
      </c>
      <c r="B87" s="25" t="s">
        <v>73</v>
      </c>
      <c r="C87" s="18">
        <f>TRUNC(8%*95%*40%,4)</f>
        <v>3.04E-2</v>
      </c>
      <c r="D87" s="12">
        <f>TRUNC($D$33*C87,2)</f>
        <v>185.96</v>
      </c>
    </row>
    <row r="88" spans="1:4" ht="12.75" customHeight="1" x14ac:dyDescent="0.25">
      <c r="A88" s="59" t="s">
        <v>36</v>
      </c>
      <c r="B88" s="59"/>
      <c r="C88" s="59"/>
      <c r="D88" s="17">
        <f>SUM(D82:D87)</f>
        <v>376.78</v>
      </c>
    </row>
    <row r="91" spans="1:4" x14ac:dyDescent="0.25">
      <c r="A91" s="54" t="s">
        <v>74</v>
      </c>
      <c r="B91" s="54"/>
      <c r="C91" s="54"/>
      <c r="D91" s="54"/>
    </row>
    <row r="94" spans="1:4" x14ac:dyDescent="0.25">
      <c r="A94" s="61" t="s">
        <v>75</v>
      </c>
      <c r="B94" s="61"/>
      <c r="C94" s="61"/>
      <c r="D94" s="61"/>
    </row>
    <row r="95" spans="1:4" x14ac:dyDescent="0.25">
      <c r="A95" s="14"/>
    </row>
    <row r="96" spans="1:4" ht="12.75" customHeight="1" x14ac:dyDescent="0.25">
      <c r="A96" s="10" t="s">
        <v>76</v>
      </c>
      <c r="B96" s="63" t="s">
        <v>77</v>
      </c>
      <c r="C96" s="63"/>
      <c r="D96" s="10" t="s">
        <v>27</v>
      </c>
    </row>
    <row r="97" spans="1:6" x14ac:dyDescent="0.25">
      <c r="A97" s="8" t="s">
        <v>2</v>
      </c>
      <c r="B97" s="11" t="s">
        <v>78</v>
      </c>
      <c r="C97" s="18">
        <f>TRUNC(((1+1/3)/12)/12,4)</f>
        <v>9.1999999999999998E-3</v>
      </c>
      <c r="D97" s="12">
        <f t="shared" ref="D97:D102" si="1">TRUNC(($D$33+$D$76+$D$88)*C97,2)</f>
        <v>102.23</v>
      </c>
    </row>
    <row r="98" spans="1:6" x14ac:dyDescent="0.25">
      <c r="A98" s="8" t="s">
        <v>4</v>
      </c>
      <c r="B98" s="11" t="s">
        <v>79</v>
      </c>
      <c r="C98" s="18">
        <f>TRUNC(((2/30)/12),4)</f>
        <v>5.4999999999999997E-3</v>
      </c>
      <c r="D98" s="12">
        <f t="shared" si="1"/>
        <v>61.11</v>
      </c>
    </row>
    <row r="99" spans="1:6" x14ac:dyDescent="0.25">
      <c r="A99" s="8" t="s">
        <v>6</v>
      </c>
      <c r="B99" s="11" t="s">
        <v>80</v>
      </c>
      <c r="C99" s="18">
        <f>TRUNC(((5/30)/12)*2%,4)</f>
        <v>2.0000000000000001E-4</v>
      </c>
      <c r="D99" s="12">
        <f t="shared" si="1"/>
        <v>2.2200000000000002</v>
      </c>
    </row>
    <row r="100" spans="1:6" x14ac:dyDescent="0.25">
      <c r="A100" s="8" t="s">
        <v>8</v>
      </c>
      <c r="B100" s="11" t="s">
        <v>81</v>
      </c>
      <c r="C100" s="18">
        <f>TRUNC(((15/30)/12)*8%,4)</f>
        <v>3.3E-3</v>
      </c>
      <c r="D100" s="12">
        <f t="shared" si="1"/>
        <v>36.67</v>
      </c>
    </row>
    <row r="101" spans="1:6" x14ac:dyDescent="0.25">
      <c r="A101" s="8" t="s">
        <v>32</v>
      </c>
      <c r="B101" s="11" t="s">
        <v>82</v>
      </c>
      <c r="C101" s="18">
        <f>((1+1/3)/12)*3%*(6/12)</f>
        <v>1.6666666666666666E-3</v>
      </c>
      <c r="D101" s="12">
        <f t="shared" si="1"/>
        <v>18.52</v>
      </c>
    </row>
    <row r="102" spans="1:6" x14ac:dyDescent="0.25">
      <c r="A102" s="8" t="s">
        <v>52</v>
      </c>
      <c r="B102" s="11" t="s">
        <v>83</v>
      </c>
      <c r="C102" s="18"/>
      <c r="D102" s="12">
        <f t="shared" si="1"/>
        <v>0</v>
      </c>
    </row>
    <row r="103" spans="1:6" ht="12.75" customHeight="1" x14ac:dyDescent="0.25">
      <c r="A103" s="59" t="s">
        <v>57</v>
      </c>
      <c r="B103" s="59"/>
      <c r="C103" s="59"/>
      <c r="D103" s="17">
        <f>SUM(D97:D102)</f>
        <v>220.75000000000003</v>
      </c>
      <c r="E103" s="24"/>
      <c r="F103" s="24"/>
    </row>
    <row r="106" spans="1:6" x14ac:dyDescent="0.25">
      <c r="A106" s="61" t="s">
        <v>84</v>
      </c>
      <c r="B106" s="61"/>
      <c r="C106" s="61"/>
      <c r="D106" s="61"/>
    </row>
    <row r="107" spans="1:6" x14ac:dyDescent="0.25">
      <c r="A107" s="14"/>
    </row>
    <row r="108" spans="1:6" ht="12.75" customHeight="1" x14ac:dyDescent="0.25">
      <c r="A108" s="10" t="s">
        <v>85</v>
      </c>
      <c r="B108" s="63" t="s">
        <v>86</v>
      </c>
      <c r="C108" s="63"/>
      <c r="D108" s="10" t="s">
        <v>27</v>
      </c>
    </row>
    <row r="109" spans="1:6" ht="12.75" customHeight="1" x14ac:dyDescent="0.25">
      <c r="A109" s="8" t="s">
        <v>2</v>
      </c>
      <c r="B109" s="60" t="s">
        <v>87</v>
      </c>
      <c r="C109" s="60"/>
      <c r="D109" s="12">
        <f>((D33+D76+D88)/220)*22*0</f>
        <v>0</v>
      </c>
    </row>
    <row r="110" spans="1:6" ht="12.75" customHeight="1" x14ac:dyDescent="0.25">
      <c r="A110" s="59" t="s">
        <v>36</v>
      </c>
      <c r="B110" s="59"/>
      <c r="C110" s="59"/>
      <c r="D110" s="17">
        <f>SUM(D109)</f>
        <v>0</v>
      </c>
    </row>
    <row r="113" spans="1:4" x14ac:dyDescent="0.25">
      <c r="A113" s="61" t="s">
        <v>88</v>
      </c>
      <c r="B113" s="61"/>
      <c r="C113" s="61"/>
      <c r="D113" s="61"/>
    </row>
    <row r="114" spans="1:4" x14ac:dyDescent="0.25">
      <c r="A114" s="14"/>
    </row>
    <row r="115" spans="1:4" ht="12.75" customHeight="1" x14ac:dyDescent="0.25">
      <c r="A115" s="10">
        <v>4</v>
      </c>
      <c r="B115" s="59" t="s">
        <v>89</v>
      </c>
      <c r="C115" s="59"/>
      <c r="D115" s="10" t="s">
        <v>27</v>
      </c>
    </row>
    <row r="116" spans="1:4" ht="12.75" customHeight="1" x14ac:dyDescent="0.25">
      <c r="A116" s="8" t="s">
        <v>76</v>
      </c>
      <c r="B116" s="60" t="s">
        <v>77</v>
      </c>
      <c r="C116" s="60"/>
      <c r="D116" s="21">
        <f>D103</f>
        <v>220.75000000000003</v>
      </c>
    </row>
    <row r="117" spans="1:4" ht="12.75" customHeight="1" x14ac:dyDescent="0.25">
      <c r="A117" s="8" t="s">
        <v>85</v>
      </c>
      <c r="B117" s="60" t="s">
        <v>86</v>
      </c>
      <c r="C117" s="60"/>
      <c r="D117" s="21">
        <f>D110</f>
        <v>0</v>
      </c>
    </row>
    <row r="118" spans="1:4" ht="12.75" customHeight="1" x14ac:dyDescent="0.25">
      <c r="A118" s="59" t="s">
        <v>36</v>
      </c>
      <c r="B118" s="59"/>
      <c r="C118" s="59"/>
      <c r="D118" s="17">
        <f>SUM(D116:D117)</f>
        <v>220.75000000000003</v>
      </c>
    </row>
    <row r="121" spans="1:4" x14ac:dyDescent="0.25">
      <c r="A121" s="54" t="s">
        <v>90</v>
      </c>
      <c r="B121" s="54"/>
      <c r="C121" s="54"/>
      <c r="D121" s="54"/>
    </row>
    <row r="123" spans="1:4" ht="12.75" customHeight="1" x14ac:dyDescent="0.25">
      <c r="A123" s="10">
        <v>5</v>
      </c>
      <c r="B123" s="64" t="s">
        <v>91</v>
      </c>
      <c r="C123" s="64"/>
      <c r="D123" s="10" t="s">
        <v>27</v>
      </c>
    </row>
    <row r="124" spans="1:4" x14ac:dyDescent="0.25">
      <c r="A124" s="8" t="s">
        <v>2</v>
      </c>
      <c r="B124" s="11" t="s">
        <v>92</v>
      </c>
      <c r="C124" s="11"/>
      <c r="D124" s="12">
        <v>0.43</v>
      </c>
    </row>
    <row r="125" spans="1:4" x14ac:dyDescent="0.25">
      <c r="A125" s="8" t="s">
        <v>4</v>
      </c>
      <c r="B125" s="11" t="s">
        <v>93</v>
      </c>
      <c r="C125" s="11"/>
      <c r="D125" s="12"/>
    </row>
    <row r="126" spans="1:4" x14ac:dyDescent="0.25">
      <c r="A126" s="8" t="s">
        <v>6</v>
      </c>
      <c r="B126" s="11" t="s">
        <v>94</v>
      </c>
      <c r="C126" s="11"/>
      <c r="D126" s="12"/>
    </row>
    <row r="127" spans="1:4" x14ac:dyDescent="0.25">
      <c r="A127" s="8" t="s">
        <v>8</v>
      </c>
      <c r="B127" s="11" t="s">
        <v>35</v>
      </c>
      <c r="C127" s="11"/>
      <c r="D127" s="12"/>
    </row>
    <row r="128" spans="1:4" ht="12.75" customHeight="1" x14ac:dyDescent="0.25">
      <c r="A128" s="59" t="s">
        <v>57</v>
      </c>
      <c r="B128" s="59"/>
      <c r="C128" s="59"/>
      <c r="D128" s="13">
        <f>SUM(D124:D127)</f>
        <v>0.43</v>
      </c>
    </row>
    <row r="131" spans="1:4" x14ac:dyDescent="0.25">
      <c r="A131" s="54" t="s">
        <v>95</v>
      </c>
      <c r="B131" s="54"/>
      <c r="C131" s="54"/>
      <c r="D131" s="54"/>
    </row>
    <row r="133" spans="1:4" x14ac:dyDescent="0.25">
      <c r="A133" s="10">
        <v>6</v>
      </c>
      <c r="B133" s="26" t="s">
        <v>96</v>
      </c>
      <c r="C133" s="10" t="s">
        <v>46</v>
      </c>
      <c r="D133" s="10" t="s">
        <v>27</v>
      </c>
    </row>
    <row r="134" spans="1:4" x14ac:dyDescent="0.25">
      <c r="A134" s="8" t="s">
        <v>2</v>
      </c>
      <c r="B134" s="11" t="s">
        <v>97</v>
      </c>
      <c r="C134" s="18">
        <v>0.05</v>
      </c>
      <c r="D134" s="21">
        <f>D154*C134</f>
        <v>566.67300000000012</v>
      </c>
    </row>
    <row r="135" spans="1:4" x14ac:dyDescent="0.25">
      <c r="A135" s="8" t="s">
        <v>4</v>
      </c>
      <c r="B135" s="11" t="s">
        <v>98</v>
      </c>
      <c r="C135" s="18">
        <v>0.06</v>
      </c>
      <c r="D135" s="12">
        <f>(D154+D134)*C135</f>
        <v>714.00798000000009</v>
      </c>
    </row>
    <row r="136" spans="1:4" x14ac:dyDescent="0.25">
      <c r="A136" s="8" t="s">
        <v>6</v>
      </c>
      <c r="B136" s="11" t="s">
        <v>99</v>
      </c>
      <c r="C136" s="15">
        <f>SUM(C137:C142)</f>
        <v>8.6499999999999994E-2</v>
      </c>
      <c r="D136" s="12">
        <f>(D154+D134+D135)*C136/(1-C136)</f>
        <v>1194.4424682758622</v>
      </c>
    </row>
    <row r="137" spans="1:4" x14ac:dyDescent="0.25">
      <c r="A137" s="8"/>
      <c r="B137" s="11" t="s">
        <v>100</v>
      </c>
      <c r="C137" s="18"/>
      <c r="D137" s="21">
        <f t="shared" ref="D137:D142" si="2">$D$156*C137</f>
        <v>0</v>
      </c>
    </row>
    <row r="138" spans="1:4" x14ac:dyDescent="0.25">
      <c r="A138" s="8"/>
      <c r="B138" s="11" t="s">
        <v>101</v>
      </c>
      <c r="C138" s="18">
        <v>6.4999999999999997E-3</v>
      </c>
      <c r="D138" s="21">
        <f t="shared" si="2"/>
        <v>89.755769999999998</v>
      </c>
    </row>
    <row r="139" spans="1:4" x14ac:dyDescent="0.25">
      <c r="A139" s="8"/>
      <c r="B139" s="11" t="s">
        <v>102</v>
      </c>
      <c r="C139" s="18">
        <v>0.03</v>
      </c>
      <c r="D139" s="21">
        <f t="shared" si="2"/>
        <v>414.25739999999996</v>
      </c>
    </row>
    <row r="140" spans="1:4" x14ac:dyDescent="0.25">
      <c r="A140" s="8"/>
      <c r="B140" s="11" t="s">
        <v>103</v>
      </c>
      <c r="C140" s="8"/>
      <c r="D140" s="21">
        <f t="shared" si="2"/>
        <v>0</v>
      </c>
    </row>
    <row r="141" spans="1:4" x14ac:dyDescent="0.25">
      <c r="A141" s="8"/>
      <c r="B141" s="11" t="s">
        <v>104</v>
      </c>
      <c r="C141" s="18"/>
      <c r="D141" s="21">
        <f t="shared" si="2"/>
        <v>0</v>
      </c>
    </row>
    <row r="142" spans="1:4" x14ac:dyDescent="0.25">
      <c r="A142" s="8"/>
      <c r="B142" s="11" t="s">
        <v>105</v>
      </c>
      <c r="C142" s="18">
        <v>0.05</v>
      </c>
      <c r="D142" s="21">
        <f t="shared" si="2"/>
        <v>690.42900000000009</v>
      </c>
    </row>
    <row r="143" spans="1:4" ht="13.5" customHeight="1" x14ac:dyDescent="0.25">
      <c r="A143" s="65" t="s">
        <v>57</v>
      </c>
      <c r="B143" s="65"/>
      <c r="C143" s="27">
        <f>(1+C135)*(1+C134)/(1-C136)-1</f>
        <v>0.21839080459770144</v>
      </c>
      <c r="D143" s="17">
        <f>SUM(D134:D136)</f>
        <v>2475.1234482758623</v>
      </c>
    </row>
    <row r="146" spans="1:4" x14ac:dyDescent="0.25">
      <c r="A146" s="54" t="s">
        <v>106</v>
      </c>
      <c r="B146" s="54"/>
      <c r="C146" s="54"/>
      <c r="D146" s="54"/>
    </row>
    <row r="148" spans="1:4" ht="12.75" customHeight="1" x14ac:dyDescent="0.25">
      <c r="A148" s="10"/>
      <c r="B148" s="59" t="s">
        <v>107</v>
      </c>
      <c r="C148" s="59"/>
      <c r="D148" s="10" t="s">
        <v>27</v>
      </c>
    </row>
    <row r="149" spans="1:4" ht="12.75" customHeight="1" x14ac:dyDescent="0.25">
      <c r="A149" s="10" t="s">
        <v>2</v>
      </c>
      <c r="B149" s="60" t="s">
        <v>25</v>
      </c>
      <c r="C149" s="60"/>
      <c r="D149" s="28">
        <f>D33</f>
        <v>6117.28</v>
      </c>
    </row>
    <row r="150" spans="1:4" ht="12.75" customHeight="1" x14ac:dyDescent="0.25">
      <c r="A150" s="10" t="s">
        <v>4</v>
      </c>
      <c r="B150" s="60" t="s">
        <v>37</v>
      </c>
      <c r="C150" s="60"/>
      <c r="D150" s="28">
        <f>D76</f>
        <v>4618.22</v>
      </c>
    </row>
    <row r="151" spans="1:4" ht="12.75" customHeight="1" x14ac:dyDescent="0.25">
      <c r="A151" s="10" t="s">
        <v>6</v>
      </c>
      <c r="B151" s="60" t="s">
        <v>66</v>
      </c>
      <c r="C151" s="60"/>
      <c r="D151" s="28">
        <f>D88</f>
        <v>376.78</v>
      </c>
    </row>
    <row r="152" spans="1:4" ht="12.75" customHeight="1" x14ac:dyDescent="0.25">
      <c r="A152" s="10" t="s">
        <v>8</v>
      </c>
      <c r="B152" s="60" t="s">
        <v>74</v>
      </c>
      <c r="C152" s="60"/>
      <c r="D152" s="28">
        <f>D118</f>
        <v>220.75000000000003</v>
      </c>
    </row>
    <row r="153" spans="1:4" ht="12.75" customHeight="1" x14ac:dyDescent="0.25">
      <c r="A153" s="10" t="s">
        <v>32</v>
      </c>
      <c r="B153" s="60" t="s">
        <v>90</v>
      </c>
      <c r="C153" s="60"/>
      <c r="D153" s="28">
        <f>D128</f>
        <v>0.43</v>
      </c>
    </row>
    <row r="154" spans="1:4" ht="12.75" customHeight="1" x14ac:dyDescent="0.25">
      <c r="A154" s="59" t="s">
        <v>108</v>
      </c>
      <c r="B154" s="59"/>
      <c r="C154" s="59"/>
      <c r="D154" s="29">
        <f>SUM(D149:D153)</f>
        <v>11333.460000000001</v>
      </c>
    </row>
    <row r="155" spans="1:4" ht="12.75" customHeight="1" x14ac:dyDescent="0.25">
      <c r="A155" s="10" t="s">
        <v>52</v>
      </c>
      <c r="B155" s="60" t="s">
        <v>109</v>
      </c>
      <c r="C155" s="60"/>
      <c r="D155" s="30">
        <f>D143</f>
        <v>2475.1234482758623</v>
      </c>
    </row>
    <row r="156" spans="1:4" ht="12.75" customHeight="1" x14ac:dyDescent="0.25">
      <c r="A156" s="59" t="s">
        <v>110</v>
      </c>
      <c r="B156" s="59"/>
      <c r="C156" s="59"/>
      <c r="D156" s="29">
        <f>TRUNC(SUM(D154:D155),2)</f>
        <v>13808.58</v>
      </c>
    </row>
  </sheetData>
  <mergeCells count="71">
    <mergeCell ref="A156:C156"/>
    <mergeCell ref="B151:C151"/>
    <mergeCell ref="B152:C152"/>
    <mergeCell ref="B153:C153"/>
    <mergeCell ref="A154:C154"/>
    <mergeCell ref="B155:C155"/>
    <mergeCell ref="A143:B143"/>
    <mergeCell ref="A146:D146"/>
    <mergeCell ref="B148:C148"/>
    <mergeCell ref="B149:C149"/>
    <mergeCell ref="B150:C150"/>
    <mergeCell ref="A118:C118"/>
    <mergeCell ref="A121:D121"/>
    <mergeCell ref="B123:C123"/>
    <mergeCell ref="A128:C128"/>
    <mergeCell ref="A131:D131"/>
    <mergeCell ref="A110:C110"/>
    <mergeCell ref="A113:D113"/>
    <mergeCell ref="B115:C115"/>
    <mergeCell ref="B116:C116"/>
    <mergeCell ref="B117:C117"/>
    <mergeCell ref="B96:C96"/>
    <mergeCell ref="A103:C103"/>
    <mergeCell ref="A106:D106"/>
    <mergeCell ref="B108:C108"/>
    <mergeCell ref="B109:C109"/>
    <mergeCell ref="A79:D79"/>
    <mergeCell ref="B81:C81"/>
    <mergeCell ref="A88:C88"/>
    <mergeCell ref="A91:D91"/>
    <mergeCell ref="A94:D94"/>
    <mergeCell ref="B72:C72"/>
    <mergeCell ref="B73:C73"/>
    <mergeCell ref="B74:C74"/>
    <mergeCell ref="B75:C75"/>
    <mergeCell ref="A76:C76"/>
    <mergeCell ref="B64:C64"/>
    <mergeCell ref="B65:C65"/>
    <mergeCell ref="B66:C66"/>
    <mergeCell ref="A67:C67"/>
    <mergeCell ref="A70:D70"/>
    <mergeCell ref="A46:D46"/>
    <mergeCell ref="A57:B57"/>
    <mergeCell ref="A60:D60"/>
    <mergeCell ref="B62:C62"/>
    <mergeCell ref="B63:C63"/>
    <mergeCell ref="A33:C33"/>
    <mergeCell ref="A36:D36"/>
    <mergeCell ref="A38:D38"/>
    <mergeCell ref="B40:C40"/>
    <mergeCell ref="A43:B43"/>
    <mergeCell ref="B28:C28"/>
    <mergeCell ref="B29:C29"/>
    <mergeCell ref="B30:C30"/>
    <mergeCell ref="B31:C31"/>
    <mergeCell ref="B32:C32"/>
    <mergeCell ref="C21:D21"/>
    <mergeCell ref="A23:D23"/>
    <mergeCell ref="B25:C25"/>
    <mergeCell ref="B26:C26"/>
    <mergeCell ref="B27:C27"/>
    <mergeCell ref="A15:D15"/>
    <mergeCell ref="C17:D17"/>
    <mergeCell ref="C18:D18"/>
    <mergeCell ref="C19:D19"/>
    <mergeCell ref="C20:D20"/>
    <mergeCell ref="A1:D1"/>
    <mergeCell ref="A3:D3"/>
    <mergeCell ref="A10:D10"/>
    <mergeCell ref="A12:B12"/>
    <mergeCell ref="A13:B13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56"/>
  <sheetViews>
    <sheetView view="pageBreakPreview" topLeftCell="A130" zoomScaleNormal="115" workbookViewId="0">
      <selection activeCell="D134" sqref="D134"/>
    </sheetView>
  </sheetViews>
  <sheetFormatPr defaultColWidth="9.140625" defaultRowHeight="15" x14ac:dyDescent="0.25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024" width="9.140625" style="1"/>
  </cols>
  <sheetData>
    <row r="1" spans="1:4" ht="15.75" x14ac:dyDescent="0.25">
      <c r="A1" s="53" t="s">
        <v>0</v>
      </c>
      <c r="B1" s="53"/>
      <c r="C1" s="53"/>
      <c r="D1" s="53"/>
    </row>
    <row r="2" spans="1:4" ht="15.75" x14ac:dyDescent="0.25">
      <c r="A2" s="2"/>
      <c r="B2" s="2"/>
      <c r="C2" s="2"/>
      <c r="D2" s="2"/>
    </row>
    <row r="3" spans="1:4" x14ac:dyDescent="0.25">
      <c r="A3" s="54" t="s">
        <v>1</v>
      </c>
      <c r="B3" s="54"/>
      <c r="C3" s="54"/>
      <c r="D3" s="54"/>
    </row>
    <row r="4" spans="1:4" x14ac:dyDescent="0.25">
      <c r="A4" s="3"/>
      <c r="B4" s="3"/>
      <c r="C4" s="3"/>
      <c r="D4" s="3"/>
    </row>
    <row r="5" spans="1:4" x14ac:dyDescent="0.25">
      <c r="A5" s="4" t="s">
        <v>2</v>
      </c>
      <c r="B5" s="5" t="s">
        <v>3</v>
      </c>
      <c r="C5" s="6"/>
      <c r="D5" s="7"/>
    </row>
    <row r="6" spans="1:4" x14ac:dyDescent="0.25">
      <c r="A6" s="4" t="s">
        <v>4</v>
      </c>
      <c r="B6" s="5" t="s">
        <v>5</v>
      </c>
      <c r="C6" s="6"/>
      <c r="D6" s="7"/>
    </row>
    <row r="7" spans="1:4" x14ac:dyDescent="0.25">
      <c r="A7" s="4" t="s">
        <v>6</v>
      </c>
      <c r="B7" s="5" t="s">
        <v>7</v>
      </c>
      <c r="C7" s="6"/>
      <c r="D7" s="7"/>
    </row>
    <row r="8" spans="1:4" x14ac:dyDescent="0.25">
      <c r="A8" s="4" t="s">
        <v>8</v>
      </c>
      <c r="B8" s="5" t="s">
        <v>9</v>
      </c>
      <c r="C8" s="6"/>
      <c r="D8" s="7"/>
    </row>
    <row r="10" spans="1:4" x14ac:dyDescent="0.25">
      <c r="A10" s="54" t="s">
        <v>10</v>
      </c>
      <c r="B10" s="54"/>
      <c r="C10" s="54"/>
      <c r="D10" s="54"/>
    </row>
    <row r="11" spans="1:4" x14ac:dyDescent="0.25">
      <c r="A11" s="3"/>
      <c r="B11" s="3"/>
      <c r="C11" s="3"/>
      <c r="D11" s="3"/>
    </row>
    <row r="12" spans="1:4" ht="38.25" customHeight="1" x14ac:dyDescent="0.25">
      <c r="A12" s="55" t="s">
        <v>11</v>
      </c>
      <c r="B12" s="55"/>
      <c r="C12" s="8" t="s">
        <v>12</v>
      </c>
      <c r="D12" s="9" t="s">
        <v>13</v>
      </c>
    </row>
    <row r="13" spans="1:4" x14ac:dyDescent="0.25">
      <c r="A13" s="56" t="s">
        <v>114</v>
      </c>
      <c r="B13" s="56"/>
      <c r="C13" s="7" t="s">
        <v>15</v>
      </c>
      <c r="D13" s="7">
        <v>6</v>
      </c>
    </row>
    <row r="15" spans="1:4" x14ac:dyDescent="0.25">
      <c r="A15" s="54" t="s">
        <v>16</v>
      </c>
      <c r="B15" s="54"/>
      <c r="C15" s="54"/>
      <c r="D15" s="54"/>
    </row>
    <row r="16" spans="1:4" x14ac:dyDescent="0.25">
      <c r="A16" s="3"/>
      <c r="B16" s="3"/>
      <c r="C16" s="3"/>
      <c r="D16" s="3"/>
    </row>
    <row r="17" spans="1:4" x14ac:dyDescent="0.25">
      <c r="A17" s="4">
        <v>1</v>
      </c>
      <c r="B17" s="4" t="s">
        <v>17</v>
      </c>
      <c r="C17" s="56" t="s">
        <v>115</v>
      </c>
      <c r="D17" s="56"/>
    </row>
    <row r="18" spans="1:4" x14ac:dyDescent="0.25">
      <c r="A18" s="4">
        <v>2</v>
      </c>
      <c r="B18" s="4" t="s">
        <v>19</v>
      </c>
      <c r="C18" s="56" t="s">
        <v>116</v>
      </c>
      <c r="D18" s="56"/>
    </row>
    <row r="19" spans="1:4" x14ac:dyDescent="0.25">
      <c r="A19" s="4">
        <v>3</v>
      </c>
      <c r="B19" s="4" t="s">
        <v>21</v>
      </c>
      <c r="C19" s="57">
        <v>1100</v>
      </c>
      <c r="D19" s="57"/>
    </row>
    <row r="20" spans="1:4" x14ac:dyDescent="0.25">
      <c r="A20" s="4">
        <v>4</v>
      </c>
      <c r="B20" s="4" t="s">
        <v>22</v>
      </c>
      <c r="C20" s="56" t="s">
        <v>23</v>
      </c>
      <c r="D20" s="56"/>
    </row>
    <row r="21" spans="1:4" x14ac:dyDescent="0.25">
      <c r="A21" s="4">
        <v>5</v>
      </c>
      <c r="B21" s="4" t="s">
        <v>24</v>
      </c>
      <c r="C21" s="58">
        <v>44317</v>
      </c>
      <c r="D21" s="58"/>
    </row>
    <row r="23" spans="1:4" x14ac:dyDescent="0.25">
      <c r="A23" s="54" t="s">
        <v>25</v>
      </c>
      <c r="B23" s="54"/>
      <c r="C23" s="54"/>
      <c r="D23" s="54"/>
    </row>
    <row r="25" spans="1:4" ht="12.75" customHeight="1" x14ac:dyDescent="0.25">
      <c r="A25" s="10">
        <v>1</v>
      </c>
      <c r="B25" s="59" t="s">
        <v>26</v>
      </c>
      <c r="C25" s="59"/>
      <c r="D25" s="10" t="s">
        <v>27</v>
      </c>
    </row>
    <row r="26" spans="1:4" ht="12.75" customHeight="1" x14ac:dyDescent="0.25">
      <c r="A26" s="8" t="s">
        <v>2</v>
      </c>
      <c r="B26" s="60" t="s">
        <v>28</v>
      </c>
      <c r="C26" s="60"/>
      <c r="D26" s="12">
        <v>10083.219999999999</v>
      </c>
    </row>
    <row r="27" spans="1:4" ht="12.75" customHeight="1" x14ac:dyDescent="0.25">
      <c r="A27" s="8" t="s">
        <v>4</v>
      </c>
      <c r="B27" s="60" t="s">
        <v>29</v>
      </c>
      <c r="C27" s="60"/>
      <c r="D27" s="12"/>
    </row>
    <row r="28" spans="1:4" ht="12.75" customHeight="1" x14ac:dyDescent="0.25">
      <c r="A28" s="8" t="s">
        <v>6</v>
      </c>
      <c r="B28" s="60" t="s">
        <v>30</v>
      </c>
      <c r="C28" s="60"/>
      <c r="D28" s="12"/>
    </row>
    <row r="29" spans="1:4" ht="12.75" customHeight="1" x14ac:dyDescent="0.25">
      <c r="A29" s="8" t="s">
        <v>8</v>
      </c>
      <c r="B29" s="60" t="s">
        <v>31</v>
      </c>
      <c r="C29" s="60"/>
      <c r="D29" s="12"/>
    </row>
    <row r="30" spans="1:4" ht="12.75" customHeight="1" x14ac:dyDescent="0.25">
      <c r="A30" s="8" t="s">
        <v>32</v>
      </c>
      <c r="B30" s="60" t="s">
        <v>33</v>
      </c>
      <c r="C30" s="60"/>
      <c r="D30" s="12"/>
    </row>
    <row r="31" spans="1:4" x14ac:dyDescent="0.25">
      <c r="A31" s="8"/>
      <c r="B31" s="60"/>
      <c r="C31" s="60"/>
      <c r="D31" s="12"/>
    </row>
    <row r="32" spans="1:4" ht="12.75" customHeight="1" x14ac:dyDescent="0.25">
      <c r="A32" s="8" t="s">
        <v>34</v>
      </c>
      <c r="B32" s="60" t="s">
        <v>35</v>
      </c>
      <c r="C32" s="60"/>
      <c r="D32" s="12"/>
    </row>
    <row r="33" spans="1:4" ht="12.75" customHeight="1" x14ac:dyDescent="0.25">
      <c r="A33" s="59" t="s">
        <v>36</v>
      </c>
      <c r="B33" s="59"/>
      <c r="C33" s="59"/>
      <c r="D33" s="13">
        <f>SUM(D26:D32)</f>
        <v>10083.219999999999</v>
      </c>
    </row>
    <row r="36" spans="1:4" x14ac:dyDescent="0.25">
      <c r="A36" s="54" t="s">
        <v>37</v>
      </c>
      <c r="B36" s="54"/>
      <c r="C36" s="54"/>
      <c r="D36" s="54"/>
    </row>
    <row r="37" spans="1:4" x14ac:dyDescent="0.25">
      <c r="A37" s="14"/>
    </row>
    <row r="38" spans="1:4" x14ac:dyDescent="0.25">
      <c r="A38" s="61" t="s">
        <v>38</v>
      </c>
      <c r="B38" s="61"/>
      <c r="C38" s="61"/>
      <c r="D38" s="61"/>
    </row>
    <row r="40" spans="1:4" ht="12.75" customHeight="1" x14ac:dyDescent="0.25">
      <c r="A40" s="10" t="s">
        <v>39</v>
      </c>
      <c r="B40" s="59" t="s">
        <v>40</v>
      </c>
      <c r="C40" s="59"/>
      <c r="D40" s="10" t="s">
        <v>27</v>
      </c>
    </row>
    <row r="41" spans="1:4" x14ac:dyDescent="0.25">
      <c r="A41" s="8" t="s">
        <v>2</v>
      </c>
      <c r="B41" s="11" t="s">
        <v>41</v>
      </c>
      <c r="C41" s="15">
        <f>TRUNC(1/12,4)</f>
        <v>8.3299999999999999E-2</v>
      </c>
      <c r="D41" s="12">
        <f>TRUNC($D$33*C41,2)</f>
        <v>839.93</v>
      </c>
    </row>
    <row r="42" spans="1:4" x14ac:dyDescent="0.25">
      <c r="A42" s="8" t="s">
        <v>4</v>
      </c>
      <c r="B42" s="11" t="s">
        <v>42</v>
      </c>
      <c r="C42" s="15">
        <f>TRUNC(((1+1/3)/12),4)</f>
        <v>0.1111</v>
      </c>
      <c r="D42" s="12">
        <f>TRUNC($D$33*C42,2)</f>
        <v>1120.24</v>
      </c>
    </row>
    <row r="43" spans="1:4" ht="12.75" customHeight="1" x14ac:dyDescent="0.25">
      <c r="A43" s="59" t="s">
        <v>36</v>
      </c>
      <c r="B43" s="59"/>
      <c r="C43" s="16">
        <f>SUM(C41:C42)</f>
        <v>0.19440000000000002</v>
      </c>
      <c r="D43" s="17">
        <f>SUM(D41:D42)</f>
        <v>1960.17</v>
      </c>
    </row>
    <row r="46" spans="1:4" ht="12.75" customHeight="1" x14ac:dyDescent="0.25">
      <c r="A46" s="62" t="s">
        <v>43</v>
      </c>
      <c r="B46" s="62"/>
      <c r="C46" s="62"/>
      <c r="D46" s="62"/>
    </row>
    <row r="48" spans="1:4" x14ac:dyDescent="0.25">
      <c r="A48" s="10" t="s">
        <v>44</v>
      </c>
      <c r="B48" s="10" t="s">
        <v>45</v>
      </c>
      <c r="C48" s="10" t="s">
        <v>46</v>
      </c>
      <c r="D48" s="10" t="s">
        <v>27</v>
      </c>
    </row>
    <row r="49" spans="1:4" x14ac:dyDescent="0.25">
      <c r="A49" s="8" t="s">
        <v>2</v>
      </c>
      <c r="B49" s="11" t="s">
        <v>47</v>
      </c>
      <c r="C49" s="18">
        <v>0.2</v>
      </c>
      <c r="D49" s="12">
        <f t="shared" ref="D49:D56" si="0">TRUNC(($D$33+$D$43)*C49,2)</f>
        <v>2408.67</v>
      </c>
    </row>
    <row r="50" spans="1:4" x14ac:dyDescent="0.25">
      <c r="A50" s="8" t="s">
        <v>4</v>
      </c>
      <c r="B50" s="11" t="s">
        <v>48</v>
      </c>
      <c r="C50" s="18">
        <v>2.5000000000000001E-2</v>
      </c>
      <c r="D50" s="12">
        <f t="shared" si="0"/>
        <v>301.08</v>
      </c>
    </row>
    <row r="51" spans="1:4" x14ac:dyDescent="0.25">
      <c r="A51" s="8" t="s">
        <v>6</v>
      </c>
      <c r="B51" s="11" t="s">
        <v>49</v>
      </c>
      <c r="C51" s="19">
        <v>0.03</v>
      </c>
      <c r="D51" s="12">
        <f t="shared" si="0"/>
        <v>361.3</v>
      </c>
    </row>
    <row r="52" spans="1:4" x14ac:dyDescent="0.25">
      <c r="A52" s="8" t="s">
        <v>8</v>
      </c>
      <c r="B52" s="11" t="s">
        <v>50</v>
      </c>
      <c r="C52" s="18">
        <v>1.4999999999999999E-2</v>
      </c>
      <c r="D52" s="12">
        <f t="shared" si="0"/>
        <v>180.65</v>
      </c>
    </row>
    <row r="53" spans="1:4" x14ac:dyDescent="0.25">
      <c r="A53" s="8" t="s">
        <v>32</v>
      </c>
      <c r="B53" s="11" t="s">
        <v>51</v>
      </c>
      <c r="C53" s="18">
        <v>0.01</v>
      </c>
      <c r="D53" s="12">
        <f t="shared" si="0"/>
        <v>120.43</v>
      </c>
    </row>
    <row r="54" spans="1:4" x14ac:dyDescent="0.25">
      <c r="A54" s="8" t="s">
        <v>52</v>
      </c>
      <c r="B54" s="11" t="s">
        <v>53</v>
      </c>
      <c r="C54" s="18">
        <v>6.0000000000000001E-3</v>
      </c>
      <c r="D54" s="12">
        <f t="shared" si="0"/>
        <v>72.260000000000005</v>
      </c>
    </row>
    <row r="55" spans="1:4" x14ac:dyDescent="0.25">
      <c r="A55" s="8" t="s">
        <v>34</v>
      </c>
      <c r="B55" s="11" t="s">
        <v>54</v>
      </c>
      <c r="C55" s="18">
        <v>2E-3</v>
      </c>
      <c r="D55" s="12">
        <f t="shared" si="0"/>
        <v>24.08</v>
      </c>
    </row>
    <row r="56" spans="1:4" x14ac:dyDescent="0.25">
      <c r="A56" s="8" t="s">
        <v>55</v>
      </c>
      <c r="B56" s="11" t="s">
        <v>56</v>
      </c>
      <c r="C56" s="18">
        <v>0.08</v>
      </c>
      <c r="D56" s="12">
        <f t="shared" si="0"/>
        <v>963.47</v>
      </c>
    </row>
    <row r="57" spans="1:4" ht="12.75" customHeight="1" x14ac:dyDescent="0.25">
      <c r="A57" s="59" t="s">
        <v>57</v>
      </c>
      <c r="B57" s="59"/>
      <c r="C57" s="20">
        <f>SUM(C49:C56)</f>
        <v>0.36800000000000005</v>
      </c>
      <c r="D57" s="17">
        <f>SUM(D49:D56)</f>
        <v>4431.9400000000005</v>
      </c>
    </row>
    <row r="60" spans="1:4" x14ac:dyDescent="0.25">
      <c r="A60" s="61" t="s">
        <v>58</v>
      </c>
      <c r="B60" s="61"/>
      <c r="C60" s="61"/>
      <c r="D60" s="61"/>
    </row>
    <row r="62" spans="1:4" ht="12.75" customHeight="1" x14ac:dyDescent="0.25">
      <c r="A62" s="10" t="s">
        <v>59</v>
      </c>
      <c r="B62" s="63" t="s">
        <v>60</v>
      </c>
      <c r="C62" s="63"/>
      <c r="D62" s="10" t="s">
        <v>27</v>
      </c>
    </row>
    <row r="63" spans="1:4" ht="12.75" customHeight="1" x14ac:dyDescent="0.25">
      <c r="A63" s="8" t="s">
        <v>2</v>
      </c>
      <c r="B63" s="60" t="s">
        <v>61</v>
      </c>
      <c r="C63" s="60"/>
      <c r="D63" s="12">
        <f>IF((23*2*4.4)-(D26*0.06)&gt;0,(23*2*4.4)-(D26*0.06),0)</f>
        <v>0</v>
      </c>
    </row>
    <row r="64" spans="1:4" ht="12.75" customHeight="1" x14ac:dyDescent="0.25">
      <c r="A64" s="8" t="s">
        <v>4</v>
      </c>
      <c r="B64" s="60" t="s">
        <v>62</v>
      </c>
      <c r="C64" s="60"/>
      <c r="D64" s="12">
        <f>23*29*0.9</f>
        <v>600.30000000000007</v>
      </c>
    </row>
    <row r="65" spans="1:5" ht="12.75" customHeight="1" x14ac:dyDescent="0.25">
      <c r="A65" s="8" t="s">
        <v>6</v>
      </c>
      <c r="B65" s="60" t="s">
        <v>63</v>
      </c>
      <c r="C65" s="60"/>
      <c r="D65" s="12">
        <f>200*0.7</f>
        <v>140</v>
      </c>
    </row>
    <row r="66" spans="1:5" ht="12.75" customHeight="1" x14ac:dyDescent="0.25">
      <c r="A66" s="8" t="s">
        <v>8</v>
      </c>
      <c r="B66" s="60" t="s">
        <v>35</v>
      </c>
      <c r="C66" s="60"/>
      <c r="D66" s="12"/>
    </row>
    <row r="67" spans="1:5" ht="12.75" customHeight="1" x14ac:dyDescent="0.25">
      <c r="A67" s="59" t="s">
        <v>36</v>
      </c>
      <c r="B67" s="59"/>
      <c r="C67" s="59"/>
      <c r="D67" s="17">
        <f>SUM(D63:D66)</f>
        <v>740.30000000000007</v>
      </c>
    </row>
    <row r="70" spans="1:5" x14ac:dyDescent="0.25">
      <c r="A70" s="61" t="s">
        <v>64</v>
      </c>
      <c r="B70" s="61"/>
      <c r="C70" s="61"/>
      <c r="D70" s="61"/>
    </row>
    <row r="72" spans="1:5" ht="12.75" customHeight="1" x14ac:dyDescent="0.25">
      <c r="A72" s="10">
        <v>2</v>
      </c>
      <c r="B72" s="63" t="s">
        <v>65</v>
      </c>
      <c r="C72" s="63"/>
      <c r="D72" s="10" t="s">
        <v>27</v>
      </c>
    </row>
    <row r="73" spans="1:5" ht="12.75" customHeight="1" x14ac:dyDescent="0.25">
      <c r="A73" s="8" t="s">
        <v>39</v>
      </c>
      <c r="B73" s="60" t="s">
        <v>40</v>
      </c>
      <c r="C73" s="60"/>
      <c r="D73" s="21">
        <f>D43</f>
        <v>1960.17</v>
      </c>
    </row>
    <row r="74" spans="1:5" ht="12.75" customHeight="1" x14ac:dyDescent="0.25">
      <c r="A74" s="8" t="s">
        <v>44</v>
      </c>
      <c r="B74" s="60" t="s">
        <v>45</v>
      </c>
      <c r="C74" s="60"/>
      <c r="D74" s="21">
        <f>D57</f>
        <v>4431.9400000000005</v>
      </c>
    </row>
    <row r="75" spans="1:5" ht="12.75" customHeight="1" x14ac:dyDescent="0.25">
      <c r="A75" s="8" t="s">
        <v>59</v>
      </c>
      <c r="B75" s="60" t="s">
        <v>60</v>
      </c>
      <c r="C75" s="60"/>
      <c r="D75" s="21">
        <f>D67</f>
        <v>740.30000000000007</v>
      </c>
    </row>
    <row r="76" spans="1:5" ht="12.75" customHeight="1" x14ac:dyDescent="0.25">
      <c r="A76" s="59" t="s">
        <v>36</v>
      </c>
      <c r="B76" s="59"/>
      <c r="C76" s="59"/>
      <c r="D76" s="17">
        <f>SUM(D73:D75)</f>
        <v>7132.4100000000008</v>
      </c>
    </row>
    <row r="77" spans="1:5" x14ac:dyDescent="0.25">
      <c r="A77" s="22"/>
      <c r="E77" s="23"/>
    </row>
    <row r="79" spans="1:5" x14ac:dyDescent="0.25">
      <c r="A79" s="54" t="s">
        <v>66</v>
      </c>
      <c r="B79" s="54"/>
      <c r="C79" s="54"/>
      <c r="D79" s="54"/>
      <c r="E79" s="24"/>
    </row>
    <row r="80" spans="1:5" ht="12.75" customHeight="1" x14ac:dyDescent="0.25">
      <c r="E80" s="23"/>
    </row>
    <row r="81" spans="1:4" ht="12.75" customHeight="1" x14ac:dyDescent="0.25">
      <c r="A81" s="10">
        <v>3</v>
      </c>
      <c r="B81" s="63" t="s">
        <v>67</v>
      </c>
      <c r="C81" s="63"/>
      <c r="D81" s="10" t="s">
        <v>27</v>
      </c>
    </row>
    <row r="82" spans="1:4" x14ac:dyDescent="0.25">
      <c r="A82" s="8" t="s">
        <v>2</v>
      </c>
      <c r="B82" s="25" t="s">
        <v>68</v>
      </c>
      <c r="C82" s="18">
        <f>TRUNC(((1/12)*5%),4)</f>
        <v>4.1000000000000003E-3</v>
      </c>
      <c r="D82" s="12">
        <f>TRUNC($D$33*C82,2)</f>
        <v>41.34</v>
      </c>
    </row>
    <row r="83" spans="1:4" x14ac:dyDescent="0.25">
      <c r="A83" s="8" t="s">
        <v>4</v>
      </c>
      <c r="B83" s="25" t="s">
        <v>69</v>
      </c>
      <c r="C83" s="18">
        <v>0.08</v>
      </c>
      <c r="D83" s="12">
        <f>TRUNC(D82*C83,2)</f>
        <v>3.3</v>
      </c>
    </row>
    <row r="84" spans="1:4" x14ac:dyDescent="0.25">
      <c r="A84" s="8" t="s">
        <v>6</v>
      </c>
      <c r="B84" s="25" t="s">
        <v>70</v>
      </c>
      <c r="C84" s="18">
        <f>TRUNC(8%*5%*40%,4)</f>
        <v>1.6000000000000001E-3</v>
      </c>
      <c r="D84" s="12">
        <f>TRUNC($D$33*C84,2)</f>
        <v>16.13</v>
      </c>
    </row>
    <row r="85" spans="1:4" x14ac:dyDescent="0.25">
      <c r="A85" s="8" t="s">
        <v>8</v>
      </c>
      <c r="B85" s="25" t="s">
        <v>71</v>
      </c>
      <c r="C85" s="18">
        <f>TRUNC(((7/30)/12)*95%,4)</f>
        <v>1.84E-2</v>
      </c>
      <c r="D85" s="12">
        <f>TRUNC($D$33*C85,2)</f>
        <v>185.53</v>
      </c>
    </row>
    <row r="86" spans="1:4" ht="25.5" x14ac:dyDescent="0.25">
      <c r="A86" s="8" t="s">
        <v>32</v>
      </c>
      <c r="B86" s="25" t="s">
        <v>72</v>
      </c>
      <c r="C86" s="18">
        <f>C57</f>
        <v>0.36800000000000005</v>
      </c>
      <c r="D86" s="12">
        <f>TRUNC(D85*C86,2)</f>
        <v>68.27</v>
      </c>
    </row>
    <row r="87" spans="1:4" x14ac:dyDescent="0.25">
      <c r="A87" s="8" t="s">
        <v>52</v>
      </c>
      <c r="B87" s="25" t="s">
        <v>73</v>
      </c>
      <c r="C87" s="18">
        <f>TRUNC(8%*95%*40%,4)</f>
        <v>3.04E-2</v>
      </c>
      <c r="D87" s="12">
        <f>TRUNC($D$33*C87,2)</f>
        <v>306.52</v>
      </c>
    </row>
    <row r="88" spans="1:4" ht="12.75" customHeight="1" x14ac:dyDescent="0.25">
      <c r="A88" s="59" t="s">
        <v>36</v>
      </c>
      <c r="B88" s="59"/>
      <c r="C88" s="59"/>
      <c r="D88" s="17">
        <f>SUM(D82:D87)</f>
        <v>621.08999999999992</v>
      </c>
    </row>
    <row r="91" spans="1:4" x14ac:dyDescent="0.25">
      <c r="A91" s="54" t="s">
        <v>74</v>
      </c>
      <c r="B91" s="54"/>
      <c r="C91" s="54"/>
      <c r="D91" s="54"/>
    </row>
    <row r="94" spans="1:4" x14ac:dyDescent="0.25">
      <c r="A94" s="61" t="s">
        <v>75</v>
      </c>
      <c r="B94" s="61"/>
      <c r="C94" s="61"/>
      <c r="D94" s="61"/>
    </row>
    <row r="95" spans="1:4" x14ac:dyDescent="0.25">
      <c r="A95" s="14"/>
    </row>
    <row r="96" spans="1:4" ht="12.75" customHeight="1" x14ac:dyDescent="0.25">
      <c r="A96" s="10" t="s">
        <v>76</v>
      </c>
      <c r="B96" s="63" t="s">
        <v>77</v>
      </c>
      <c r="C96" s="63"/>
      <c r="D96" s="10" t="s">
        <v>27</v>
      </c>
    </row>
    <row r="97" spans="1:6" x14ac:dyDescent="0.25">
      <c r="A97" s="8" t="s">
        <v>2</v>
      </c>
      <c r="B97" s="11" t="s">
        <v>78</v>
      </c>
      <c r="C97" s="18">
        <f>TRUNC(((1+1/3)/12)/12,4)</f>
        <v>9.1999999999999998E-3</v>
      </c>
      <c r="D97" s="12">
        <f t="shared" ref="D97:D102" si="1">TRUNC(($D$33+$D$76+$D$88)*C97,2)</f>
        <v>164.09</v>
      </c>
    </row>
    <row r="98" spans="1:6" x14ac:dyDescent="0.25">
      <c r="A98" s="8" t="s">
        <v>4</v>
      </c>
      <c r="B98" s="11" t="s">
        <v>79</v>
      </c>
      <c r="C98" s="18">
        <f>TRUNC(((2/30)/12),4)</f>
        <v>5.4999999999999997E-3</v>
      </c>
      <c r="D98" s="12">
        <f t="shared" si="1"/>
        <v>98.1</v>
      </c>
    </row>
    <row r="99" spans="1:6" x14ac:dyDescent="0.25">
      <c r="A99" s="8" t="s">
        <v>6</v>
      </c>
      <c r="B99" s="11" t="s">
        <v>80</v>
      </c>
      <c r="C99" s="18">
        <f>TRUNC(((5/30)/12)*2%,4)</f>
        <v>2.0000000000000001E-4</v>
      </c>
      <c r="D99" s="12">
        <f t="shared" si="1"/>
        <v>3.56</v>
      </c>
    </row>
    <row r="100" spans="1:6" x14ac:dyDescent="0.25">
      <c r="A100" s="8" t="s">
        <v>8</v>
      </c>
      <c r="B100" s="11" t="s">
        <v>81</v>
      </c>
      <c r="C100" s="18">
        <f>TRUNC(((15/30)/12)*8%,4)</f>
        <v>3.3E-3</v>
      </c>
      <c r="D100" s="12">
        <f t="shared" si="1"/>
        <v>58.86</v>
      </c>
    </row>
    <row r="101" spans="1:6" x14ac:dyDescent="0.25">
      <c r="A101" s="8" t="s">
        <v>32</v>
      </c>
      <c r="B101" s="11" t="s">
        <v>82</v>
      </c>
      <c r="C101" s="18">
        <f>((1+1/3)/12)*3%*(6/12)</f>
        <v>1.6666666666666666E-3</v>
      </c>
      <c r="D101" s="12">
        <f t="shared" si="1"/>
        <v>29.72</v>
      </c>
    </row>
    <row r="102" spans="1:6" x14ac:dyDescent="0.25">
      <c r="A102" s="8" t="s">
        <v>52</v>
      </c>
      <c r="B102" s="11" t="s">
        <v>83</v>
      </c>
      <c r="C102" s="18"/>
      <c r="D102" s="12">
        <f t="shared" si="1"/>
        <v>0</v>
      </c>
    </row>
    <row r="103" spans="1:6" ht="12.75" customHeight="1" x14ac:dyDescent="0.25">
      <c r="A103" s="59" t="s">
        <v>57</v>
      </c>
      <c r="B103" s="59"/>
      <c r="C103" s="59"/>
      <c r="D103" s="17">
        <f>SUM(D97:D102)</f>
        <v>354.33000000000004</v>
      </c>
      <c r="E103" s="24"/>
      <c r="F103" s="24"/>
    </row>
    <row r="106" spans="1:6" x14ac:dyDescent="0.25">
      <c r="A106" s="61" t="s">
        <v>84</v>
      </c>
      <c r="B106" s="61"/>
      <c r="C106" s="61"/>
      <c r="D106" s="61"/>
    </row>
    <row r="107" spans="1:6" x14ac:dyDescent="0.25">
      <c r="A107" s="14"/>
    </row>
    <row r="108" spans="1:6" ht="12.75" customHeight="1" x14ac:dyDescent="0.25">
      <c r="A108" s="10" t="s">
        <v>85</v>
      </c>
      <c r="B108" s="63" t="s">
        <v>86</v>
      </c>
      <c r="C108" s="63"/>
      <c r="D108" s="10" t="s">
        <v>27</v>
      </c>
    </row>
    <row r="109" spans="1:6" ht="12.75" customHeight="1" x14ac:dyDescent="0.25">
      <c r="A109" s="8" t="s">
        <v>2</v>
      </c>
      <c r="B109" s="60" t="s">
        <v>87</v>
      </c>
      <c r="C109" s="60"/>
      <c r="D109" s="12">
        <f>((D33+D76+D88)/220)*22*0</f>
        <v>0</v>
      </c>
    </row>
    <row r="110" spans="1:6" ht="12.75" customHeight="1" x14ac:dyDescent="0.25">
      <c r="A110" s="59" t="s">
        <v>36</v>
      </c>
      <c r="B110" s="59"/>
      <c r="C110" s="59"/>
      <c r="D110" s="17">
        <f>SUM(D109)</f>
        <v>0</v>
      </c>
    </row>
    <row r="113" spans="1:4" x14ac:dyDescent="0.25">
      <c r="A113" s="61" t="s">
        <v>88</v>
      </c>
      <c r="B113" s="61"/>
      <c r="C113" s="61"/>
      <c r="D113" s="61"/>
    </row>
    <row r="114" spans="1:4" x14ac:dyDescent="0.25">
      <c r="A114" s="14"/>
    </row>
    <row r="115" spans="1:4" ht="12.75" customHeight="1" x14ac:dyDescent="0.25">
      <c r="A115" s="10">
        <v>4</v>
      </c>
      <c r="B115" s="59" t="s">
        <v>89</v>
      </c>
      <c r="C115" s="59"/>
      <c r="D115" s="10" t="s">
        <v>27</v>
      </c>
    </row>
    <row r="116" spans="1:4" ht="12.75" customHeight="1" x14ac:dyDescent="0.25">
      <c r="A116" s="8" t="s">
        <v>76</v>
      </c>
      <c r="B116" s="60" t="s">
        <v>77</v>
      </c>
      <c r="C116" s="60"/>
      <c r="D116" s="21">
        <f>D103</f>
        <v>354.33000000000004</v>
      </c>
    </row>
    <row r="117" spans="1:4" ht="12.75" customHeight="1" x14ac:dyDescent="0.25">
      <c r="A117" s="8" t="s">
        <v>85</v>
      </c>
      <c r="B117" s="60" t="s">
        <v>86</v>
      </c>
      <c r="C117" s="60"/>
      <c r="D117" s="21">
        <f>D110</f>
        <v>0</v>
      </c>
    </row>
    <row r="118" spans="1:4" ht="12.75" customHeight="1" x14ac:dyDescent="0.25">
      <c r="A118" s="59" t="s">
        <v>36</v>
      </c>
      <c r="B118" s="59"/>
      <c r="C118" s="59"/>
      <c r="D118" s="17">
        <f>SUM(D116:D117)</f>
        <v>354.33000000000004</v>
      </c>
    </row>
    <row r="121" spans="1:4" x14ac:dyDescent="0.25">
      <c r="A121" s="54" t="s">
        <v>90</v>
      </c>
      <c r="B121" s="54"/>
      <c r="C121" s="54"/>
      <c r="D121" s="54"/>
    </row>
    <row r="123" spans="1:4" ht="12.75" customHeight="1" x14ac:dyDescent="0.25">
      <c r="A123" s="10">
        <v>5</v>
      </c>
      <c r="B123" s="64" t="s">
        <v>91</v>
      </c>
      <c r="C123" s="64"/>
      <c r="D123" s="10" t="s">
        <v>27</v>
      </c>
    </row>
    <row r="124" spans="1:4" x14ac:dyDescent="0.25">
      <c r="A124" s="8" t="s">
        <v>2</v>
      </c>
      <c r="B124" s="11" t="s">
        <v>92</v>
      </c>
      <c r="C124" s="11"/>
      <c r="D124" s="12">
        <v>0.43</v>
      </c>
    </row>
    <row r="125" spans="1:4" x14ac:dyDescent="0.25">
      <c r="A125" s="8" t="s">
        <v>4</v>
      </c>
      <c r="B125" s="11" t="s">
        <v>93</v>
      </c>
      <c r="C125" s="11"/>
      <c r="D125" s="12"/>
    </row>
    <row r="126" spans="1:4" x14ac:dyDescent="0.25">
      <c r="A126" s="8" t="s">
        <v>6</v>
      </c>
      <c r="B126" s="11" t="s">
        <v>94</v>
      </c>
      <c r="C126" s="11"/>
      <c r="D126" s="12"/>
    </row>
    <row r="127" spans="1:4" x14ac:dyDescent="0.25">
      <c r="A127" s="8" t="s">
        <v>8</v>
      </c>
      <c r="B127" s="11" t="s">
        <v>35</v>
      </c>
      <c r="C127" s="11"/>
      <c r="D127" s="12"/>
    </row>
    <row r="128" spans="1:4" ht="12.75" customHeight="1" x14ac:dyDescent="0.25">
      <c r="A128" s="59" t="s">
        <v>57</v>
      </c>
      <c r="B128" s="59"/>
      <c r="C128" s="59"/>
      <c r="D128" s="13">
        <f>SUM(D124:D127)</f>
        <v>0.43</v>
      </c>
    </row>
    <row r="131" spans="1:4" x14ac:dyDescent="0.25">
      <c r="A131" s="54" t="s">
        <v>95</v>
      </c>
      <c r="B131" s="54"/>
      <c r="C131" s="54"/>
      <c r="D131" s="54"/>
    </row>
    <row r="133" spans="1:4" x14ac:dyDescent="0.25">
      <c r="A133" s="10">
        <v>6</v>
      </c>
      <c r="B133" s="26" t="s">
        <v>96</v>
      </c>
      <c r="C133" s="10" t="s">
        <v>46</v>
      </c>
      <c r="D133" s="10" t="s">
        <v>27</v>
      </c>
    </row>
    <row r="134" spans="1:4" x14ac:dyDescent="0.25">
      <c r="A134" s="8" t="s">
        <v>2</v>
      </c>
      <c r="B134" s="11" t="s">
        <v>97</v>
      </c>
      <c r="C134" s="18">
        <v>0.05</v>
      </c>
      <c r="D134" s="21">
        <f>D154*C134</f>
        <v>909.57400000000018</v>
      </c>
    </row>
    <row r="135" spans="1:4" x14ac:dyDescent="0.25">
      <c r="A135" s="8" t="s">
        <v>4</v>
      </c>
      <c r="B135" s="11" t="s">
        <v>98</v>
      </c>
      <c r="C135" s="18">
        <v>0.06</v>
      </c>
      <c r="D135" s="12">
        <f>(D154+D134)*C135</f>
        <v>1146.0632400000002</v>
      </c>
    </row>
    <row r="136" spans="1:4" x14ac:dyDescent="0.25">
      <c r="A136" s="8" t="s">
        <v>6</v>
      </c>
      <c r="B136" s="11" t="s">
        <v>99</v>
      </c>
      <c r="C136" s="15">
        <f>SUM(C137:C142)</f>
        <v>8.6499999999999994E-2</v>
      </c>
      <c r="D136" s="12">
        <f>(D154+D134+D135)*C136/(1-C136)</f>
        <v>1917.2147140229886</v>
      </c>
    </row>
    <row r="137" spans="1:4" x14ac:dyDescent="0.25">
      <c r="A137" s="8"/>
      <c r="B137" s="11" t="s">
        <v>100</v>
      </c>
      <c r="C137" s="18"/>
      <c r="D137" s="21">
        <f t="shared" ref="D137:D142" si="2">$D$156*C137</f>
        <v>0</v>
      </c>
    </row>
    <row r="138" spans="1:4" x14ac:dyDescent="0.25">
      <c r="A138" s="8"/>
      <c r="B138" s="11" t="s">
        <v>101</v>
      </c>
      <c r="C138" s="18">
        <v>6.4999999999999997E-3</v>
      </c>
      <c r="D138" s="21">
        <f t="shared" si="2"/>
        <v>144.06814500000002</v>
      </c>
    </row>
    <row r="139" spans="1:4" x14ac:dyDescent="0.25">
      <c r="A139" s="8"/>
      <c r="B139" s="11" t="s">
        <v>102</v>
      </c>
      <c r="C139" s="18">
        <v>0.03</v>
      </c>
      <c r="D139" s="21">
        <f t="shared" si="2"/>
        <v>664.92989999999998</v>
      </c>
    </row>
    <row r="140" spans="1:4" x14ac:dyDescent="0.25">
      <c r="A140" s="8"/>
      <c r="B140" s="11" t="s">
        <v>103</v>
      </c>
      <c r="C140" s="8"/>
      <c r="D140" s="21">
        <f t="shared" si="2"/>
        <v>0</v>
      </c>
    </row>
    <row r="141" spans="1:4" x14ac:dyDescent="0.25">
      <c r="A141" s="8"/>
      <c r="B141" s="11" t="s">
        <v>104</v>
      </c>
      <c r="C141" s="18"/>
      <c r="D141" s="21">
        <f t="shared" si="2"/>
        <v>0</v>
      </c>
    </row>
    <row r="142" spans="1:4" x14ac:dyDescent="0.25">
      <c r="A142" s="8"/>
      <c r="B142" s="11" t="s">
        <v>105</v>
      </c>
      <c r="C142" s="18">
        <v>0.05</v>
      </c>
      <c r="D142" s="21">
        <f t="shared" si="2"/>
        <v>1108.2165000000002</v>
      </c>
    </row>
    <row r="143" spans="1:4" ht="13.5" customHeight="1" x14ac:dyDescent="0.25">
      <c r="A143" s="65" t="s">
        <v>57</v>
      </c>
      <c r="B143" s="65"/>
      <c r="C143" s="27">
        <f>(1+C135)*(1+C134)/(1-C136)-1</f>
        <v>0.21839080459770144</v>
      </c>
      <c r="D143" s="17">
        <f>SUM(D134:D136)</f>
        <v>3972.851954022989</v>
      </c>
    </row>
    <row r="146" spans="1:4" x14ac:dyDescent="0.25">
      <c r="A146" s="54" t="s">
        <v>106</v>
      </c>
      <c r="B146" s="54"/>
      <c r="C146" s="54"/>
      <c r="D146" s="54"/>
    </row>
    <row r="148" spans="1:4" ht="12.75" customHeight="1" x14ac:dyDescent="0.25">
      <c r="A148" s="10"/>
      <c r="B148" s="59" t="s">
        <v>107</v>
      </c>
      <c r="C148" s="59"/>
      <c r="D148" s="10" t="s">
        <v>27</v>
      </c>
    </row>
    <row r="149" spans="1:4" ht="12.75" customHeight="1" x14ac:dyDescent="0.25">
      <c r="A149" s="10" t="s">
        <v>2</v>
      </c>
      <c r="B149" s="60" t="s">
        <v>25</v>
      </c>
      <c r="C149" s="60"/>
      <c r="D149" s="28">
        <f>D33</f>
        <v>10083.219999999999</v>
      </c>
    </row>
    <row r="150" spans="1:4" ht="12.75" customHeight="1" x14ac:dyDescent="0.25">
      <c r="A150" s="10" t="s">
        <v>4</v>
      </c>
      <c r="B150" s="60" t="s">
        <v>37</v>
      </c>
      <c r="C150" s="60"/>
      <c r="D150" s="28">
        <f>D76</f>
        <v>7132.4100000000008</v>
      </c>
    </row>
    <row r="151" spans="1:4" ht="12.75" customHeight="1" x14ac:dyDescent="0.25">
      <c r="A151" s="10" t="s">
        <v>6</v>
      </c>
      <c r="B151" s="60" t="s">
        <v>66</v>
      </c>
      <c r="C151" s="60"/>
      <c r="D151" s="28">
        <f>D88</f>
        <v>621.08999999999992</v>
      </c>
    </row>
    <row r="152" spans="1:4" ht="12.75" customHeight="1" x14ac:dyDescent="0.25">
      <c r="A152" s="10" t="s">
        <v>8</v>
      </c>
      <c r="B152" s="60" t="s">
        <v>74</v>
      </c>
      <c r="C152" s="60"/>
      <c r="D152" s="28">
        <f>D118</f>
        <v>354.33000000000004</v>
      </c>
    </row>
    <row r="153" spans="1:4" ht="12.75" customHeight="1" x14ac:dyDescent="0.25">
      <c r="A153" s="10" t="s">
        <v>32</v>
      </c>
      <c r="B153" s="60" t="s">
        <v>90</v>
      </c>
      <c r="C153" s="60"/>
      <c r="D153" s="28">
        <f>D128</f>
        <v>0.43</v>
      </c>
    </row>
    <row r="154" spans="1:4" ht="12.75" customHeight="1" x14ac:dyDescent="0.25">
      <c r="A154" s="59" t="s">
        <v>108</v>
      </c>
      <c r="B154" s="59"/>
      <c r="C154" s="59"/>
      <c r="D154" s="29">
        <f>SUM(D149:D153)</f>
        <v>18191.480000000003</v>
      </c>
    </row>
    <row r="155" spans="1:4" ht="12.75" customHeight="1" x14ac:dyDescent="0.25">
      <c r="A155" s="10" t="s">
        <v>52</v>
      </c>
      <c r="B155" s="60" t="s">
        <v>109</v>
      </c>
      <c r="C155" s="60"/>
      <c r="D155" s="30">
        <f>D143</f>
        <v>3972.851954022989</v>
      </c>
    </row>
    <row r="156" spans="1:4" ht="12.75" customHeight="1" x14ac:dyDescent="0.25">
      <c r="A156" s="59" t="s">
        <v>110</v>
      </c>
      <c r="B156" s="59"/>
      <c r="C156" s="59"/>
      <c r="D156" s="29">
        <f>TRUNC(SUM(D154:D155),2)</f>
        <v>22164.33</v>
      </c>
    </row>
  </sheetData>
  <mergeCells count="71">
    <mergeCell ref="A156:C156"/>
    <mergeCell ref="B151:C151"/>
    <mergeCell ref="B152:C152"/>
    <mergeCell ref="B153:C153"/>
    <mergeCell ref="A154:C154"/>
    <mergeCell ref="B155:C155"/>
    <mergeCell ref="A143:B143"/>
    <mergeCell ref="A146:D146"/>
    <mergeCell ref="B148:C148"/>
    <mergeCell ref="B149:C149"/>
    <mergeCell ref="B150:C150"/>
    <mergeCell ref="A118:C118"/>
    <mergeCell ref="A121:D121"/>
    <mergeCell ref="B123:C123"/>
    <mergeCell ref="A128:C128"/>
    <mergeCell ref="A131:D131"/>
    <mergeCell ref="A110:C110"/>
    <mergeCell ref="A113:D113"/>
    <mergeCell ref="B115:C115"/>
    <mergeCell ref="B116:C116"/>
    <mergeCell ref="B117:C117"/>
    <mergeCell ref="B96:C96"/>
    <mergeCell ref="A103:C103"/>
    <mergeCell ref="A106:D106"/>
    <mergeCell ref="B108:C108"/>
    <mergeCell ref="B109:C109"/>
    <mergeCell ref="A79:D79"/>
    <mergeCell ref="B81:C81"/>
    <mergeCell ref="A88:C88"/>
    <mergeCell ref="A91:D91"/>
    <mergeCell ref="A94:D94"/>
    <mergeCell ref="B72:C72"/>
    <mergeCell ref="B73:C73"/>
    <mergeCell ref="B74:C74"/>
    <mergeCell ref="B75:C75"/>
    <mergeCell ref="A76:C76"/>
    <mergeCell ref="B64:C64"/>
    <mergeCell ref="B65:C65"/>
    <mergeCell ref="B66:C66"/>
    <mergeCell ref="A67:C67"/>
    <mergeCell ref="A70:D70"/>
    <mergeCell ref="A46:D46"/>
    <mergeCell ref="A57:B57"/>
    <mergeCell ref="A60:D60"/>
    <mergeCell ref="B62:C62"/>
    <mergeCell ref="B63:C63"/>
    <mergeCell ref="A33:C33"/>
    <mergeCell ref="A36:D36"/>
    <mergeCell ref="A38:D38"/>
    <mergeCell ref="B40:C40"/>
    <mergeCell ref="A43:B43"/>
    <mergeCell ref="B28:C28"/>
    <mergeCell ref="B29:C29"/>
    <mergeCell ref="B30:C30"/>
    <mergeCell ref="B31:C31"/>
    <mergeCell ref="B32:C32"/>
    <mergeCell ref="C21:D21"/>
    <mergeCell ref="A23:D23"/>
    <mergeCell ref="B25:C25"/>
    <mergeCell ref="B26:C26"/>
    <mergeCell ref="B27:C27"/>
    <mergeCell ref="A15:D15"/>
    <mergeCell ref="C17:D17"/>
    <mergeCell ref="C18:D18"/>
    <mergeCell ref="C19:D19"/>
    <mergeCell ref="C20:D20"/>
    <mergeCell ref="A1:D1"/>
    <mergeCell ref="A3:D3"/>
    <mergeCell ref="A10:D10"/>
    <mergeCell ref="A12:B12"/>
    <mergeCell ref="A13:B13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56"/>
  <sheetViews>
    <sheetView view="pageBreakPreview" topLeftCell="A13" zoomScaleNormal="115" workbookViewId="0">
      <selection activeCell="D27" sqref="D27"/>
    </sheetView>
  </sheetViews>
  <sheetFormatPr defaultColWidth="9.140625" defaultRowHeight="15" x14ac:dyDescent="0.25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024" width="9.140625" style="1"/>
  </cols>
  <sheetData>
    <row r="1" spans="1:4" ht="15.75" x14ac:dyDescent="0.25">
      <c r="A1" s="53" t="s">
        <v>0</v>
      </c>
      <c r="B1" s="53"/>
      <c r="C1" s="53"/>
      <c r="D1" s="53"/>
    </row>
    <row r="2" spans="1:4" ht="15.75" x14ac:dyDescent="0.25">
      <c r="A2" s="2"/>
      <c r="B2" s="2"/>
      <c r="C2" s="2"/>
      <c r="D2" s="2"/>
    </row>
    <row r="3" spans="1:4" x14ac:dyDescent="0.25">
      <c r="A3" s="54" t="s">
        <v>1</v>
      </c>
      <c r="B3" s="54"/>
      <c r="C3" s="54"/>
      <c r="D3" s="54"/>
    </row>
    <row r="4" spans="1:4" x14ac:dyDescent="0.25">
      <c r="A4" s="3"/>
      <c r="B4" s="3"/>
      <c r="C4" s="3"/>
      <c r="D4" s="3"/>
    </row>
    <row r="5" spans="1:4" x14ac:dyDescent="0.25">
      <c r="A5" s="4" t="s">
        <v>2</v>
      </c>
      <c r="B5" s="5" t="s">
        <v>3</v>
      </c>
      <c r="C5" s="6"/>
      <c r="D5" s="7"/>
    </row>
    <row r="6" spans="1:4" x14ac:dyDescent="0.25">
      <c r="A6" s="4" t="s">
        <v>4</v>
      </c>
      <c r="B6" s="5" t="s">
        <v>5</v>
      </c>
      <c r="C6" s="6"/>
      <c r="D6" s="7"/>
    </row>
    <row r="7" spans="1:4" x14ac:dyDescent="0.25">
      <c r="A7" s="4" t="s">
        <v>6</v>
      </c>
      <c r="B7" s="5" t="s">
        <v>7</v>
      </c>
      <c r="C7" s="6"/>
      <c r="D7" s="7"/>
    </row>
    <row r="8" spans="1:4" x14ac:dyDescent="0.25">
      <c r="A8" s="4" t="s">
        <v>8</v>
      </c>
      <c r="B8" s="5" t="s">
        <v>9</v>
      </c>
      <c r="C8" s="6"/>
      <c r="D8" s="7"/>
    </row>
    <row r="10" spans="1:4" x14ac:dyDescent="0.25">
      <c r="A10" s="54" t="s">
        <v>10</v>
      </c>
      <c r="B10" s="54"/>
      <c r="C10" s="54"/>
      <c r="D10" s="54"/>
    </row>
    <row r="11" spans="1:4" x14ac:dyDescent="0.25">
      <c r="A11" s="3"/>
      <c r="B11" s="3"/>
      <c r="C11" s="3"/>
      <c r="D11" s="3"/>
    </row>
    <row r="12" spans="1:4" ht="38.25" customHeight="1" x14ac:dyDescent="0.25">
      <c r="A12" s="55" t="s">
        <v>11</v>
      </c>
      <c r="B12" s="55"/>
      <c r="C12" s="8" t="s">
        <v>12</v>
      </c>
      <c r="D12" s="9" t="s">
        <v>13</v>
      </c>
    </row>
    <row r="13" spans="1:4" x14ac:dyDescent="0.25">
      <c r="A13" s="56" t="s">
        <v>117</v>
      </c>
      <c r="B13" s="56"/>
      <c r="C13" s="7" t="s">
        <v>15</v>
      </c>
      <c r="D13" s="7">
        <v>1</v>
      </c>
    </row>
    <row r="15" spans="1:4" x14ac:dyDescent="0.25">
      <c r="A15" s="54" t="s">
        <v>16</v>
      </c>
      <c r="B15" s="54"/>
      <c r="C15" s="54"/>
      <c r="D15" s="54"/>
    </row>
    <row r="16" spans="1:4" x14ac:dyDescent="0.25">
      <c r="A16" s="3"/>
      <c r="B16" s="3"/>
      <c r="C16" s="3"/>
      <c r="D16" s="3"/>
    </row>
    <row r="17" spans="1:4" x14ac:dyDescent="0.25">
      <c r="A17" s="4">
        <v>1</v>
      </c>
      <c r="B17" s="4" t="s">
        <v>17</v>
      </c>
      <c r="C17" s="56" t="s">
        <v>118</v>
      </c>
      <c r="D17" s="56"/>
    </row>
    <row r="18" spans="1:4" x14ac:dyDescent="0.25">
      <c r="A18" s="4">
        <v>2</v>
      </c>
      <c r="B18" s="4" t="s">
        <v>19</v>
      </c>
      <c r="C18" s="56" t="s">
        <v>119</v>
      </c>
      <c r="D18" s="56"/>
    </row>
    <row r="19" spans="1:4" x14ac:dyDescent="0.25">
      <c r="A19" s="4">
        <v>3</v>
      </c>
      <c r="B19" s="4" t="s">
        <v>21</v>
      </c>
      <c r="C19" s="57">
        <v>1100</v>
      </c>
      <c r="D19" s="57"/>
    </row>
    <row r="20" spans="1:4" x14ac:dyDescent="0.25">
      <c r="A20" s="4">
        <v>4</v>
      </c>
      <c r="B20" s="4" t="s">
        <v>22</v>
      </c>
      <c r="C20" s="56" t="s">
        <v>23</v>
      </c>
      <c r="D20" s="56"/>
    </row>
    <row r="21" spans="1:4" x14ac:dyDescent="0.25">
      <c r="A21" s="4">
        <v>5</v>
      </c>
      <c r="B21" s="4" t="s">
        <v>24</v>
      </c>
      <c r="C21" s="58">
        <v>44317</v>
      </c>
      <c r="D21" s="58"/>
    </row>
    <row r="23" spans="1:4" x14ac:dyDescent="0.25">
      <c r="A23" s="54" t="s">
        <v>25</v>
      </c>
      <c r="B23" s="54"/>
      <c r="C23" s="54"/>
      <c r="D23" s="54"/>
    </row>
    <row r="25" spans="1:4" ht="12.75" customHeight="1" x14ac:dyDescent="0.25">
      <c r="A25" s="10">
        <v>1</v>
      </c>
      <c r="B25" s="59" t="s">
        <v>26</v>
      </c>
      <c r="C25" s="59"/>
      <c r="D25" s="10" t="s">
        <v>27</v>
      </c>
    </row>
    <row r="26" spans="1:4" ht="12.75" customHeight="1" x14ac:dyDescent="0.25">
      <c r="A26" s="8" t="s">
        <v>2</v>
      </c>
      <c r="B26" s="60" t="s">
        <v>28</v>
      </c>
      <c r="C26" s="60"/>
      <c r="D26" s="12">
        <v>3822.83</v>
      </c>
    </row>
    <row r="27" spans="1:4" ht="12.75" customHeight="1" x14ac:dyDescent="0.25">
      <c r="A27" s="8" t="s">
        <v>4</v>
      </c>
      <c r="B27" s="60" t="s">
        <v>29</v>
      </c>
      <c r="C27" s="60"/>
      <c r="D27" s="12"/>
    </row>
    <row r="28" spans="1:4" ht="12.75" customHeight="1" x14ac:dyDescent="0.25">
      <c r="A28" s="8" t="s">
        <v>6</v>
      </c>
      <c r="B28" s="60" t="s">
        <v>30</v>
      </c>
      <c r="C28" s="60"/>
      <c r="D28" s="12"/>
    </row>
    <row r="29" spans="1:4" ht="12.75" customHeight="1" x14ac:dyDescent="0.25">
      <c r="A29" s="8" t="s">
        <v>8</v>
      </c>
      <c r="B29" s="60" t="s">
        <v>31</v>
      </c>
      <c r="C29" s="60"/>
      <c r="D29" s="12"/>
    </row>
    <row r="30" spans="1:4" ht="12.75" customHeight="1" x14ac:dyDescent="0.25">
      <c r="A30" s="8" t="s">
        <v>32</v>
      </c>
      <c r="B30" s="60" t="s">
        <v>33</v>
      </c>
      <c r="C30" s="60"/>
      <c r="D30" s="12"/>
    </row>
    <row r="31" spans="1:4" x14ac:dyDescent="0.25">
      <c r="A31" s="8"/>
      <c r="B31" s="60"/>
      <c r="C31" s="60"/>
      <c r="D31" s="12"/>
    </row>
    <row r="32" spans="1:4" ht="12.75" customHeight="1" x14ac:dyDescent="0.25">
      <c r="A32" s="8" t="s">
        <v>34</v>
      </c>
      <c r="B32" s="60" t="s">
        <v>35</v>
      </c>
      <c r="C32" s="60"/>
      <c r="D32" s="12"/>
    </row>
    <row r="33" spans="1:4" ht="12.75" customHeight="1" x14ac:dyDescent="0.25">
      <c r="A33" s="59" t="s">
        <v>36</v>
      </c>
      <c r="B33" s="59"/>
      <c r="C33" s="59"/>
      <c r="D33" s="13">
        <f>SUM(D26:D32)</f>
        <v>3822.83</v>
      </c>
    </row>
    <row r="36" spans="1:4" x14ac:dyDescent="0.25">
      <c r="A36" s="54" t="s">
        <v>37</v>
      </c>
      <c r="B36" s="54"/>
      <c r="C36" s="54"/>
      <c r="D36" s="54"/>
    </row>
    <row r="37" spans="1:4" x14ac:dyDescent="0.25">
      <c r="A37" s="14"/>
    </row>
    <row r="38" spans="1:4" x14ac:dyDescent="0.25">
      <c r="A38" s="61" t="s">
        <v>38</v>
      </c>
      <c r="B38" s="61"/>
      <c r="C38" s="61"/>
      <c r="D38" s="61"/>
    </row>
    <row r="40" spans="1:4" ht="12.75" customHeight="1" x14ac:dyDescent="0.25">
      <c r="A40" s="10" t="s">
        <v>39</v>
      </c>
      <c r="B40" s="59" t="s">
        <v>40</v>
      </c>
      <c r="C40" s="59"/>
      <c r="D40" s="10" t="s">
        <v>27</v>
      </c>
    </row>
    <row r="41" spans="1:4" x14ac:dyDescent="0.25">
      <c r="A41" s="8" t="s">
        <v>2</v>
      </c>
      <c r="B41" s="11" t="s">
        <v>41</v>
      </c>
      <c r="C41" s="15">
        <f>TRUNC(1/12,4)</f>
        <v>8.3299999999999999E-2</v>
      </c>
      <c r="D41" s="12">
        <f>TRUNC($D$33*C41,2)</f>
        <v>318.44</v>
      </c>
    </row>
    <row r="42" spans="1:4" x14ac:dyDescent="0.25">
      <c r="A42" s="8" t="s">
        <v>4</v>
      </c>
      <c r="B42" s="11" t="s">
        <v>42</v>
      </c>
      <c r="C42" s="15">
        <f>TRUNC(((1+1/3)/12),4)</f>
        <v>0.1111</v>
      </c>
      <c r="D42" s="12">
        <f>TRUNC($D$33*C42,2)</f>
        <v>424.71</v>
      </c>
    </row>
    <row r="43" spans="1:4" ht="12.75" customHeight="1" x14ac:dyDescent="0.25">
      <c r="A43" s="59" t="s">
        <v>36</v>
      </c>
      <c r="B43" s="59"/>
      <c r="C43" s="16">
        <f>SUM(C41:C42)</f>
        <v>0.19440000000000002</v>
      </c>
      <c r="D43" s="17">
        <f>SUM(D41:D42)</f>
        <v>743.15</v>
      </c>
    </row>
    <row r="46" spans="1:4" ht="12.75" customHeight="1" x14ac:dyDescent="0.25">
      <c r="A46" s="62" t="s">
        <v>43</v>
      </c>
      <c r="B46" s="62"/>
      <c r="C46" s="62"/>
      <c r="D46" s="62"/>
    </row>
    <row r="48" spans="1:4" x14ac:dyDescent="0.25">
      <c r="A48" s="10" t="s">
        <v>44</v>
      </c>
      <c r="B48" s="10" t="s">
        <v>45</v>
      </c>
      <c r="C48" s="10" t="s">
        <v>46</v>
      </c>
      <c r="D48" s="10" t="s">
        <v>27</v>
      </c>
    </row>
    <row r="49" spans="1:4" x14ac:dyDescent="0.25">
      <c r="A49" s="8" t="s">
        <v>2</v>
      </c>
      <c r="B49" s="11" t="s">
        <v>47</v>
      </c>
      <c r="C49" s="18">
        <v>0.2</v>
      </c>
      <c r="D49" s="12">
        <f t="shared" ref="D49:D56" si="0">TRUNC(($D$33+$D$43)*C49,2)</f>
        <v>913.19</v>
      </c>
    </row>
    <row r="50" spans="1:4" x14ac:dyDescent="0.25">
      <c r="A50" s="8" t="s">
        <v>4</v>
      </c>
      <c r="B50" s="11" t="s">
        <v>48</v>
      </c>
      <c r="C50" s="18">
        <v>2.5000000000000001E-2</v>
      </c>
      <c r="D50" s="12">
        <f t="shared" si="0"/>
        <v>114.14</v>
      </c>
    </row>
    <row r="51" spans="1:4" x14ac:dyDescent="0.25">
      <c r="A51" s="8" t="s">
        <v>6</v>
      </c>
      <c r="B51" s="11" t="s">
        <v>49</v>
      </c>
      <c r="C51" s="19">
        <v>0.03</v>
      </c>
      <c r="D51" s="12">
        <f t="shared" si="0"/>
        <v>136.97</v>
      </c>
    </row>
    <row r="52" spans="1:4" x14ac:dyDescent="0.25">
      <c r="A52" s="8" t="s">
        <v>8</v>
      </c>
      <c r="B52" s="11" t="s">
        <v>50</v>
      </c>
      <c r="C52" s="18">
        <v>1.4999999999999999E-2</v>
      </c>
      <c r="D52" s="12">
        <f t="shared" si="0"/>
        <v>68.48</v>
      </c>
    </row>
    <row r="53" spans="1:4" x14ac:dyDescent="0.25">
      <c r="A53" s="8" t="s">
        <v>32</v>
      </c>
      <c r="B53" s="11" t="s">
        <v>51</v>
      </c>
      <c r="C53" s="18">
        <v>0.01</v>
      </c>
      <c r="D53" s="12">
        <f t="shared" si="0"/>
        <v>45.65</v>
      </c>
    </row>
    <row r="54" spans="1:4" x14ac:dyDescent="0.25">
      <c r="A54" s="8" t="s">
        <v>52</v>
      </c>
      <c r="B54" s="11" t="s">
        <v>53</v>
      </c>
      <c r="C54" s="18">
        <v>6.0000000000000001E-3</v>
      </c>
      <c r="D54" s="12">
        <f t="shared" si="0"/>
        <v>27.39</v>
      </c>
    </row>
    <row r="55" spans="1:4" x14ac:dyDescent="0.25">
      <c r="A55" s="8" t="s">
        <v>34</v>
      </c>
      <c r="B55" s="11" t="s">
        <v>54</v>
      </c>
      <c r="C55" s="18">
        <v>2E-3</v>
      </c>
      <c r="D55" s="12">
        <f t="shared" si="0"/>
        <v>9.1300000000000008</v>
      </c>
    </row>
    <row r="56" spans="1:4" x14ac:dyDescent="0.25">
      <c r="A56" s="8" t="s">
        <v>55</v>
      </c>
      <c r="B56" s="11" t="s">
        <v>56</v>
      </c>
      <c r="C56" s="18">
        <v>0.08</v>
      </c>
      <c r="D56" s="12">
        <f t="shared" si="0"/>
        <v>365.27</v>
      </c>
    </row>
    <row r="57" spans="1:4" ht="12.75" customHeight="1" x14ac:dyDescent="0.25">
      <c r="A57" s="59" t="s">
        <v>57</v>
      </c>
      <c r="B57" s="59"/>
      <c r="C57" s="20">
        <f>SUM(C49:C56)</f>
        <v>0.36800000000000005</v>
      </c>
      <c r="D57" s="17">
        <f>SUM(D49:D56)</f>
        <v>1680.2200000000005</v>
      </c>
    </row>
    <row r="60" spans="1:4" x14ac:dyDescent="0.25">
      <c r="A60" s="61" t="s">
        <v>58</v>
      </c>
      <c r="B60" s="61"/>
      <c r="C60" s="61"/>
      <c r="D60" s="61"/>
    </row>
    <row r="62" spans="1:4" ht="12.75" customHeight="1" x14ac:dyDescent="0.25">
      <c r="A62" s="10" t="s">
        <v>59</v>
      </c>
      <c r="B62" s="63" t="s">
        <v>60</v>
      </c>
      <c r="C62" s="63"/>
      <c r="D62" s="10" t="s">
        <v>27</v>
      </c>
    </row>
    <row r="63" spans="1:4" ht="12.75" customHeight="1" x14ac:dyDescent="0.25">
      <c r="A63" s="8" t="s">
        <v>2</v>
      </c>
      <c r="B63" s="60" t="s">
        <v>61</v>
      </c>
      <c r="C63" s="60"/>
      <c r="D63" s="12">
        <f>IF((23*2*4.4)-(D26*0.06)&gt;0,(23*2*4.4)-(D26*0.06),0)</f>
        <v>0</v>
      </c>
    </row>
    <row r="64" spans="1:4" ht="12.75" customHeight="1" x14ac:dyDescent="0.25">
      <c r="A64" s="8" t="s">
        <v>4</v>
      </c>
      <c r="B64" s="60" t="s">
        <v>62</v>
      </c>
      <c r="C64" s="60"/>
      <c r="D64" s="12">
        <f>23*29*0.9</f>
        <v>600.30000000000007</v>
      </c>
    </row>
    <row r="65" spans="1:5" ht="12.75" customHeight="1" x14ac:dyDescent="0.25">
      <c r="A65" s="8" t="s">
        <v>6</v>
      </c>
      <c r="B65" s="60" t="s">
        <v>63</v>
      </c>
      <c r="C65" s="60"/>
      <c r="D65" s="12">
        <f>200*0.7</f>
        <v>140</v>
      </c>
    </row>
    <row r="66" spans="1:5" ht="12.75" customHeight="1" x14ac:dyDescent="0.25">
      <c r="A66" s="8" t="s">
        <v>8</v>
      </c>
      <c r="B66" s="60" t="s">
        <v>35</v>
      </c>
      <c r="C66" s="60"/>
      <c r="D66" s="12"/>
    </row>
    <row r="67" spans="1:5" ht="12.75" customHeight="1" x14ac:dyDescent="0.25">
      <c r="A67" s="59" t="s">
        <v>36</v>
      </c>
      <c r="B67" s="59"/>
      <c r="C67" s="59"/>
      <c r="D67" s="17">
        <f>SUM(D63:D66)</f>
        <v>740.30000000000007</v>
      </c>
    </row>
    <row r="70" spans="1:5" x14ac:dyDescent="0.25">
      <c r="A70" s="61" t="s">
        <v>64</v>
      </c>
      <c r="B70" s="61"/>
      <c r="C70" s="61"/>
      <c r="D70" s="61"/>
    </row>
    <row r="72" spans="1:5" ht="12.75" customHeight="1" x14ac:dyDescent="0.25">
      <c r="A72" s="10">
        <v>2</v>
      </c>
      <c r="B72" s="63" t="s">
        <v>65</v>
      </c>
      <c r="C72" s="63"/>
      <c r="D72" s="10" t="s">
        <v>27</v>
      </c>
    </row>
    <row r="73" spans="1:5" ht="12.75" customHeight="1" x14ac:dyDescent="0.25">
      <c r="A73" s="8" t="s">
        <v>39</v>
      </c>
      <c r="B73" s="60" t="s">
        <v>40</v>
      </c>
      <c r="C73" s="60"/>
      <c r="D73" s="21">
        <f>D43</f>
        <v>743.15</v>
      </c>
    </row>
    <row r="74" spans="1:5" ht="12.75" customHeight="1" x14ac:dyDescent="0.25">
      <c r="A74" s="8" t="s">
        <v>44</v>
      </c>
      <c r="B74" s="60" t="s">
        <v>45</v>
      </c>
      <c r="C74" s="60"/>
      <c r="D74" s="21">
        <f>D57</f>
        <v>1680.2200000000005</v>
      </c>
    </row>
    <row r="75" spans="1:5" ht="12.75" customHeight="1" x14ac:dyDescent="0.25">
      <c r="A75" s="8" t="s">
        <v>59</v>
      </c>
      <c r="B75" s="60" t="s">
        <v>60</v>
      </c>
      <c r="C75" s="60"/>
      <c r="D75" s="21">
        <f>D67</f>
        <v>740.30000000000007</v>
      </c>
    </row>
    <row r="76" spans="1:5" ht="12.75" customHeight="1" x14ac:dyDescent="0.25">
      <c r="A76" s="59" t="s">
        <v>36</v>
      </c>
      <c r="B76" s="59"/>
      <c r="C76" s="59"/>
      <c r="D76" s="17">
        <f>SUM(D73:D75)</f>
        <v>3163.6700000000005</v>
      </c>
    </row>
    <row r="77" spans="1:5" x14ac:dyDescent="0.25">
      <c r="A77" s="22"/>
      <c r="E77" s="23"/>
    </row>
    <row r="79" spans="1:5" x14ac:dyDescent="0.25">
      <c r="A79" s="54" t="s">
        <v>66</v>
      </c>
      <c r="B79" s="54"/>
      <c r="C79" s="54"/>
      <c r="D79" s="54"/>
      <c r="E79" s="24"/>
    </row>
    <row r="80" spans="1:5" ht="12.75" customHeight="1" x14ac:dyDescent="0.25">
      <c r="E80" s="23"/>
    </row>
    <row r="81" spans="1:4" ht="12.75" customHeight="1" x14ac:dyDescent="0.25">
      <c r="A81" s="10">
        <v>3</v>
      </c>
      <c r="B81" s="63" t="s">
        <v>67</v>
      </c>
      <c r="C81" s="63"/>
      <c r="D81" s="10" t="s">
        <v>27</v>
      </c>
    </row>
    <row r="82" spans="1:4" x14ac:dyDescent="0.25">
      <c r="A82" s="8" t="s">
        <v>2</v>
      </c>
      <c r="B82" s="25" t="s">
        <v>68</v>
      </c>
      <c r="C82" s="18">
        <f>TRUNC(((1/12)*5%),4)</f>
        <v>4.1000000000000003E-3</v>
      </c>
      <c r="D82" s="12">
        <f>TRUNC($D$33*C82,2)</f>
        <v>15.67</v>
      </c>
    </row>
    <row r="83" spans="1:4" x14ac:dyDescent="0.25">
      <c r="A83" s="8" t="s">
        <v>4</v>
      </c>
      <c r="B83" s="25" t="s">
        <v>69</v>
      </c>
      <c r="C83" s="18">
        <v>0.08</v>
      </c>
      <c r="D83" s="12">
        <f>TRUNC(D82*C83,2)</f>
        <v>1.25</v>
      </c>
    </row>
    <row r="84" spans="1:4" x14ac:dyDescent="0.25">
      <c r="A84" s="8" t="s">
        <v>6</v>
      </c>
      <c r="B84" s="25" t="s">
        <v>70</v>
      </c>
      <c r="C84" s="18">
        <f>TRUNC(8%*5%*40%,4)</f>
        <v>1.6000000000000001E-3</v>
      </c>
      <c r="D84" s="12">
        <f>TRUNC($D$33*C84,2)</f>
        <v>6.11</v>
      </c>
    </row>
    <row r="85" spans="1:4" x14ac:dyDescent="0.25">
      <c r="A85" s="8" t="s">
        <v>8</v>
      </c>
      <c r="B85" s="25" t="s">
        <v>71</v>
      </c>
      <c r="C85" s="18">
        <f>TRUNC(((7/30)/12)*95%,4)</f>
        <v>1.84E-2</v>
      </c>
      <c r="D85" s="12">
        <f>TRUNC($D$33*C85,2)</f>
        <v>70.34</v>
      </c>
    </row>
    <row r="86" spans="1:4" ht="25.5" x14ac:dyDescent="0.25">
      <c r="A86" s="8" t="s">
        <v>32</v>
      </c>
      <c r="B86" s="25" t="s">
        <v>72</v>
      </c>
      <c r="C86" s="18">
        <f>C57</f>
        <v>0.36800000000000005</v>
      </c>
      <c r="D86" s="12">
        <f>TRUNC(D85*C86,2)</f>
        <v>25.88</v>
      </c>
    </row>
    <row r="87" spans="1:4" x14ac:dyDescent="0.25">
      <c r="A87" s="8" t="s">
        <v>52</v>
      </c>
      <c r="B87" s="25" t="s">
        <v>73</v>
      </c>
      <c r="C87" s="18">
        <f>TRUNC(8%*95%*40%,4)</f>
        <v>3.04E-2</v>
      </c>
      <c r="D87" s="12">
        <f>TRUNC($D$33*C87,2)</f>
        <v>116.21</v>
      </c>
    </row>
    <row r="88" spans="1:4" ht="12.75" customHeight="1" x14ac:dyDescent="0.25">
      <c r="A88" s="59" t="s">
        <v>36</v>
      </c>
      <c r="B88" s="59"/>
      <c r="C88" s="59"/>
      <c r="D88" s="17">
        <f>SUM(D82:D87)</f>
        <v>235.45999999999998</v>
      </c>
    </row>
    <row r="91" spans="1:4" x14ac:dyDescent="0.25">
      <c r="A91" s="54" t="s">
        <v>74</v>
      </c>
      <c r="B91" s="54"/>
      <c r="C91" s="54"/>
      <c r="D91" s="54"/>
    </row>
    <row r="94" spans="1:4" x14ac:dyDescent="0.25">
      <c r="A94" s="61" t="s">
        <v>75</v>
      </c>
      <c r="B94" s="61"/>
      <c r="C94" s="61"/>
      <c r="D94" s="61"/>
    </row>
    <row r="95" spans="1:4" x14ac:dyDescent="0.25">
      <c r="A95" s="14"/>
    </row>
    <row r="96" spans="1:4" ht="12.75" customHeight="1" x14ac:dyDescent="0.25">
      <c r="A96" s="10" t="s">
        <v>76</v>
      </c>
      <c r="B96" s="63" t="s">
        <v>77</v>
      </c>
      <c r="C96" s="63"/>
      <c r="D96" s="10" t="s">
        <v>27</v>
      </c>
    </row>
    <row r="97" spans="1:6" x14ac:dyDescent="0.25">
      <c r="A97" s="8" t="s">
        <v>2</v>
      </c>
      <c r="B97" s="11" t="s">
        <v>78</v>
      </c>
      <c r="C97" s="18">
        <f>TRUNC(((1+1/3)/12)/12,4)</f>
        <v>9.1999999999999998E-3</v>
      </c>
      <c r="D97" s="12">
        <f t="shared" ref="D97:D102" si="1">TRUNC(($D$33+$D$76+$D$88)*C97,2)</f>
        <v>66.44</v>
      </c>
    </row>
    <row r="98" spans="1:6" x14ac:dyDescent="0.25">
      <c r="A98" s="8" t="s">
        <v>4</v>
      </c>
      <c r="B98" s="11" t="s">
        <v>79</v>
      </c>
      <c r="C98" s="18">
        <f>TRUNC(((2/30)/12),4)</f>
        <v>5.4999999999999997E-3</v>
      </c>
      <c r="D98" s="12">
        <f t="shared" si="1"/>
        <v>39.72</v>
      </c>
    </row>
    <row r="99" spans="1:6" x14ac:dyDescent="0.25">
      <c r="A99" s="8" t="s">
        <v>6</v>
      </c>
      <c r="B99" s="11" t="s">
        <v>80</v>
      </c>
      <c r="C99" s="18">
        <f>TRUNC(((5/30)/12)*2%,4)</f>
        <v>2.0000000000000001E-4</v>
      </c>
      <c r="D99" s="12">
        <f t="shared" si="1"/>
        <v>1.44</v>
      </c>
    </row>
    <row r="100" spans="1:6" x14ac:dyDescent="0.25">
      <c r="A100" s="8" t="s">
        <v>8</v>
      </c>
      <c r="B100" s="11" t="s">
        <v>81</v>
      </c>
      <c r="C100" s="18">
        <f>TRUNC(((15/30)/12)*8%,4)</f>
        <v>3.3E-3</v>
      </c>
      <c r="D100" s="12">
        <f t="shared" si="1"/>
        <v>23.83</v>
      </c>
    </row>
    <row r="101" spans="1:6" x14ac:dyDescent="0.25">
      <c r="A101" s="8" t="s">
        <v>32</v>
      </c>
      <c r="B101" s="11" t="s">
        <v>82</v>
      </c>
      <c r="C101" s="18">
        <f>((1+1/3)/12)*3%*(6/12)</f>
        <v>1.6666666666666666E-3</v>
      </c>
      <c r="D101" s="12">
        <f t="shared" si="1"/>
        <v>12.03</v>
      </c>
    </row>
    <row r="102" spans="1:6" x14ac:dyDescent="0.25">
      <c r="A102" s="8" t="s">
        <v>52</v>
      </c>
      <c r="B102" s="11" t="s">
        <v>83</v>
      </c>
      <c r="C102" s="18"/>
      <c r="D102" s="12">
        <f t="shared" si="1"/>
        <v>0</v>
      </c>
    </row>
    <row r="103" spans="1:6" ht="12.75" customHeight="1" x14ac:dyDescent="0.25">
      <c r="A103" s="59" t="s">
        <v>57</v>
      </c>
      <c r="B103" s="59"/>
      <c r="C103" s="59"/>
      <c r="D103" s="17">
        <f>SUM(D97:D102)</f>
        <v>143.46</v>
      </c>
      <c r="E103" s="24"/>
      <c r="F103" s="24"/>
    </row>
    <row r="106" spans="1:6" x14ac:dyDescent="0.25">
      <c r="A106" s="61" t="s">
        <v>84</v>
      </c>
      <c r="B106" s="61"/>
      <c r="C106" s="61"/>
      <c r="D106" s="61"/>
    </row>
    <row r="107" spans="1:6" x14ac:dyDescent="0.25">
      <c r="A107" s="14"/>
    </row>
    <row r="108" spans="1:6" ht="12.75" customHeight="1" x14ac:dyDescent="0.25">
      <c r="A108" s="10" t="s">
        <v>85</v>
      </c>
      <c r="B108" s="63" t="s">
        <v>86</v>
      </c>
      <c r="C108" s="63"/>
      <c r="D108" s="10" t="s">
        <v>27</v>
      </c>
    </row>
    <row r="109" spans="1:6" ht="12.75" customHeight="1" x14ac:dyDescent="0.25">
      <c r="A109" s="8" t="s">
        <v>2</v>
      </c>
      <c r="B109" s="60" t="s">
        <v>87</v>
      </c>
      <c r="C109" s="60"/>
      <c r="D109" s="12">
        <f>((D33+D76+D88)/220)*22*0</f>
        <v>0</v>
      </c>
    </row>
    <row r="110" spans="1:6" ht="12.75" customHeight="1" x14ac:dyDescent="0.25">
      <c r="A110" s="59" t="s">
        <v>36</v>
      </c>
      <c r="B110" s="59"/>
      <c r="C110" s="59"/>
      <c r="D110" s="17">
        <f>SUM(D109)</f>
        <v>0</v>
      </c>
    </row>
    <row r="113" spans="1:4" x14ac:dyDescent="0.25">
      <c r="A113" s="61" t="s">
        <v>88</v>
      </c>
      <c r="B113" s="61"/>
      <c r="C113" s="61"/>
      <c r="D113" s="61"/>
    </row>
    <row r="114" spans="1:4" x14ac:dyDescent="0.25">
      <c r="A114" s="14"/>
    </row>
    <row r="115" spans="1:4" ht="12.75" customHeight="1" x14ac:dyDescent="0.25">
      <c r="A115" s="10">
        <v>4</v>
      </c>
      <c r="B115" s="59" t="s">
        <v>89</v>
      </c>
      <c r="C115" s="59"/>
      <c r="D115" s="10" t="s">
        <v>27</v>
      </c>
    </row>
    <row r="116" spans="1:4" ht="12.75" customHeight="1" x14ac:dyDescent="0.25">
      <c r="A116" s="8" t="s">
        <v>76</v>
      </c>
      <c r="B116" s="60" t="s">
        <v>77</v>
      </c>
      <c r="C116" s="60"/>
      <c r="D116" s="21">
        <f>D103</f>
        <v>143.46</v>
      </c>
    </row>
    <row r="117" spans="1:4" ht="12.75" customHeight="1" x14ac:dyDescent="0.25">
      <c r="A117" s="8" t="s">
        <v>85</v>
      </c>
      <c r="B117" s="60" t="s">
        <v>86</v>
      </c>
      <c r="C117" s="60"/>
      <c r="D117" s="21">
        <f>D110</f>
        <v>0</v>
      </c>
    </row>
    <row r="118" spans="1:4" ht="12.75" customHeight="1" x14ac:dyDescent="0.25">
      <c r="A118" s="59" t="s">
        <v>36</v>
      </c>
      <c r="B118" s="59"/>
      <c r="C118" s="59"/>
      <c r="D118" s="17">
        <f>SUM(D116:D117)</f>
        <v>143.46</v>
      </c>
    </row>
    <row r="121" spans="1:4" x14ac:dyDescent="0.25">
      <c r="A121" s="54" t="s">
        <v>90</v>
      </c>
      <c r="B121" s="54"/>
      <c r="C121" s="54"/>
      <c r="D121" s="54"/>
    </row>
    <row r="123" spans="1:4" ht="12.75" customHeight="1" x14ac:dyDescent="0.25">
      <c r="A123" s="10">
        <v>5</v>
      </c>
      <c r="B123" s="64" t="s">
        <v>91</v>
      </c>
      <c r="C123" s="64"/>
      <c r="D123" s="10" t="s">
        <v>27</v>
      </c>
    </row>
    <row r="124" spans="1:4" x14ac:dyDescent="0.25">
      <c r="A124" s="8" t="s">
        <v>2</v>
      </c>
      <c r="B124" s="11" t="s">
        <v>92</v>
      </c>
      <c r="C124" s="11"/>
      <c r="D124" s="12">
        <v>0.43</v>
      </c>
    </row>
    <row r="125" spans="1:4" x14ac:dyDescent="0.25">
      <c r="A125" s="8" t="s">
        <v>4</v>
      </c>
      <c r="B125" s="11" t="s">
        <v>93</v>
      </c>
      <c r="C125" s="11"/>
      <c r="D125" s="12"/>
    </row>
    <row r="126" spans="1:4" x14ac:dyDescent="0.25">
      <c r="A126" s="8" t="s">
        <v>6</v>
      </c>
      <c r="B126" s="11" t="s">
        <v>94</v>
      </c>
      <c r="C126" s="11"/>
      <c r="D126" s="12"/>
    </row>
    <row r="127" spans="1:4" x14ac:dyDescent="0.25">
      <c r="A127" s="8" t="s">
        <v>8</v>
      </c>
      <c r="B127" s="11" t="s">
        <v>35</v>
      </c>
      <c r="C127" s="11"/>
      <c r="D127" s="12"/>
    </row>
    <row r="128" spans="1:4" ht="12.75" customHeight="1" x14ac:dyDescent="0.25">
      <c r="A128" s="59" t="s">
        <v>57</v>
      </c>
      <c r="B128" s="59"/>
      <c r="C128" s="59"/>
      <c r="D128" s="13">
        <f>SUM(D124:D127)</f>
        <v>0.43</v>
      </c>
    </row>
    <row r="131" spans="1:4" x14ac:dyDescent="0.25">
      <c r="A131" s="54" t="s">
        <v>95</v>
      </c>
      <c r="B131" s="54"/>
      <c r="C131" s="54"/>
      <c r="D131" s="54"/>
    </row>
    <row r="133" spans="1:4" x14ac:dyDescent="0.25">
      <c r="A133" s="10">
        <v>6</v>
      </c>
      <c r="B133" s="26" t="s">
        <v>96</v>
      </c>
      <c r="C133" s="10" t="s">
        <v>46</v>
      </c>
      <c r="D133" s="10" t="s">
        <v>27</v>
      </c>
    </row>
    <row r="134" spans="1:4" x14ac:dyDescent="0.25">
      <c r="A134" s="8" t="s">
        <v>2</v>
      </c>
      <c r="B134" s="11" t="s">
        <v>97</v>
      </c>
      <c r="C134" s="18">
        <v>0.05</v>
      </c>
      <c r="D134" s="21">
        <f>D154*C134</f>
        <v>368.29250000000002</v>
      </c>
    </row>
    <row r="135" spans="1:4" x14ac:dyDescent="0.25">
      <c r="A135" s="8" t="s">
        <v>4</v>
      </c>
      <c r="B135" s="11" t="s">
        <v>98</v>
      </c>
      <c r="C135" s="18">
        <v>0.06</v>
      </c>
      <c r="D135" s="12">
        <f>(D154+D134)*C135</f>
        <v>464.04854999999998</v>
      </c>
    </row>
    <row r="136" spans="1:4" x14ac:dyDescent="0.25">
      <c r="A136" s="8" t="s">
        <v>6</v>
      </c>
      <c r="B136" s="11" t="s">
        <v>99</v>
      </c>
      <c r="C136" s="15">
        <f>SUM(C137:C142)</f>
        <v>8.6499999999999994E-2</v>
      </c>
      <c r="D136" s="12">
        <f>(D154+D134+D135)*C136/(1-C136)</f>
        <v>776.29285804597691</v>
      </c>
    </row>
    <row r="137" spans="1:4" x14ac:dyDescent="0.25">
      <c r="A137" s="8"/>
      <c r="B137" s="11" t="s">
        <v>100</v>
      </c>
      <c r="C137" s="18"/>
      <c r="D137" s="21">
        <f t="shared" ref="D137:D142" si="2">$D$156*C137</f>
        <v>0</v>
      </c>
    </row>
    <row r="138" spans="1:4" x14ac:dyDescent="0.25">
      <c r="A138" s="8"/>
      <c r="B138" s="11" t="s">
        <v>101</v>
      </c>
      <c r="C138" s="18">
        <v>6.4999999999999997E-3</v>
      </c>
      <c r="D138" s="21">
        <f t="shared" si="2"/>
        <v>58.334119999999992</v>
      </c>
    </row>
    <row r="139" spans="1:4" x14ac:dyDescent="0.25">
      <c r="A139" s="8"/>
      <c r="B139" s="11" t="s">
        <v>102</v>
      </c>
      <c r="C139" s="18">
        <v>0.03</v>
      </c>
      <c r="D139" s="21">
        <f t="shared" si="2"/>
        <v>269.23439999999999</v>
      </c>
    </row>
    <row r="140" spans="1:4" x14ac:dyDescent="0.25">
      <c r="A140" s="8"/>
      <c r="B140" s="11" t="s">
        <v>103</v>
      </c>
      <c r="C140" s="8"/>
      <c r="D140" s="21">
        <f t="shared" si="2"/>
        <v>0</v>
      </c>
    </row>
    <row r="141" spans="1:4" x14ac:dyDescent="0.25">
      <c r="A141" s="8"/>
      <c r="B141" s="11" t="s">
        <v>104</v>
      </c>
      <c r="C141" s="18"/>
      <c r="D141" s="21">
        <f t="shared" si="2"/>
        <v>0</v>
      </c>
    </row>
    <row r="142" spans="1:4" x14ac:dyDescent="0.25">
      <c r="A142" s="8"/>
      <c r="B142" s="11" t="s">
        <v>105</v>
      </c>
      <c r="C142" s="18">
        <v>0.05</v>
      </c>
      <c r="D142" s="21">
        <f t="shared" si="2"/>
        <v>448.72399999999999</v>
      </c>
    </row>
    <row r="143" spans="1:4" ht="13.5" customHeight="1" x14ac:dyDescent="0.25">
      <c r="A143" s="65" t="s">
        <v>57</v>
      </c>
      <c r="B143" s="65"/>
      <c r="C143" s="27">
        <f>(1+C135)*(1+C134)/(1-C136)-1</f>
        <v>0.21839080459770144</v>
      </c>
      <c r="D143" s="17">
        <f>SUM(D134:D136)</f>
        <v>1608.633908045977</v>
      </c>
    </row>
    <row r="146" spans="1:4" x14ac:dyDescent="0.25">
      <c r="A146" s="54" t="s">
        <v>106</v>
      </c>
      <c r="B146" s="54"/>
      <c r="C146" s="54"/>
      <c r="D146" s="54"/>
    </row>
    <row r="148" spans="1:4" ht="12.75" customHeight="1" x14ac:dyDescent="0.25">
      <c r="A148" s="10"/>
      <c r="B148" s="59" t="s">
        <v>107</v>
      </c>
      <c r="C148" s="59"/>
      <c r="D148" s="10" t="s">
        <v>27</v>
      </c>
    </row>
    <row r="149" spans="1:4" ht="12.75" customHeight="1" x14ac:dyDescent="0.25">
      <c r="A149" s="10" t="s">
        <v>2</v>
      </c>
      <c r="B149" s="60" t="s">
        <v>25</v>
      </c>
      <c r="C149" s="60"/>
      <c r="D149" s="28">
        <f>D33</f>
        <v>3822.83</v>
      </c>
    </row>
    <row r="150" spans="1:4" ht="12.75" customHeight="1" x14ac:dyDescent="0.25">
      <c r="A150" s="10" t="s">
        <v>4</v>
      </c>
      <c r="B150" s="60" t="s">
        <v>37</v>
      </c>
      <c r="C150" s="60"/>
      <c r="D150" s="28">
        <f>D76</f>
        <v>3163.6700000000005</v>
      </c>
    </row>
    <row r="151" spans="1:4" ht="12.75" customHeight="1" x14ac:dyDescent="0.25">
      <c r="A151" s="10" t="s">
        <v>6</v>
      </c>
      <c r="B151" s="60" t="s">
        <v>66</v>
      </c>
      <c r="C151" s="60"/>
      <c r="D151" s="28">
        <f>D88</f>
        <v>235.45999999999998</v>
      </c>
    </row>
    <row r="152" spans="1:4" ht="12.75" customHeight="1" x14ac:dyDescent="0.25">
      <c r="A152" s="10" t="s">
        <v>8</v>
      </c>
      <c r="B152" s="60" t="s">
        <v>74</v>
      </c>
      <c r="C152" s="60"/>
      <c r="D152" s="28">
        <f>D118</f>
        <v>143.46</v>
      </c>
    </row>
    <row r="153" spans="1:4" ht="12.75" customHeight="1" x14ac:dyDescent="0.25">
      <c r="A153" s="10" t="s">
        <v>32</v>
      </c>
      <c r="B153" s="60" t="s">
        <v>90</v>
      </c>
      <c r="C153" s="60"/>
      <c r="D153" s="28">
        <f>D128</f>
        <v>0.43</v>
      </c>
    </row>
    <row r="154" spans="1:4" ht="12.75" customHeight="1" x14ac:dyDescent="0.25">
      <c r="A154" s="59" t="s">
        <v>108</v>
      </c>
      <c r="B154" s="59"/>
      <c r="C154" s="59"/>
      <c r="D154" s="29">
        <f>SUM(D149:D153)</f>
        <v>7365.85</v>
      </c>
    </row>
    <row r="155" spans="1:4" ht="12.75" customHeight="1" x14ac:dyDescent="0.25">
      <c r="A155" s="10" t="s">
        <v>52</v>
      </c>
      <c r="B155" s="60" t="s">
        <v>109</v>
      </c>
      <c r="C155" s="60"/>
      <c r="D155" s="30">
        <f>D143</f>
        <v>1608.633908045977</v>
      </c>
    </row>
    <row r="156" spans="1:4" ht="12.75" customHeight="1" x14ac:dyDescent="0.25">
      <c r="A156" s="59" t="s">
        <v>110</v>
      </c>
      <c r="B156" s="59"/>
      <c r="C156" s="59"/>
      <c r="D156" s="29">
        <f>TRUNC(SUM(D154:D155),2)</f>
        <v>8974.48</v>
      </c>
    </row>
  </sheetData>
  <mergeCells count="71">
    <mergeCell ref="A156:C156"/>
    <mergeCell ref="B151:C151"/>
    <mergeCell ref="B152:C152"/>
    <mergeCell ref="B153:C153"/>
    <mergeCell ref="A154:C154"/>
    <mergeCell ref="B155:C155"/>
    <mergeCell ref="A143:B143"/>
    <mergeCell ref="A146:D146"/>
    <mergeCell ref="B148:C148"/>
    <mergeCell ref="B149:C149"/>
    <mergeCell ref="B150:C150"/>
    <mergeCell ref="A118:C118"/>
    <mergeCell ref="A121:D121"/>
    <mergeCell ref="B123:C123"/>
    <mergeCell ref="A128:C128"/>
    <mergeCell ref="A131:D131"/>
    <mergeCell ref="A110:C110"/>
    <mergeCell ref="A113:D113"/>
    <mergeCell ref="B115:C115"/>
    <mergeCell ref="B116:C116"/>
    <mergeCell ref="B117:C117"/>
    <mergeCell ref="B96:C96"/>
    <mergeCell ref="A103:C103"/>
    <mergeCell ref="A106:D106"/>
    <mergeCell ref="B108:C108"/>
    <mergeCell ref="B109:C109"/>
    <mergeCell ref="A79:D79"/>
    <mergeCell ref="B81:C81"/>
    <mergeCell ref="A88:C88"/>
    <mergeCell ref="A91:D91"/>
    <mergeCell ref="A94:D94"/>
    <mergeCell ref="B72:C72"/>
    <mergeCell ref="B73:C73"/>
    <mergeCell ref="B74:C74"/>
    <mergeCell ref="B75:C75"/>
    <mergeCell ref="A76:C76"/>
    <mergeCell ref="B64:C64"/>
    <mergeCell ref="B65:C65"/>
    <mergeCell ref="B66:C66"/>
    <mergeCell ref="A67:C67"/>
    <mergeCell ref="A70:D70"/>
    <mergeCell ref="A46:D46"/>
    <mergeCell ref="A57:B57"/>
    <mergeCell ref="A60:D60"/>
    <mergeCell ref="B62:C62"/>
    <mergeCell ref="B63:C63"/>
    <mergeCell ref="A33:C33"/>
    <mergeCell ref="A36:D36"/>
    <mergeCell ref="A38:D38"/>
    <mergeCell ref="B40:C40"/>
    <mergeCell ref="A43:B43"/>
    <mergeCell ref="B28:C28"/>
    <mergeCell ref="B29:C29"/>
    <mergeCell ref="B30:C30"/>
    <mergeCell ref="B31:C31"/>
    <mergeCell ref="B32:C32"/>
    <mergeCell ref="C21:D21"/>
    <mergeCell ref="A23:D23"/>
    <mergeCell ref="B25:C25"/>
    <mergeCell ref="B26:C26"/>
    <mergeCell ref="B27:C27"/>
    <mergeCell ref="A15:D15"/>
    <mergeCell ref="C17:D17"/>
    <mergeCell ref="C18:D18"/>
    <mergeCell ref="C19:D19"/>
    <mergeCell ref="C20:D20"/>
    <mergeCell ref="A1:D1"/>
    <mergeCell ref="A3:D3"/>
    <mergeCell ref="A10:D10"/>
    <mergeCell ref="A12:B12"/>
    <mergeCell ref="A13:B13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0"/>
  <sheetViews>
    <sheetView view="pageBreakPreview" zoomScaleNormal="90" workbookViewId="0">
      <selection activeCell="D15" sqref="D15"/>
    </sheetView>
  </sheetViews>
  <sheetFormatPr defaultColWidth="9.140625" defaultRowHeight="15" x14ac:dyDescent="0.25"/>
  <cols>
    <col min="1" max="1" width="14.7109375" style="31" customWidth="1"/>
    <col min="2" max="2" width="32.7109375" style="32" customWidth="1"/>
    <col min="3" max="4" width="12.7109375" style="32" customWidth="1"/>
    <col min="5" max="5" width="14.5703125" style="32" customWidth="1"/>
    <col min="6" max="1024" width="9.140625" style="32"/>
  </cols>
  <sheetData>
    <row r="1" spans="1:5" ht="16.5" x14ac:dyDescent="0.25">
      <c r="A1" s="66" t="s">
        <v>163</v>
      </c>
      <c r="B1" s="66"/>
      <c r="C1" s="66"/>
      <c r="D1" s="66"/>
      <c r="E1" s="66"/>
    </row>
    <row r="3" spans="1:5" x14ac:dyDescent="0.25">
      <c r="A3" s="67" t="s">
        <v>18</v>
      </c>
      <c r="B3" s="67"/>
      <c r="C3" s="67"/>
      <c r="D3" s="67"/>
      <c r="E3" s="67"/>
    </row>
    <row r="4" spans="1:5" x14ac:dyDescent="0.25">
      <c r="A4" s="33" t="s">
        <v>2</v>
      </c>
      <c r="B4" s="68" t="s">
        <v>120</v>
      </c>
      <c r="C4" s="68"/>
      <c r="D4" s="68"/>
      <c r="E4" s="35">
        <f>engdados!D33</f>
        <v>7328.05</v>
      </c>
    </row>
    <row r="5" spans="1:5" x14ac:dyDescent="0.25">
      <c r="A5" s="33" t="s">
        <v>4</v>
      </c>
      <c r="B5" s="68" t="s">
        <v>121</v>
      </c>
      <c r="C5" s="68"/>
      <c r="D5" s="36">
        <f>engdados!C57</f>
        <v>0.36800000000000005</v>
      </c>
      <c r="E5" s="35">
        <f>E4*D5</f>
        <v>2696.7224000000006</v>
      </c>
    </row>
    <row r="6" spans="1:5" x14ac:dyDescent="0.25">
      <c r="A6" s="33" t="s">
        <v>6</v>
      </c>
      <c r="B6" s="68" t="s">
        <v>97</v>
      </c>
      <c r="C6" s="68"/>
      <c r="D6" s="36">
        <f>engdados!C134</f>
        <v>0.05</v>
      </c>
      <c r="E6" s="35">
        <f>TRUNC((E4+E5)*D6,2)</f>
        <v>501.23</v>
      </c>
    </row>
    <row r="7" spans="1:5" x14ac:dyDescent="0.25">
      <c r="A7" s="33" t="s">
        <v>8</v>
      </c>
      <c r="B7" s="68" t="s">
        <v>98</v>
      </c>
      <c r="C7" s="68"/>
      <c r="D7" s="36">
        <f>engdados!C135</f>
        <v>0.06</v>
      </c>
      <c r="E7" s="35">
        <f>TRUNC((E4+E5+E6)*D7,2)</f>
        <v>631.55999999999995</v>
      </c>
    </row>
    <row r="8" spans="1:5" x14ac:dyDescent="0.25">
      <c r="A8" s="33" t="s">
        <v>32</v>
      </c>
      <c r="B8" s="68" t="s">
        <v>99</v>
      </c>
      <c r="C8" s="68"/>
      <c r="D8" s="36">
        <f>engdados!C136</f>
        <v>8.6499999999999994E-2</v>
      </c>
      <c r="E8" s="35">
        <f>TRUNC((E4+E5+E6+E7)*D8/(1-D8),2)</f>
        <v>1056.51</v>
      </c>
    </row>
    <row r="9" spans="1:5" x14ac:dyDescent="0.25">
      <c r="A9" s="69" t="s">
        <v>122</v>
      </c>
      <c r="B9" s="69"/>
      <c r="C9" s="69"/>
      <c r="D9" s="69"/>
      <c r="E9" s="35">
        <f>SUM(E4:E8)</f>
        <v>12214.072400000001</v>
      </c>
    </row>
    <row r="10" spans="1:5" x14ac:dyDescent="0.25">
      <c r="A10" s="33" t="s">
        <v>52</v>
      </c>
      <c r="B10" s="68" t="s">
        <v>123</v>
      </c>
      <c r="C10" s="68"/>
      <c r="D10" s="68"/>
      <c r="E10" s="35">
        <f>TRUNC(E9/200,2)</f>
        <v>61.07</v>
      </c>
    </row>
    <row r="11" spans="1:5" x14ac:dyDescent="0.25">
      <c r="A11" s="33" t="s">
        <v>34</v>
      </c>
      <c r="B11" s="68" t="s">
        <v>124</v>
      </c>
      <c r="C11" s="68"/>
      <c r="D11" s="36">
        <v>0.5</v>
      </c>
      <c r="E11" s="35">
        <f>TRUNC(E10*(1+D11),2)</f>
        <v>91.6</v>
      </c>
    </row>
    <row r="12" spans="1:5" x14ac:dyDescent="0.25">
      <c r="A12" s="33" t="s">
        <v>55</v>
      </c>
      <c r="B12" s="68" t="s">
        <v>124</v>
      </c>
      <c r="C12" s="68"/>
      <c r="D12" s="36">
        <v>1</v>
      </c>
      <c r="E12" s="35">
        <f>TRUNC(E10*(1+D12),2)</f>
        <v>122.14</v>
      </c>
    </row>
    <row r="13" spans="1:5" x14ac:dyDescent="0.25">
      <c r="A13" s="70"/>
      <c r="B13" s="70"/>
      <c r="C13" s="70"/>
      <c r="D13" s="33" t="s">
        <v>125</v>
      </c>
      <c r="E13" s="33" t="s">
        <v>126</v>
      </c>
    </row>
    <row r="14" spans="1:5" x14ac:dyDescent="0.25">
      <c r="A14" s="33" t="s">
        <v>127</v>
      </c>
      <c r="B14" s="68" t="s">
        <v>128</v>
      </c>
      <c r="C14" s="68"/>
      <c r="D14" s="33">
        <v>80</v>
      </c>
      <c r="E14" s="35">
        <f>D14*E11</f>
        <v>7328</v>
      </c>
    </row>
    <row r="15" spans="1:5" x14ac:dyDescent="0.25">
      <c r="A15" s="33" t="s">
        <v>129</v>
      </c>
      <c r="B15" s="68" t="s">
        <v>130</v>
      </c>
      <c r="C15" s="68"/>
      <c r="D15" s="33">
        <v>0</v>
      </c>
      <c r="E15" s="35">
        <f>D15*E11</f>
        <v>0</v>
      </c>
    </row>
    <row r="16" spans="1:5" x14ac:dyDescent="0.25">
      <c r="A16" s="33" t="s">
        <v>131</v>
      </c>
      <c r="B16" s="68" t="s">
        <v>132</v>
      </c>
      <c r="C16" s="68"/>
      <c r="D16" s="33">
        <v>0</v>
      </c>
      <c r="E16" s="35">
        <f>D16*E12</f>
        <v>0</v>
      </c>
    </row>
    <row r="17" spans="1:5" x14ac:dyDescent="0.25">
      <c r="A17" s="71" t="s">
        <v>133</v>
      </c>
      <c r="B17" s="71"/>
      <c r="C17" s="71"/>
      <c r="D17" s="71"/>
      <c r="E17" s="37">
        <f>SUM(E14:E16)</f>
        <v>7328</v>
      </c>
    </row>
    <row r="18" spans="1:5" x14ac:dyDescent="0.25">
      <c r="A18" s="69" t="s">
        <v>134</v>
      </c>
      <c r="B18" s="69"/>
      <c r="C18" s="69"/>
      <c r="D18" s="69"/>
      <c r="E18" s="33">
        <v>1</v>
      </c>
    </row>
    <row r="19" spans="1:5" x14ac:dyDescent="0.25">
      <c r="A19" s="71" t="s">
        <v>135</v>
      </c>
      <c r="B19" s="71"/>
      <c r="C19" s="71"/>
      <c r="D19" s="71"/>
      <c r="E19" s="37">
        <f>E17*E18</f>
        <v>7328</v>
      </c>
    </row>
    <row r="20" spans="1:5" x14ac:dyDescent="0.25">
      <c r="A20" s="72" t="s">
        <v>136</v>
      </c>
      <c r="B20" s="72"/>
      <c r="C20" s="72"/>
      <c r="D20" s="33" t="s">
        <v>130</v>
      </c>
      <c r="E20" s="33" t="s">
        <v>137</v>
      </c>
    </row>
    <row r="21" spans="1:5" x14ac:dyDescent="0.25">
      <c r="A21" s="69" t="s">
        <v>138</v>
      </c>
      <c r="B21" s="69"/>
      <c r="C21" s="69"/>
      <c r="D21" s="33">
        <v>0</v>
      </c>
      <c r="E21" s="33">
        <v>0</v>
      </c>
    </row>
    <row r="22" spans="1:5" x14ac:dyDescent="0.25">
      <c r="A22" s="33" t="s">
        <v>139</v>
      </c>
      <c r="B22" s="68" t="s">
        <v>140</v>
      </c>
      <c r="C22" s="68"/>
      <c r="D22" s="35">
        <v>0</v>
      </c>
      <c r="E22" s="35">
        <v>0</v>
      </c>
    </row>
    <row r="23" spans="1:5" x14ac:dyDescent="0.25">
      <c r="A23" s="33" t="s">
        <v>141</v>
      </c>
      <c r="B23" s="68" t="s">
        <v>142</v>
      </c>
      <c r="C23" s="68"/>
      <c r="D23" s="35">
        <f>29*0.9</f>
        <v>26.1</v>
      </c>
      <c r="E23" s="35">
        <f>29*0.9</f>
        <v>26.1</v>
      </c>
    </row>
    <row r="24" spans="1:5" x14ac:dyDescent="0.25">
      <c r="A24" s="69" t="s">
        <v>143</v>
      </c>
      <c r="B24" s="69"/>
      <c r="C24" s="69"/>
      <c r="D24" s="35">
        <f>SUM(D22:D23)*$E$18*D21</f>
        <v>0</v>
      </c>
      <c r="E24" s="35">
        <f>SUM(E22:E23)*$E$18*E21</f>
        <v>0</v>
      </c>
    </row>
    <row r="25" spans="1:5" x14ac:dyDescent="0.25">
      <c r="A25" s="33" t="s">
        <v>144</v>
      </c>
      <c r="B25" s="34" t="s">
        <v>97</v>
      </c>
      <c r="C25" s="36">
        <f>D6</f>
        <v>0.05</v>
      </c>
      <c r="D25" s="35">
        <f>TRUNC((D24)*$C$25,2)</f>
        <v>0</v>
      </c>
      <c r="E25" s="35">
        <f>TRUNC((E24)*$C$25,2)</f>
        <v>0</v>
      </c>
    </row>
    <row r="26" spans="1:5" x14ac:dyDescent="0.25">
      <c r="A26" s="33" t="s">
        <v>145</v>
      </c>
      <c r="B26" s="34" t="s">
        <v>98</v>
      </c>
      <c r="C26" s="36">
        <f>D7</f>
        <v>0.06</v>
      </c>
      <c r="D26" s="35">
        <f>TRUNC((D24+D25)*$C$26,2)</f>
        <v>0</v>
      </c>
      <c r="E26" s="35">
        <f>TRUNC((E24+E25)*$C$26,2)</f>
        <v>0</v>
      </c>
    </row>
    <row r="27" spans="1:5" x14ac:dyDescent="0.25">
      <c r="A27" s="33" t="s">
        <v>146</v>
      </c>
      <c r="B27" s="34" t="s">
        <v>99</v>
      </c>
      <c r="C27" s="36">
        <f>D8</f>
        <v>8.6499999999999994E-2</v>
      </c>
      <c r="D27" s="35">
        <f>TRUNC((D24+D25+D26)*$C$27/(1-$C$27),2)</f>
        <v>0</v>
      </c>
      <c r="E27" s="35">
        <f>TRUNC((E24+E25+E26)*$C$27/(1-$C$27),2)</f>
        <v>0</v>
      </c>
    </row>
    <row r="28" spans="1:5" x14ac:dyDescent="0.25">
      <c r="A28" s="73" t="s">
        <v>147</v>
      </c>
      <c r="B28" s="73"/>
      <c r="C28" s="73"/>
      <c r="D28" s="35">
        <f>SUM(D24:D27)</f>
        <v>0</v>
      </c>
      <c r="E28" s="35">
        <f>SUM(E24:E27)</f>
        <v>0</v>
      </c>
    </row>
    <row r="29" spans="1:5" x14ac:dyDescent="0.25">
      <c r="A29" s="71" t="s">
        <v>148</v>
      </c>
      <c r="B29" s="71"/>
      <c r="C29" s="71"/>
      <c r="D29" s="71"/>
      <c r="E29" s="37">
        <f>SUM(D28:E28)</f>
        <v>0</v>
      </c>
    </row>
    <row r="30" spans="1:5" x14ac:dyDescent="0.25">
      <c r="A30" s="71" t="s">
        <v>149</v>
      </c>
      <c r="B30" s="71"/>
      <c r="C30" s="71"/>
      <c r="D30" s="71"/>
      <c r="E30" s="37">
        <f>E19+E29</f>
        <v>7328</v>
      </c>
    </row>
  </sheetData>
  <mergeCells count="26">
    <mergeCell ref="A30:D30"/>
    <mergeCell ref="B22:C22"/>
    <mergeCell ref="B23:C23"/>
    <mergeCell ref="A24:C24"/>
    <mergeCell ref="A28:C28"/>
    <mergeCell ref="A29:D29"/>
    <mergeCell ref="A17:D17"/>
    <mergeCell ref="A18:D18"/>
    <mergeCell ref="A19:D19"/>
    <mergeCell ref="A20:C20"/>
    <mergeCell ref="A21:C21"/>
    <mergeCell ref="B12:C12"/>
    <mergeCell ref="A13:C13"/>
    <mergeCell ref="B14:C14"/>
    <mergeCell ref="B15:C15"/>
    <mergeCell ref="B16:C16"/>
    <mergeCell ref="B7:C7"/>
    <mergeCell ref="B8:C8"/>
    <mergeCell ref="A9:D9"/>
    <mergeCell ref="B10:D10"/>
    <mergeCell ref="B11:C11"/>
    <mergeCell ref="A1:E1"/>
    <mergeCell ref="A3:E3"/>
    <mergeCell ref="B4:D4"/>
    <mergeCell ref="B5:C5"/>
    <mergeCell ref="B6:C6"/>
  </mergeCells>
  <pageMargins left="0.78740157480314965" right="0.78740157480314965" top="0.9055118110236221" bottom="0.9055118110236221" header="0.51181102362204722" footer="0.51181102362204722"/>
  <pageSetup paperSize="9" scale="97" firstPageNumber="0" orientation="portrait" horizontalDpi="300" verticalDpi="300" r:id="rId1"/>
  <rowBreaks count="1" manualBreakCount="1">
    <brk id="30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0"/>
  <sheetViews>
    <sheetView view="pageBreakPreview" zoomScaleNormal="90" workbookViewId="0">
      <selection activeCell="D15" sqref="D15"/>
    </sheetView>
  </sheetViews>
  <sheetFormatPr defaultColWidth="9.140625" defaultRowHeight="15" x14ac:dyDescent="0.25"/>
  <cols>
    <col min="1" max="1" width="14.7109375" style="31" customWidth="1"/>
    <col min="2" max="2" width="32.7109375" style="32" customWidth="1"/>
    <col min="3" max="4" width="12.7109375" style="32" customWidth="1"/>
    <col min="5" max="5" width="14.5703125" style="32" customWidth="1"/>
    <col min="6" max="1024" width="9.140625" style="32"/>
  </cols>
  <sheetData>
    <row r="1" spans="1:5" ht="16.5" x14ac:dyDescent="0.25">
      <c r="A1" s="66" t="s">
        <v>163</v>
      </c>
      <c r="B1" s="66"/>
      <c r="C1" s="66"/>
      <c r="D1" s="66"/>
      <c r="E1" s="66"/>
    </row>
    <row r="3" spans="1:5" x14ac:dyDescent="0.25">
      <c r="A3" s="67" t="s">
        <v>112</v>
      </c>
      <c r="B3" s="67"/>
      <c r="C3" s="67"/>
      <c r="D3" s="67"/>
      <c r="E3" s="67"/>
    </row>
    <row r="4" spans="1:5" x14ac:dyDescent="0.25">
      <c r="A4" s="33" t="s">
        <v>2</v>
      </c>
      <c r="B4" s="68" t="s">
        <v>120</v>
      </c>
      <c r="C4" s="68"/>
      <c r="D4" s="68"/>
      <c r="E4" s="35">
        <f>ciendados!D33</f>
        <v>6117.28</v>
      </c>
    </row>
    <row r="5" spans="1:5" x14ac:dyDescent="0.25">
      <c r="A5" s="33" t="s">
        <v>4</v>
      </c>
      <c r="B5" s="68" t="s">
        <v>121</v>
      </c>
      <c r="C5" s="68"/>
      <c r="D5" s="36">
        <f>ciendados!C57</f>
        <v>0.36800000000000005</v>
      </c>
      <c r="E5" s="35">
        <f>E4*D5</f>
        <v>2251.15904</v>
      </c>
    </row>
    <row r="6" spans="1:5" x14ac:dyDescent="0.25">
      <c r="A6" s="33" t="s">
        <v>6</v>
      </c>
      <c r="B6" s="68" t="s">
        <v>97</v>
      </c>
      <c r="C6" s="68"/>
      <c r="D6" s="36">
        <f>ciendados!C134</f>
        <v>0.05</v>
      </c>
      <c r="E6" s="35">
        <f>TRUNC((E4+E5)*D6,2)</f>
        <v>418.42</v>
      </c>
    </row>
    <row r="7" spans="1:5" x14ac:dyDescent="0.25">
      <c r="A7" s="33" t="s">
        <v>8</v>
      </c>
      <c r="B7" s="68" t="s">
        <v>98</v>
      </c>
      <c r="C7" s="68"/>
      <c r="D7" s="36">
        <f>ciendados!C135</f>
        <v>0.06</v>
      </c>
      <c r="E7" s="35">
        <f>TRUNC((E4+E5+E6)*D7,2)</f>
        <v>527.21</v>
      </c>
    </row>
    <row r="8" spans="1:5" x14ac:dyDescent="0.25">
      <c r="A8" s="33" t="s">
        <v>32</v>
      </c>
      <c r="B8" s="68" t="s">
        <v>99</v>
      </c>
      <c r="C8" s="68"/>
      <c r="D8" s="36">
        <f>ciendados!C136</f>
        <v>8.6499999999999994E-2</v>
      </c>
      <c r="E8" s="35">
        <f>TRUNC((E4+E5+E6+E7)*D8/(1-D8),2)</f>
        <v>881.95</v>
      </c>
    </row>
    <row r="9" spans="1:5" x14ac:dyDescent="0.25">
      <c r="A9" s="69" t="s">
        <v>122</v>
      </c>
      <c r="B9" s="69"/>
      <c r="C9" s="69"/>
      <c r="D9" s="69"/>
      <c r="E9" s="35">
        <f>SUM(E4:E8)</f>
        <v>10196.019039999999</v>
      </c>
    </row>
    <row r="10" spans="1:5" x14ac:dyDescent="0.25">
      <c r="A10" s="33" t="s">
        <v>52</v>
      </c>
      <c r="B10" s="68" t="s">
        <v>123</v>
      </c>
      <c r="C10" s="68"/>
      <c r="D10" s="68"/>
      <c r="E10" s="35">
        <f>TRUNC(E9/200,2)</f>
        <v>50.98</v>
      </c>
    </row>
    <row r="11" spans="1:5" x14ac:dyDescent="0.25">
      <c r="A11" s="33" t="s">
        <v>34</v>
      </c>
      <c r="B11" s="68" t="s">
        <v>124</v>
      </c>
      <c r="C11" s="68"/>
      <c r="D11" s="36">
        <v>0.5</v>
      </c>
      <c r="E11" s="35">
        <f>TRUNC(E10*(1+D11),2)</f>
        <v>76.47</v>
      </c>
    </row>
    <row r="12" spans="1:5" x14ac:dyDescent="0.25">
      <c r="A12" s="33" t="s">
        <v>55</v>
      </c>
      <c r="B12" s="68" t="s">
        <v>124</v>
      </c>
      <c r="C12" s="68"/>
      <c r="D12" s="36">
        <v>1</v>
      </c>
      <c r="E12" s="35">
        <f>TRUNC(E10*(1+D12),2)</f>
        <v>101.96</v>
      </c>
    </row>
    <row r="13" spans="1:5" x14ac:dyDescent="0.25">
      <c r="A13" s="70"/>
      <c r="B13" s="70"/>
      <c r="C13" s="70"/>
      <c r="D13" s="33" t="s">
        <v>125</v>
      </c>
      <c r="E13" s="33" t="s">
        <v>126</v>
      </c>
    </row>
    <row r="14" spans="1:5" x14ac:dyDescent="0.25">
      <c r="A14" s="33" t="s">
        <v>127</v>
      </c>
      <c r="B14" s="68" t="s">
        <v>128</v>
      </c>
      <c r="C14" s="68"/>
      <c r="D14" s="33">
        <v>80</v>
      </c>
      <c r="E14" s="35">
        <f>D14*E11</f>
        <v>6117.6</v>
      </c>
    </row>
    <row r="15" spans="1:5" x14ac:dyDescent="0.25">
      <c r="A15" s="33" t="s">
        <v>129</v>
      </c>
      <c r="B15" s="68" t="s">
        <v>130</v>
      </c>
      <c r="C15" s="68"/>
      <c r="D15" s="33">
        <v>0</v>
      </c>
      <c r="E15" s="35">
        <f>D15*E11</f>
        <v>0</v>
      </c>
    </row>
    <row r="16" spans="1:5" x14ac:dyDescent="0.25">
      <c r="A16" s="33" t="s">
        <v>131</v>
      </c>
      <c r="B16" s="68" t="s">
        <v>132</v>
      </c>
      <c r="C16" s="68"/>
      <c r="D16" s="33">
        <v>0</v>
      </c>
      <c r="E16" s="35">
        <f>D16*E12</f>
        <v>0</v>
      </c>
    </row>
    <row r="17" spans="1:5" x14ac:dyDescent="0.25">
      <c r="A17" s="71" t="s">
        <v>133</v>
      </c>
      <c r="B17" s="71"/>
      <c r="C17" s="71"/>
      <c r="D17" s="71"/>
      <c r="E17" s="37">
        <f>SUM(E14:E16)</f>
        <v>6117.6</v>
      </c>
    </row>
    <row r="18" spans="1:5" x14ac:dyDescent="0.25">
      <c r="A18" s="69" t="s">
        <v>134</v>
      </c>
      <c r="B18" s="69"/>
      <c r="C18" s="69"/>
      <c r="D18" s="69"/>
      <c r="E18" s="33">
        <v>1</v>
      </c>
    </row>
    <row r="19" spans="1:5" x14ac:dyDescent="0.25">
      <c r="A19" s="71" t="s">
        <v>135</v>
      </c>
      <c r="B19" s="71"/>
      <c r="C19" s="71"/>
      <c r="D19" s="71"/>
      <c r="E19" s="37">
        <f>E17*E18</f>
        <v>6117.6</v>
      </c>
    </row>
    <row r="20" spans="1:5" x14ac:dyDescent="0.25">
      <c r="A20" s="72" t="s">
        <v>136</v>
      </c>
      <c r="B20" s="72"/>
      <c r="C20" s="72"/>
      <c r="D20" s="33" t="s">
        <v>130</v>
      </c>
      <c r="E20" s="33" t="s">
        <v>137</v>
      </c>
    </row>
    <row r="21" spans="1:5" x14ac:dyDescent="0.25">
      <c r="A21" s="69" t="s">
        <v>138</v>
      </c>
      <c r="B21" s="69"/>
      <c r="C21" s="69"/>
      <c r="D21" s="33">
        <v>0</v>
      </c>
      <c r="E21" s="33">
        <v>0</v>
      </c>
    </row>
    <row r="22" spans="1:5" x14ac:dyDescent="0.25">
      <c r="A22" s="33" t="s">
        <v>139</v>
      </c>
      <c r="B22" s="68" t="s">
        <v>140</v>
      </c>
      <c r="C22" s="68"/>
      <c r="D22" s="35">
        <v>0</v>
      </c>
      <c r="E22" s="35">
        <v>0</v>
      </c>
    </row>
    <row r="23" spans="1:5" x14ac:dyDescent="0.25">
      <c r="A23" s="33" t="s">
        <v>141</v>
      </c>
      <c r="B23" s="68" t="s">
        <v>142</v>
      </c>
      <c r="C23" s="68"/>
      <c r="D23" s="35">
        <f>29*0.9</f>
        <v>26.1</v>
      </c>
      <c r="E23" s="35">
        <f>29*0.9</f>
        <v>26.1</v>
      </c>
    </row>
    <row r="24" spans="1:5" x14ac:dyDescent="0.25">
      <c r="A24" s="69" t="s">
        <v>143</v>
      </c>
      <c r="B24" s="69"/>
      <c r="C24" s="69"/>
      <c r="D24" s="35">
        <f>SUM(D22:D23)*$E$18*D21</f>
        <v>0</v>
      </c>
      <c r="E24" s="35">
        <f>SUM(E22:E23)*$E$18*E21</f>
        <v>0</v>
      </c>
    </row>
    <row r="25" spans="1:5" x14ac:dyDescent="0.25">
      <c r="A25" s="33" t="s">
        <v>144</v>
      </c>
      <c r="B25" s="34" t="s">
        <v>97</v>
      </c>
      <c r="C25" s="36">
        <f>D6</f>
        <v>0.05</v>
      </c>
      <c r="D25" s="35">
        <f>TRUNC((D24)*$C$25,2)</f>
        <v>0</v>
      </c>
      <c r="E25" s="35">
        <f>TRUNC((E24)*$C$25,2)</f>
        <v>0</v>
      </c>
    </row>
    <row r="26" spans="1:5" x14ac:dyDescent="0.25">
      <c r="A26" s="33" t="s">
        <v>145</v>
      </c>
      <c r="B26" s="34" t="s">
        <v>98</v>
      </c>
      <c r="C26" s="36">
        <f>D7</f>
        <v>0.06</v>
      </c>
      <c r="D26" s="35">
        <f>TRUNC((D24+D25)*$C$26,2)</f>
        <v>0</v>
      </c>
      <c r="E26" s="35">
        <f>TRUNC((E24+E25)*$C$26,2)</f>
        <v>0</v>
      </c>
    </row>
    <row r="27" spans="1:5" x14ac:dyDescent="0.25">
      <c r="A27" s="33" t="s">
        <v>146</v>
      </c>
      <c r="B27" s="34" t="s">
        <v>99</v>
      </c>
      <c r="C27" s="36">
        <f>D8</f>
        <v>8.6499999999999994E-2</v>
      </c>
      <c r="D27" s="35">
        <f>TRUNC((D24+D25+D26)*$C$27/(1-$C$27),2)</f>
        <v>0</v>
      </c>
      <c r="E27" s="35">
        <f>TRUNC((E24+E25+E26)*$C$27/(1-$C$27),2)</f>
        <v>0</v>
      </c>
    </row>
    <row r="28" spans="1:5" x14ac:dyDescent="0.25">
      <c r="A28" s="73" t="s">
        <v>147</v>
      </c>
      <c r="B28" s="73"/>
      <c r="C28" s="73"/>
      <c r="D28" s="35">
        <f>SUM(D24:D27)</f>
        <v>0</v>
      </c>
      <c r="E28" s="35">
        <f>SUM(E24:E27)</f>
        <v>0</v>
      </c>
    </row>
    <row r="29" spans="1:5" x14ac:dyDescent="0.25">
      <c r="A29" s="71" t="s">
        <v>148</v>
      </c>
      <c r="B29" s="71"/>
      <c r="C29" s="71"/>
      <c r="D29" s="71"/>
      <c r="E29" s="37">
        <f>SUM(D28:E28)</f>
        <v>0</v>
      </c>
    </row>
    <row r="30" spans="1:5" x14ac:dyDescent="0.25">
      <c r="A30" s="71" t="s">
        <v>149</v>
      </c>
      <c r="B30" s="71"/>
      <c r="C30" s="71"/>
      <c r="D30" s="71"/>
      <c r="E30" s="37">
        <f>E19+E29</f>
        <v>6117.6</v>
      </c>
    </row>
  </sheetData>
  <mergeCells count="26">
    <mergeCell ref="A30:D30"/>
    <mergeCell ref="B22:C22"/>
    <mergeCell ref="B23:C23"/>
    <mergeCell ref="A24:C24"/>
    <mergeCell ref="A28:C28"/>
    <mergeCell ref="A29:D29"/>
    <mergeCell ref="A17:D17"/>
    <mergeCell ref="A18:D18"/>
    <mergeCell ref="A19:D19"/>
    <mergeCell ref="A20:C20"/>
    <mergeCell ref="A21:C21"/>
    <mergeCell ref="B12:C12"/>
    <mergeCell ref="A13:C13"/>
    <mergeCell ref="B14:C14"/>
    <mergeCell ref="B15:C15"/>
    <mergeCell ref="B16:C16"/>
    <mergeCell ref="B7:C7"/>
    <mergeCell ref="B8:C8"/>
    <mergeCell ref="A9:D9"/>
    <mergeCell ref="B10:D10"/>
    <mergeCell ref="B11:C11"/>
    <mergeCell ref="A1:E1"/>
    <mergeCell ref="A3:E3"/>
    <mergeCell ref="B4:D4"/>
    <mergeCell ref="B5:C5"/>
    <mergeCell ref="B6:C6"/>
  </mergeCells>
  <pageMargins left="0.78740157480314965" right="0.78740157480314965" top="0.9055118110236221" bottom="0.9055118110236221" header="0.51181102362204722" footer="0.51181102362204722"/>
  <pageSetup paperSize="9" scale="97" firstPageNumber="0" orientation="portrait" horizontalDpi="300" verticalDpi="300" r:id="rId1"/>
  <rowBreaks count="1" manualBreakCount="1">
    <brk id="30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0"/>
  <sheetViews>
    <sheetView view="pageBreakPreview" zoomScaleNormal="90" workbookViewId="0">
      <selection activeCell="D23" sqref="D23"/>
    </sheetView>
  </sheetViews>
  <sheetFormatPr defaultColWidth="9.140625" defaultRowHeight="15" x14ac:dyDescent="0.25"/>
  <cols>
    <col min="1" max="1" width="14.7109375" style="31" customWidth="1"/>
    <col min="2" max="2" width="32.7109375" style="32" customWidth="1"/>
    <col min="3" max="4" width="12.7109375" style="32" customWidth="1"/>
    <col min="5" max="5" width="14.5703125" style="32" customWidth="1"/>
    <col min="6" max="1024" width="9.140625" style="32"/>
  </cols>
  <sheetData>
    <row r="1" spans="1:5" ht="16.5" x14ac:dyDescent="0.25">
      <c r="A1" s="66" t="s">
        <v>163</v>
      </c>
      <c r="B1" s="66"/>
      <c r="C1" s="66"/>
      <c r="D1" s="66"/>
      <c r="E1" s="66"/>
    </row>
    <row r="3" spans="1:5" x14ac:dyDescent="0.25">
      <c r="A3" s="67" t="s">
        <v>115</v>
      </c>
      <c r="B3" s="67"/>
      <c r="C3" s="67"/>
      <c r="D3" s="67"/>
      <c r="E3" s="67"/>
    </row>
    <row r="4" spans="1:5" x14ac:dyDescent="0.25">
      <c r="A4" s="33" t="s">
        <v>2</v>
      </c>
      <c r="B4" s="68" t="s">
        <v>120</v>
      </c>
      <c r="C4" s="68"/>
      <c r="D4" s="68"/>
      <c r="E4" s="35">
        <f>engsoft!D33</f>
        <v>10083.219999999999</v>
      </c>
    </row>
    <row r="5" spans="1:5" x14ac:dyDescent="0.25">
      <c r="A5" s="33" t="s">
        <v>4</v>
      </c>
      <c r="B5" s="68" t="s">
        <v>121</v>
      </c>
      <c r="C5" s="68"/>
      <c r="D5" s="36">
        <f>engsoft!C57</f>
        <v>0.36800000000000005</v>
      </c>
      <c r="E5" s="35">
        <f>E4*D5</f>
        <v>3710.6249600000001</v>
      </c>
    </row>
    <row r="6" spans="1:5" x14ac:dyDescent="0.25">
      <c r="A6" s="33" t="s">
        <v>6</v>
      </c>
      <c r="B6" s="68" t="s">
        <v>97</v>
      </c>
      <c r="C6" s="68"/>
      <c r="D6" s="36">
        <f>engsoft!C134</f>
        <v>0.05</v>
      </c>
      <c r="E6" s="35">
        <f>TRUNC((E4+E5)*D6,2)</f>
        <v>689.69</v>
      </c>
    </row>
    <row r="7" spans="1:5" x14ac:dyDescent="0.25">
      <c r="A7" s="33" t="s">
        <v>8</v>
      </c>
      <c r="B7" s="68" t="s">
        <v>98</v>
      </c>
      <c r="C7" s="68"/>
      <c r="D7" s="36">
        <f>engsoft!C135</f>
        <v>0.06</v>
      </c>
      <c r="E7" s="35">
        <f>TRUNC((E4+E5+E6)*D7,2)</f>
        <v>869.01</v>
      </c>
    </row>
    <row r="8" spans="1:5" x14ac:dyDescent="0.25">
      <c r="A8" s="33" t="s">
        <v>32</v>
      </c>
      <c r="B8" s="68" t="s">
        <v>99</v>
      </c>
      <c r="C8" s="68"/>
      <c r="D8" s="36">
        <f>engsoft!C136</f>
        <v>8.6499999999999994E-2</v>
      </c>
      <c r="E8" s="35">
        <f>TRUNC((E4+E5+E6+E7)*D8/(1-D8),2)</f>
        <v>1453.74</v>
      </c>
    </row>
    <row r="9" spans="1:5" x14ac:dyDescent="0.25">
      <c r="A9" s="69" t="s">
        <v>122</v>
      </c>
      <c r="B9" s="69"/>
      <c r="C9" s="69"/>
      <c r="D9" s="69"/>
      <c r="E9" s="35">
        <f>SUM(E4:E8)</f>
        <v>16806.284960000001</v>
      </c>
    </row>
    <row r="10" spans="1:5" x14ac:dyDescent="0.25">
      <c r="A10" s="33" t="s">
        <v>52</v>
      </c>
      <c r="B10" s="68" t="s">
        <v>123</v>
      </c>
      <c r="C10" s="68"/>
      <c r="D10" s="68"/>
      <c r="E10" s="35">
        <f>TRUNC(E9/200,2)</f>
        <v>84.03</v>
      </c>
    </row>
    <row r="11" spans="1:5" x14ac:dyDescent="0.25">
      <c r="A11" s="33" t="s">
        <v>34</v>
      </c>
      <c r="B11" s="68" t="s">
        <v>124</v>
      </c>
      <c r="C11" s="68"/>
      <c r="D11" s="36">
        <v>0.5</v>
      </c>
      <c r="E11" s="35">
        <f>TRUNC(E10*(1+D11),2)</f>
        <v>126.04</v>
      </c>
    </row>
    <row r="12" spans="1:5" x14ac:dyDescent="0.25">
      <c r="A12" s="33" t="s">
        <v>55</v>
      </c>
      <c r="B12" s="68" t="s">
        <v>124</v>
      </c>
      <c r="C12" s="68"/>
      <c r="D12" s="36">
        <v>1</v>
      </c>
      <c r="E12" s="35">
        <f>TRUNC(E10*(1+D12),2)</f>
        <v>168.06</v>
      </c>
    </row>
    <row r="13" spans="1:5" x14ac:dyDescent="0.25">
      <c r="A13" s="70"/>
      <c r="B13" s="70"/>
      <c r="C13" s="70"/>
      <c r="D13" s="33" t="s">
        <v>125</v>
      </c>
      <c r="E13" s="33" t="s">
        <v>126</v>
      </c>
    </row>
    <row r="14" spans="1:5" x14ac:dyDescent="0.25">
      <c r="A14" s="33" t="s">
        <v>127</v>
      </c>
      <c r="B14" s="68" t="s">
        <v>128</v>
      </c>
      <c r="C14" s="68"/>
      <c r="D14" s="33">
        <v>80</v>
      </c>
      <c r="E14" s="35">
        <f>D14*E11</f>
        <v>10083.200000000001</v>
      </c>
    </row>
    <row r="15" spans="1:5" x14ac:dyDescent="0.25">
      <c r="A15" s="33" t="s">
        <v>129</v>
      </c>
      <c r="B15" s="68" t="s">
        <v>130</v>
      </c>
      <c r="C15" s="68"/>
      <c r="D15" s="33">
        <v>0</v>
      </c>
      <c r="E15" s="35">
        <f>D15*E11</f>
        <v>0</v>
      </c>
    </row>
    <row r="16" spans="1:5" x14ac:dyDescent="0.25">
      <c r="A16" s="33" t="s">
        <v>131</v>
      </c>
      <c r="B16" s="68" t="s">
        <v>132</v>
      </c>
      <c r="C16" s="68"/>
      <c r="D16" s="33">
        <v>0</v>
      </c>
      <c r="E16" s="35">
        <f>D16*E12</f>
        <v>0</v>
      </c>
    </row>
    <row r="17" spans="1:5" x14ac:dyDescent="0.25">
      <c r="A17" s="71" t="s">
        <v>133</v>
      </c>
      <c r="B17" s="71"/>
      <c r="C17" s="71"/>
      <c r="D17" s="71"/>
      <c r="E17" s="37">
        <f>SUM(E14:E16)</f>
        <v>10083.200000000001</v>
      </c>
    </row>
    <row r="18" spans="1:5" x14ac:dyDescent="0.25">
      <c r="A18" s="69" t="s">
        <v>134</v>
      </c>
      <c r="B18" s="69"/>
      <c r="C18" s="69"/>
      <c r="D18" s="69"/>
      <c r="E18" s="33">
        <v>6</v>
      </c>
    </row>
    <row r="19" spans="1:5" x14ac:dyDescent="0.25">
      <c r="A19" s="71" t="s">
        <v>135</v>
      </c>
      <c r="B19" s="71"/>
      <c r="C19" s="71"/>
      <c r="D19" s="71"/>
      <c r="E19" s="37">
        <f>E17*E18</f>
        <v>60499.200000000004</v>
      </c>
    </row>
    <row r="20" spans="1:5" x14ac:dyDescent="0.25">
      <c r="A20" s="72" t="s">
        <v>136</v>
      </c>
      <c r="B20" s="72"/>
      <c r="C20" s="72"/>
      <c r="D20" s="33" t="s">
        <v>130</v>
      </c>
      <c r="E20" s="33" t="s">
        <v>137</v>
      </c>
    </row>
    <row r="21" spans="1:5" x14ac:dyDescent="0.25">
      <c r="A21" s="69" t="s">
        <v>138</v>
      </c>
      <c r="B21" s="69"/>
      <c r="C21" s="69"/>
      <c r="D21" s="33">
        <v>0</v>
      </c>
      <c r="E21" s="33">
        <v>0</v>
      </c>
    </row>
    <row r="22" spans="1:5" x14ac:dyDescent="0.25">
      <c r="A22" s="33" t="s">
        <v>139</v>
      </c>
      <c r="B22" s="68" t="s">
        <v>140</v>
      </c>
      <c r="C22" s="68"/>
      <c r="D22" s="35">
        <v>0</v>
      </c>
      <c r="E22" s="35">
        <v>0</v>
      </c>
    </row>
    <row r="23" spans="1:5" x14ac:dyDescent="0.25">
      <c r="A23" s="33" t="s">
        <v>141</v>
      </c>
      <c r="B23" s="68" t="s">
        <v>142</v>
      </c>
      <c r="C23" s="68"/>
      <c r="D23" s="35">
        <f>29*0.9</f>
        <v>26.1</v>
      </c>
      <c r="E23" s="35">
        <f>29*0.9</f>
        <v>26.1</v>
      </c>
    </row>
    <row r="24" spans="1:5" x14ac:dyDescent="0.25">
      <c r="A24" s="69" t="s">
        <v>143</v>
      </c>
      <c r="B24" s="69"/>
      <c r="C24" s="69"/>
      <c r="D24" s="35">
        <f>SUM(D22:D23)*$E$18*D21</f>
        <v>0</v>
      </c>
      <c r="E24" s="35">
        <f>SUM(E22:E23)*$E$18*E21</f>
        <v>0</v>
      </c>
    </row>
    <row r="25" spans="1:5" x14ac:dyDescent="0.25">
      <c r="A25" s="33" t="s">
        <v>144</v>
      </c>
      <c r="B25" s="34" t="s">
        <v>97</v>
      </c>
      <c r="C25" s="36">
        <f>D6</f>
        <v>0.05</v>
      </c>
      <c r="D25" s="35">
        <f>TRUNC((D24)*$C$25,2)</f>
        <v>0</v>
      </c>
      <c r="E25" s="35">
        <f>TRUNC((E24)*$C$25,2)</f>
        <v>0</v>
      </c>
    </row>
    <row r="26" spans="1:5" x14ac:dyDescent="0.25">
      <c r="A26" s="33" t="s">
        <v>145</v>
      </c>
      <c r="B26" s="34" t="s">
        <v>98</v>
      </c>
      <c r="C26" s="36">
        <f>D7</f>
        <v>0.06</v>
      </c>
      <c r="D26" s="35">
        <f>TRUNC((D24+D25)*$C$26,2)</f>
        <v>0</v>
      </c>
      <c r="E26" s="35">
        <f>TRUNC((E24+E25)*$C$26,2)</f>
        <v>0</v>
      </c>
    </row>
    <row r="27" spans="1:5" x14ac:dyDescent="0.25">
      <c r="A27" s="33" t="s">
        <v>146</v>
      </c>
      <c r="B27" s="34" t="s">
        <v>99</v>
      </c>
      <c r="C27" s="36">
        <f>D8</f>
        <v>8.6499999999999994E-2</v>
      </c>
      <c r="D27" s="35">
        <f>TRUNC((D24+D25+D26)*$C$27/(1-$C$27),2)</f>
        <v>0</v>
      </c>
      <c r="E27" s="35">
        <f>TRUNC((E24+E25+E26)*$C$27/(1-$C$27),2)</f>
        <v>0</v>
      </c>
    </row>
    <row r="28" spans="1:5" x14ac:dyDescent="0.25">
      <c r="A28" s="73" t="s">
        <v>147</v>
      </c>
      <c r="B28" s="73"/>
      <c r="C28" s="73"/>
      <c r="D28" s="35">
        <f>SUM(D24:D27)</f>
        <v>0</v>
      </c>
      <c r="E28" s="35">
        <f>SUM(E24:E27)</f>
        <v>0</v>
      </c>
    </row>
    <row r="29" spans="1:5" x14ac:dyDescent="0.25">
      <c r="A29" s="71" t="s">
        <v>148</v>
      </c>
      <c r="B29" s="71"/>
      <c r="C29" s="71"/>
      <c r="D29" s="71"/>
      <c r="E29" s="37">
        <f>SUM(D28:E28)</f>
        <v>0</v>
      </c>
    </row>
    <row r="30" spans="1:5" x14ac:dyDescent="0.25">
      <c r="A30" s="71" t="s">
        <v>149</v>
      </c>
      <c r="B30" s="71"/>
      <c r="C30" s="71"/>
      <c r="D30" s="71"/>
      <c r="E30" s="37">
        <f>E19+E29</f>
        <v>60499.200000000004</v>
      </c>
    </row>
  </sheetData>
  <mergeCells count="26">
    <mergeCell ref="A30:D30"/>
    <mergeCell ref="B22:C22"/>
    <mergeCell ref="B23:C23"/>
    <mergeCell ref="A24:C24"/>
    <mergeCell ref="A28:C28"/>
    <mergeCell ref="A29:D29"/>
    <mergeCell ref="A17:D17"/>
    <mergeCell ref="A18:D18"/>
    <mergeCell ref="A19:D19"/>
    <mergeCell ref="A20:C20"/>
    <mergeCell ref="A21:C21"/>
    <mergeCell ref="B12:C12"/>
    <mergeCell ref="A13:C13"/>
    <mergeCell ref="B14:C14"/>
    <mergeCell ref="B15:C15"/>
    <mergeCell ref="B16:C16"/>
    <mergeCell ref="B7:C7"/>
    <mergeCell ref="B8:C8"/>
    <mergeCell ref="A9:D9"/>
    <mergeCell ref="B10:D10"/>
    <mergeCell ref="B11:C11"/>
    <mergeCell ref="A1:E1"/>
    <mergeCell ref="A3:E3"/>
    <mergeCell ref="B4:D4"/>
    <mergeCell ref="B5:C5"/>
    <mergeCell ref="B6:C6"/>
  </mergeCells>
  <pageMargins left="0.78740157480314965" right="0.78740157480314965" top="0.9055118110236221" bottom="0.9055118110236221" header="0.51181102362204722" footer="0.51181102362204722"/>
  <pageSetup paperSize="9" scale="97" firstPageNumber="0" orientation="portrait" horizontalDpi="300" verticalDpi="300" r:id="rId1"/>
  <rowBreaks count="1" manualBreakCount="1">
    <brk id="30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0"/>
  <sheetViews>
    <sheetView view="pageBreakPreview" zoomScaleNormal="90" workbookViewId="0">
      <selection activeCell="D15" sqref="D15"/>
    </sheetView>
  </sheetViews>
  <sheetFormatPr defaultColWidth="9.140625" defaultRowHeight="15" x14ac:dyDescent="0.25"/>
  <cols>
    <col min="1" max="1" width="14.7109375" style="31" customWidth="1"/>
    <col min="2" max="2" width="32.7109375" style="32" customWidth="1"/>
    <col min="3" max="4" width="12.7109375" style="32" customWidth="1"/>
    <col min="5" max="5" width="14.5703125" style="32" customWidth="1"/>
    <col min="6" max="1024" width="9.140625" style="32"/>
  </cols>
  <sheetData>
    <row r="1" spans="1:5" ht="16.5" x14ac:dyDescent="0.25">
      <c r="A1" s="66" t="s">
        <v>163</v>
      </c>
      <c r="B1" s="66"/>
      <c r="C1" s="66"/>
      <c r="D1" s="66"/>
      <c r="E1" s="66"/>
    </row>
    <row r="3" spans="1:5" x14ac:dyDescent="0.25">
      <c r="A3" s="67" t="s">
        <v>118</v>
      </c>
      <c r="B3" s="67"/>
      <c r="C3" s="67"/>
      <c r="D3" s="67"/>
      <c r="E3" s="67"/>
    </row>
    <row r="4" spans="1:5" x14ac:dyDescent="0.25">
      <c r="A4" s="33" t="s">
        <v>2</v>
      </c>
      <c r="B4" s="68" t="s">
        <v>120</v>
      </c>
      <c r="C4" s="68"/>
      <c r="D4" s="68"/>
      <c r="E4" s="35">
        <f>desenvRPA!D33</f>
        <v>3822.83</v>
      </c>
    </row>
    <row r="5" spans="1:5" x14ac:dyDescent="0.25">
      <c r="A5" s="33" t="s">
        <v>4</v>
      </c>
      <c r="B5" s="68" t="s">
        <v>121</v>
      </c>
      <c r="C5" s="68"/>
      <c r="D5" s="36">
        <f>desenvRPA!C57</f>
        <v>0.36800000000000005</v>
      </c>
      <c r="E5" s="35">
        <f>E4*D5</f>
        <v>1406.8014400000002</v>
      </c>
    </row>
    <row r="6" spans="1:5" x14ac:dyDescent="0.25">
      <c r="A6" s="33" t="s">
        <v>6</v>
      </c>
      <c r="B6" s="68" t="s">
        <v>97</v>
      </c>
      <c r="C6" s="68"/>
      <c r="D6" s="36">
        <f>desenvRPA!C134</f>
        <v>0.05</v>
      </c>
      <c r="E6" s="35">
        <f>TRUNC((E4+E5)*D6,2)</f>
        <v>261.48</v>
      </c>
    </row>
    <row r="7" spans="1:5" x14ac:dyDescent="0.25">
      <c r="A7" s="33" t="s">
        <v>8</v>
      </c>
      <c r="B7" s="68" t="s">
        <v>98</v>
      </c>
      <c r="C7" s="68"/>
      <c r="D7" s="36">
        <f>desenvRPA!C135</f>
        <v>0.06</v>
      </c>
      <c r="E7" s="35">
        <f>TRUNC((E4+E5+E6)*D7,2)</f>
        <v>329.46</v>
      </c>
    </row>
    <row r="8" spans="1:5" x14ac:dyDescent="0.25">
      <c r="A8" s="33" t="s">
        <v>32</v>
      </c>
      <c r="B8" s="68" t="s">
        <v>99</v>
      </c>
      <c r="C8" s="68"/>
      <c r="D8" s="36">
        <f>desenvRPA!C136</f>
        <v>8.6499999999999994E-2</v>
      </c>
      <c r="E8" s="35">
        <f>TRUNC((E4+E5+E6+E7)*D8/(1-D8),2)</f>
        <v>551.15</v>
      </c>
    </row>
    <row r="9" spans="1:5" x14ac:dyDescent="0.25">
      <c r="A9" s="69" t="s">
        <v>122</v>
      </c>
      <c r="B9" s="69"/>
      <c r="C9" s="69"/>
      <c r="D9" s="69"/>
      <c r="E9" s="35">
        <f>SUM(E4:E8)</f>
        <v>6371.7214400000003</v>
      </c>
    </row>
    <row r="10" spans="1:5" x14ac:dyDescent="0.25">
      <c r="A10" s="33" t="s">
        <v>52</v>
      </c>
      <c r="B10" s="68" t="s">
        <v>123</v>
      </c>
      <c r="C10" s="68"/>
      <c r="D10" s="68"/>
      <c r="E10" s="35">
        <f>TRUNC(E9/200,2)</f>
        <v>31.85</v>
      </c>
    </row>
    <row r="11" spans="1:5" x14ac:dyDescent="0.25">
      <c r="A11" s="33" t="s">
        <v>34</v>
      </c>
      <c r="B11" s="68" t="s">
        <v>124</v>
      </c>
      <c r="C11" s="68"/>
      <c r="D11" s="36">
        <v>0.5</v>
      </c>
      <c r="E11" s="35">
        <f>TRUNC(E10*(1+D11),2)</f>
        <v>47.77</v>
      </c>
    </row>
    <row r="12" spans="1:5" x14ac:dyDescent="0.25">
      <c r="A12" s="33" t="s">
        <v>55</v>
      </c>
      <c r="B12" s="68" t="s">
        <v>124</v>
      </c>
      <c r="C12" s="68"/>
      <c r="D12" s="36">
        <v>1</v>
      </c>
      <c r="E12" s="35">
        <f>TRUNC(E10*(1+D12),2)</f>
        <v>63.7</v>
      </c>
    </row>
    <row r="13" spans="1:5" x14ac:dyDescent="0.25">
      <c r="A13" s="70"/>
      <c r="B13" s="70"/>
      <c r="C13" s="70"/>
      <c r="D13" s="33" t="s">
        <v>125</v>
      </c>
      <c r="E13" s="33" t="s">
        <v>126</v>
      </c>
    </row>
    <row r="14" spans="1:5" x14ac:dyDescent="0.25">
      <c r="A14" s="33" t="s">
        <v>127</v>
      </c>
      <c r="B14" s="68" t="s">
        <v>128</v>
      </c>
      <c r="C14" s="68"/>
      <c r="D14" s="33">
        <v>80</v>
      </c>
      <c r="E14" s="35">
        <f>D14*E11</f>
        <v>3821.6000000000004</v>
      </c>
    </row>
    <row r="15" spans="1:5" x14ac:dyDescent="0.25">
      <c r="A15" s="33" t="s">
        <v>129</v>
      </c>
      <c r="B15" s="68" t="s">
        <v>130</v>
      </c>
      <c r="C15" s="68"/>
      <c r="D15" s="33">
        <v>0</v>
      </c>
      <c r="E15" s="35">
        <f>D15*E11</f>
        <v>0</v>
      </c>
    </row>
    <row r="16" spans="1:5" x14ac:dyDescent="0.25">
      <c r="A16" s="33" t="s">
        <v>131</v>
      </c>
      <c r="B16" s="68" t="s">
        <v>132</v>
      </c>
      <c r="C16" s="68"/>
      <c r="D16" s="33">
        <v>0</v>
      </c>
      <c r="E16" s="35">
        <f>D16*E12</f>
        <v>0</v>
      </c>
    </row>
    <row r="17" spans="1:5" x14ac:dyDescent="0.25">
      <c r="A17" s="71" t="s">
        <v>133</v>
      </c>
      <c r="B17" s="71"/>
      <c r="C17" s="71"/>
      <c r="D17" s="71"/>
      <c r="E17" s="37">
        <f>SUM(E14:E16)</f>
        <v>3821.6000000000004</v>
      </c>
    </row>
    <row r="18" spans="1:5" x14ac:dyDescent="0.25">
      <c r="A18" s="69" t="s">
        <v>134</v>
      </c>
      <c r="B18" s="69"/>
      <c r="C18" s="69"/>
      <c r="D18" s="69"/>
      <c r="E18" s="33">
        <v>1</v>
      </c>
    </row>
    <row r="19" spans="1:5" x14ac:dyDescent="0.25">
      <c r="A19" s="71" t="s">
        <v>135</v>
      </c>
      <c r="B19" s="71"/>
      <c r="C19" s="71"/>
      <c r="D19" s="71"/>
      <c r="E19" s="37">
        <f>E17*E18</f>
        <v>3821.6000000000004</v>
      </c>
    </row>
    <row r="20" spans="1:5" x14ac:dyDescent="0.25">
      <c r="A20" s="72" t="s">
        <v>136</v>
      </c>
      <c r="B20" s="72"/>
      <c r="C20" s="72"/>
      <c r="D20" s="33" t="s">
        <v>130</v>
      </c>
      <c r="E20" s="33" t="s">
        <v>137</v>
      </c>
    </row>
    <row r="21" spans="1:5" x14ac:dyDescent="0.25">
      <c r="A21" s="69" t="s">
        <v>138</v>
      </c>
      <c r="B21" s="69"/>
      <c r="C21" s="69"/>
      <c r="D21" s="33">
        <v>0</v>
      </c>
      <c r="E21" s="33">
        <v>0</v>
      </c>
    </row>
    <row r="22" spans="1:5" x14ac:dyDescent="0.25">
      <c r="A22" s="33" t="s">
        <v>139</v>
      </c>
      <c r="B22" s="68" t="s">
        <v>140</v>
      </c>
      <c r="C22" s="68"/>
      <c r="D22" s="35">
        <v>0</v>
      </c>
      <c r="E22" s="35">
        <v>0</v>
      </c>
    </row>
    <row r="23" spans="1:5" x14ac:dyDescent="0.25">
      <c r="A23" s="33" t="s">
        <v>141</v>
      </c>
      <c r="B23" s="68" t="s">
        <v>142</v>
      </c>
      <c r="C23" s="68"/>
      <c r="D23" s="35">
        <f>29*0.9</f>
        <v>26.1</v>
      </c>
      <c r="E23" s="35">
        <f>29*0.9</f>
        <v>26.1</v>
      </c>
    </row>
    <row r="24" spans="1:5" x14ac:dyDescent="0.25">
      <c r="A24" s="69" t="s">
        <v>143</v>
      </c>
      <c r="B24" s="69"/>
      <c r="C24" s="69"/>
      <c r="D24" s="35">
        <f>SUM(D22:D23)*$E$18*D21</f>
        <v>0</v>
      </c>
      <c r="E24" s="35">
        <f>SUM(E22:E23)*$E$18*E21</f>
        <v>0</v>
      </c>
    </row>
    <row r="25" spans="1:5" x14ac:dyDescent="0.25">
      <c r="A25" s="33" t="s">
        <v>144</v>
      </c>
      <c r="B25" s="34" t="s">
        <v>97</v>
      </c>
      <c r="C25" s="36">
        <f>D6</f>
        <v>0.05</v>
      </c>
      <c r="D25" s="35">
        <f>TRUNC((D24)*$C$25,2)</f>
        <v>0</v>
      </c>
      <c r="E25" s="35">
        <f>TRUNC((E24)*$C$25,2)</f>
        <v>0</v>
      </c>
    </row>
    <row r="26" spans="1:5" x14ac:dyDescent="0.25">
      <c r="A26" s="33" t="s">
        <v>145</v>
      </c>
      <c r="B26" s="34" t="s">
        <v>98</v>
      </c>
      <c r="C26" s="36">
        <f>D7</f>
        <v>0.06</v>
      </c>
      <c r="D26" s="35">
        <f>TRUNC((D24+D25)*$C$26,2)</f>
        <v>0</v>
      </c>
      <c r="E26" s="35">
        <f>TRUNC((E24+E25)*$C$26,2)</f>
        <v>0</v>
      </c>
    </row>
    <row r="27" spans="1:5" x14ac:dyDescent="0.25">
      <c r="A27" s="33" t="s">
        <v>146</v>
      </c>
      <c r="B27" s="34" t="s">
        <v>99</v>
      </c>
      <c r="C27" s="36">
        <f>D8</f>
        <v>8.6499999999999994E-2</v>
      </c>
      <c r="D27" s="35">
        <f>TRUNC((D24+D25+D26)*$C$27/(1-$C$27),2)</f>
        <v>0</v>
      </c>
      <c r="E27" s="35">
        <f>TRUNC((E24+E25+E26)*$C$27/(1-$C$27),2)</f>
        <v>0</v>
      </c>
    </row>
    <row r="28" spans="1:5" x14ac:dyDescent="0.25">
      <c r="A28" s="73" t="s">
        <v>147</v>
      </c>
      <c r="B28" s="73"/>
      <c r="C28" s="73"/>
      <c r="D28" s="35">
        <f>SUM(D24:D27)</f>
        <v>0</v>
      </c>
      <c r="E28" s="35">
        <f>SUM(E24:E27)</f>
        <v>0</v>
      </c>
    </row>
    <row r="29" spans="1:5" x14ac:dyDescent="0.25">
      <c r="A29" s="71" t="s">
        <v>148</v>
      </c>
      <c r="B29" s="71"/>
      <c r="C29" s="71"/>
      <c r="D29" s="71"/>
      <c r="E29" s="37">
        <f>SUM(D28:E28)</f>
        <v>0</v>
      </c>
    </row>
    <row r="30" spans="1:5" x14ac:dyDescent="0.25">
      <c r="A30" s="71" t="s">
        <v>149</v>
      </c>
      <c r="B30" s="71"/>
      <c r="C30" s="71"/>
      <c r="D30" s="71"/>
      <c r="E30" s="37">
        <f>E19+E29</f>
        <v>3821.6000000000004</v>
      </c>
    </row>
  </sheetData>
  <mergeCells count="26">
    <mergeCell ref="A30:D30"/>
    <mergeCell ref="B22:C22"/>
    <mergeCell ref="B23:C23"/>
    <mergeCell ref="A24:C24"/>
    <mergeCell ref="A28:C28"/>
    <mergeCell ref="A29:D29"/>
    <mergeCell ref="A17:D17"/>
    <mergeCell ref="A18:D18"/>
    <mergeCell ref="A19:D19"/>
    <mergeCell ref="A20:C20"/>
    <mergeCell ref="A21:C21"/>
    <mergeCell ref="B12:C12"/>
    <mergeCell ref="A13:C13"/>
    <mergeCell ref="B14:C14"/>
    <mergeCell ref="B15:C15"/>
    <mergeCell ref="B16:C16"/>
    <mergeCell ref="B7:C7"/>
    <mergeCell ref="B8:C8"/>
    <mergeCell ref="A9:D9"/>
    <mergeCell ref="B10:D10"/>
    <mergeCell ref="B11:C11"/>
    <mergeCell ref="A1:E1"/>
    <mergeCell ref="A3:E3"/>
    <mergeCell ref="B4:D4"/>
    <mergeCell ref="B5:C5"/>
    <mergeCell ref="B6:C6"/>
  </mergeCells>
  <pageMargins left="0.78740157480314965" right="0.78740157480314965" top="0.9055118110236221" bottom="0.9055118110236221" header="0.51181102362204722" footer="0.51181102362204722"/>
  <pageSetup paperSize="9" scale="97" firstPageNumber="0" orientation="portrait" horizontalDpi="300" verticalDpi="300" r:id="rId1"/>
  <rowBreaks count="1" manualBreakCount="1">
    <brk id="30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30"/>
  <sheetViews>
    <sheetView tabSelected="1" view="pageBreakPreview" topLeftCell="A4" zoomScaleNormal="100" workbookViewId="0">
      <selection activeCell="G17" sqref="G17"/>
    </sheetView>
  </sheetViews>
  <sheetFormatPr defaultColWidth="9.140625" defaultRowHeight="15" x14ac:dyDescent="0.25"/>
  <cols>
    <col min="1" max="1" width="13.140625" style="38" customWidth="1"/>
    <col min="2" max="2" width="44.140625" style="39" customWidth="1"/>
    <col min="3" max="3" width="13.140625" style="39" customWidth="1"/>
    <col min="4" max="6" width="13.140625" style="38" customWidth="1"/>
    <col min="7" max="7" width="14.5703125" style="38" customWidth="1"/>
    <col min="8" max="1024" width="9.140625" style="38"/>
  </cols>
  <sheetData>
    <row r="1" spans="1:7" x14ac:dyDescent="0.25">
      <c r="A1" s="74"/>
      <c r="B1" s="74"/>
      <c r="C1" s="74"/>
      <c r="D1" s="74"/>
      <c r="E1" s="74"/>
      <c r="F1" s="74"/>
      <c r="G1" s="74"/>
    </row>
    <row r="2" spans="1:7" x14ac:dyDescent="0.25">
      <c r="A2" s="74"/>
      <c r="B2" s="74"/>
      <c r="C2" s="74"/>
      <c r="D2" s="74"/>
      <c r="E2" s="74"/>
      <c r="F2" s="74"/>
      <c r="G2" s="74"/>
    </row>
    <row r="3" spans="1:7" x14ac:dyDescent="0.25">
      <c r="A3" s="74"/>
      <c r="B3" s="74"/>
      <c r="C3" s="74"/>
      <c r="D3" s="74"/>
      <c r="E3" s="74"/>
      <c r="F3" s="74"/>
      <c r="G3" s="74"/>
    </row>
    <row r="4" spans="1:7" x14ac:dyDescent="0.25">
      <c r="A4" s="74"/>
      <c r="B4" s="74"/>
      <c r="C4" s="74"/>
      <c r="D4" s="74"/>
      <c r="E4" s="74"/>
      <c r="F4" s="74"/>
      <c r="G4" s="74"/>
    </row>
    <row r="5" spans="1:7" x14ac:dyDescent="0.25">
      <c r="A5" s="74"/>
      <c r="B5" s="74"/>
      <c r="C5" s="74"/>
      <c r="D5" s="74"/>
      <c r="E5" s="74"/>
      <c r="F5" s="74"/>
      <c r="G5" s="74"/>
    </row>
    <row r="6" spans="1:7" x14ac:dyDescent="0.25">
      <c r="A6" s="75" t="s">
        <v>150</v>
      </c>
      <c r="B6" s="75"/>
      <c r="C6" s="75"/>
      <c r="D6" s="75"/>
      <c r="E6" s="75"/>
      <c r="F6" s="75"/>
      <c r="G6" s="75"/>
    </row>
    <row r="7" spans="1:7" x14ac:dyDescent="0.25">
      <c r="A7" s="75" t="s">
        <v>151</v>
      </c>
      <c r="B7" s="75"/>
      <c r="C7" s="75"/>
      <c r="D7" s="75"/>
      <c r="E7" s="75"/>
      <c r="F7" s="75"/>
      <c r="G7" s="75"/>
    </row>
    <row r="8" spans="1:7" x14ac:dyDescent="0.25">
      <c r="A8" s="75"/>
      <c r="B8" s="75"/>
      <c r="C8" s="75"/>
      <c r="D8" s="75"/>
      <c r="E8" s="75"/>
      <c r="F8" s="75"/>
      <c r="G8" s="75"/>
    </row>
    <row r="9" spans="1:7" x14ac:dyDescent="0.25">
      <c r="A9" s="76" t="s">
        <v>152</v>
      </c>
      <c r="B9" s="76"/>
      <c r="C9" s="76"/>
      <c r="D9" s="76"/>
      <c r="E9" s="76"/>
      <c r="F9" s="76">
        <f ca="1">TODAY()</f>
        <v>44529</v>
      </c>
      <c r="G9" s="76"/>
    </row>
    <row r="11" spans="1:7" x14ac:dyDescent="0.25">
      <c r="A11" s="77" t="s">
        <v>153</v>
      </c>
      <c r="B11" s="77"/>
      <c r="C11" s="77"/>
      <c r="D11" s="77"/>
      <c r="E11" s="77"/>
      <c r="F11" s="77"/>
      <c r="G11" s="77"/>
    </row>
    <row r="12" spans="1:7" x14ac:dyDescent="0.25">
      <c r="A12" s="40"/>
      <c r="B12" s="41"/>
      <c r="C12" s="41"/>
      <c r="D12" s="41"/>
      <c r="E12" s="41"/>
      <c r="F12" s="41"/>
      <c r="G12" s="42"/>
    </row>
    <row r="13" spans="1:7" ht="30.75" x14ac:dyDescent="0.25">
      <c r="A13" s="43" t="s">
        <v>154</v>
      </c>
      <c r="B13" s="43" t="s">
        <v>155</v>
      </c>
      <c r="C13" s="43" t="s">
        <v>156</v>
      </c>
      <c r="D13" s="43" t="s">
        <v>157</v>
      </c>
      <c r="E13" s="43" t="s">
        <v>158</v>
      </c>
      <c r="F13" s="43" t="s">
        <v>159</v>
      </c>
      <c r="G13" s="43" t="s">
        <v>164</v>
      </c>
    </row>
    <row r="14" spans="1:7" x14ac:dyDescent="0.25">
      <c r="A14" s="33">
        <v>1</v>
      </c>
      <c r="B14" s="44" t="str">
        <f>engdados!C17</f>
        <v>Engenheiro de Dados</v>
      </c>
      <c r="C14" s="45">
        <f>ROUND(D14/200,2)</f>
        <v>81.8</v>
      </c>
      <c r="D14" s="46">
        <f>engdados!D156</f>
        <v>16359.5</v>
      </c>
      <c r="E14" s="47">
        <f>engdados!D13</f>
        <v>1</v>
      </c>
      <c r="F14" s="48">
        <f>D14*E14</f>
        <v>16359.5</v>
      </c>
      <c r="G14" s="49">
        <f>F14*24</f>
        <v>392628</v>
      </c>
    </row>
    <row r="15" spans="1:7" x14ac:dyDescent="0.25">
      <c r="A15" s="33">
        <v>2</v>
      </c>
      <c r="B15" s="44" t="str">
        <f>ciendados!C17</f>
        <v>Cientista de Dados</v>
      </c>
      <c r="C15" s="45">
        <f>ROUND(D15/200,2)</f>
        <v>69.040000000000006</v>
      </c>
      <c r="D15" s="46">
        <f>ciendados!D156</f>
        <v>13808.58</v>
      </c>
      <c r="E15" s="47">
        <f>ciendados!D13</f>
        <v>1</v>
      </c>
      <c r="F15" s="48">
        <f>D15*E15</f>
        <v>13808.58</v>
      </c>
      <c r="G15" s="49">
        <f t="shared" ref="G15:G17" si="0">F15*24</f>
        <v>331405.92</v>
      </c>
    </row>
    <row r="16" spans="1:7" x14ac:dyDescent="0.25">
      <c r="A16" s="33">
        <v>3</v>
      </c>
      <c r="B16" s="44" t="str">
        <f>engsoft!C17</f>
        <v>Engenheiro de Software</v>
      </c>
      <c r="C16" s="45">
        <f>ROUND(D16/200,2)</f>
        <v>110.82</v>
      </c>
      <c r="D16" s="46">
        <f>engsoft!D156</f>
        <v>22164.33</v>
      </c>
      <c r="E16" s="47">
        <f>engsoft!D13</f>
        <v>6</v>
      </c>
      <c r="F16" s="48">
        <f>D16*E16</f>
        <v>132985.98000000001</v>
      </c>
      <c r="G16" s="49">
        <f t="shared" si="0"/>
        <v>3191663.5200000005</v>
      </c>
    </row>
    <row r="17" spans="1:7" x14ac:dyDescent="0.25">
      <c r="A17" s="33">
        <v>4</v>
      </c>
      <c r="B17" s="44" t="str">
        <f>desenvRPA!C17</f>
        <v>Desenvolvedor RPA</v>
      </c>
      <c r="C17" s="45">
        <f>ROUND(D17/200,2)</f>
        <v>44.87</v>
      </c>
      <c r="D17" s="46">
        <f>desenvRPA!D156</f>
        <v>8974.48</v>
      </c>
      <c r="E17" s="47">
        <f>desenvRPA!D13</f>
        <v>1</v>
      </c>
      <c r="F17" s="48">
        <f>D17*E17</f>
        <v>8974.48</v>
      </c>
      <c r="G17" s="49">
        <f t="shared" si="0"/>
        <v>215387.51999999999</v>
      </c>
    </row>
    <row r="18" spans="1:7" x14ac:dyDescent="0.25">
      <c r="A18" s="79" t="s">
        <v>36</v>
      </c>
      <c r="B18" s="79"/>
      <c r="C18" s="79"/>
      <c r="D18" s="79"/>
      <c r="E18" s="50">
        <f>SUM(E14:E17)</f>
        <v>9</v>
      </c>
      <c r="F18" s="51">
        <f>SUM(F14:F17)</f>
        <v>172128.54</v>
      </c>
      <c r="G18" s="51">
        <f>SUM(G14:G17)</f>
        <v>4131084.9600000004</v>
      </c>
    </row>
    <row r="19" spans="1:7" ht="16.5" x14ac:dyDescent="0.25">
      <c r="A19" s="52" t="s">
        <v>160</v>
      </c>
    </row>
    <row r="21" spans="1:7" x14ac:dyDescent="0.25">
      <c r="A21" s="77" t="s">
        <v>161</v>
      </c>
      <c r="B21" s="77"/>
      <c r="C21" s="77"/>
      <c r="D21" s="77"/>
      <c r="E21" s="77"/>
      <c r="F21" s="77"/>
      <c r="G21" s="77"/>
    </row>
    <row r="22" spans="1:7" x14ac:dyDescent="0.25">
      <c r="A22" s="40"/>
      <c r="B22" s="41"/>
      <c r="C22" s="41"/>
      <c r="D22" s="41"/>
      <c r="E22" s="41"/>
      <c r="F22" s="41"/>
      <c r="G22" s="42"/>
    </row>
    <row r="23" spans="1:7" ht="28.5" x14ac:dyDescent="0.25">
      <c r="A23" s="43" t="s">
        <v>154</v>
      </c>
      <c r="B23" s="80" t="s">
        <v>155</v>
      </c>
      <c r="C23" s="80"/>
      <c r="D23" s="80"/>
      <c r="E23" s="80"/>
      <c r="F23" s="80"/>
      <c r="G23" s="43" t="s">
        <v>164</v>
      </c>
    </row>
    <row r="24" spans="1:7" x14ac:dyDescent="0.25">
      <c r="A24" s="33">
        <v>1</v>
      </c>
      <c r="B24" s="78" t="str">
        <f>B14</f>
        <v>Engenheiro de Dados</v>
      </c>
      <c r="C24" s="78"/>
      <c r="D24" s="78"/>
      <c r="E24" s="78"/>
      <c r="F24" s="78"/>
      <c r="G24" s="49">
        <f>he_engdados!E30</f>
        <v>7328</v>
      </c>
    </row>
    <row r="25" spans="1:7" x14ac:dyDescent="0.25">
      <c r="A25" s="33">
        <v>2</v>
      </c>
      <c r="B25" s="78" t="str">
        <f>B15</f>
        <v>Cientista de Dados</v>
      </c>
      <c r="C25" s="78">
        <f>ROUND(D25/200,2)</f>
        <v>0</v>
      </c>
      <c r="D25" s="78">
        <f>ciendados!D166</f>
        <v>0</v>
      </c>
      <c r="E25" s="78">
        <f>ciendados!D23</f>
        <v>0</v>
      </c>
      <c r="F25" s="78">
        <f>D25*E25</f>
        <v>0</v>
      </c>
      <c r="G25" s="49">
        <f>he_ciendados!E30</f>
        <v>6117.6</v>
      </c>
    </row>
    <row r="26" spans="1:7" x14ac:dyDescent="0.25">
      <c r="A26" s="33">
        <v>3</v>
      </c>
      <c r="B26" s="78" t="str">
        <f>B16</f>
        <v>Engenheiro de Software</v>
      </c>
      <c r="C26" s="78">
        <f>ROUND(D26/200,2)</f>
        <v>0</v>
      </c>
      <c r="D26" s="78">
        <f>engsoft!D166</f>
        <v>0</v>
      </c>
      <c r="E26" s="78">
        <f>engsoft!D23</f>
        <v>0</v>
      </c>
      <c r="F26" s="78">
        <f>D26*E26</f>
        <v>0</v>
      </c>
      <c r="G26" s="49">
        <f>he_engsoft!E30</f>
        <v>60499.200000000004</v>
      </c>
    </row>
    <row r="27" spans="1:7" x14ac:dyDescent="0.25">
      <c r="A27" s="33">
        <v>4</v>
      </c>
      <c r="B27" s="78" t="str">
        <f>B17</f>
        <v>Desenvolvedor RPA</v>
      </c>
      <c r="C27" s="78">
        <f>ROUND(D27/200,2)</f>
        <v>0</v>
      </c>
      <c r="D27" s="78">
        <f>desenvRPA!D166</f>
        <v>0</v>
      </c>
      <c r="E27" s="78">
        <f>desenvRPA!D23</f>
        <v>0</v>
      </c>
      <c r="F27" s="78">
        <f>D27*E27</f>
        <v>0</v>
      </c>
      <c r="G27" s="49">
        <f>he_desenvRPA!E30</f>
        <v>3821.6000000000004</v>
      </c>
    </row>
    <row r="28" spans="1:7" x14ac:dyDescent="0.25">
      <c r="A28" s="79" t="s">
        <v>36</v>
      </c>
      <c r="B28" s="79"/>
      <c r="C28" s="79"/>
      <c r="D28" s="79"/>
      <c r="E28" s="79"/>
      <c r="F28" s="79"/>
      <c r="G28" s="51">
        <f>SUM(G24:G27)</f>
        <v>77766.400000000009</v>
      </c>
    </row>
    <row r="30" spans="1:7" x14ac:dyDescent="0.25">
      <c r="A30" s="79" t="s">
        <v>162</v>
      </c>
      <c r="B30" s="79"/>
      <c r="C30" s="79"/>
      <c r="D30" s="79"/>
      <c r="E30" s="79"/>
      <c r="F30" s="79"/>
      <c r="G30" s="51">
        <f>G18+G28</f>
        <v>4208851.3600000003</v>
      </c>
    </row>
  </sheetData>
  <mergeCells count="19">
    <mergeCell ref="B26:F26"/>
    <mergeCell ref="B27:F27"/>
    <mergeCell ref="A28:F28"/>
    <mergeCell ref="A30:F30"/>
    <mergeCell ref="A18:D18"/>
    <mergeCell ref="A21:G21"/>
    <mergeCell ref="B23:F23"/>
    <mergeCell ref="B24:F24"/>
    <mergeCell ref="B25:F25"/>
    <mergeCell ref="A6:G6"/>
    <mergeCell ref="A7:G7"/>
    <mergeCell ref="A8:G8"/>
    <mergeCell ref="A9:G9"/>
    <mergeCell ref="A11:G11"/>
    <mergeCell ref="A1:G1"/>
    <mergeCell ref="A2:G2"/>
    <mergeCell ref="A3:G3"/>
    <mergeCell ref="A4:G4"/>
    <mergeCell ref="A5:G5"/>
  </mergeCells>
  <pageMargins left="0.78749999999999998" right="0.78749999999999998" top="0.78749999999999998" bottom="1.05277777777778" header="0.51180555555555496" footer="0.78749999999999998"/>
  <pageSetup paperSize="9" scale="68" firstPageNumber="0" orientation="portrait" horizontalDpi="300" verticalDpi="300" r:id="rId1"/>
  <headerFooter>
    <oddFooter>&amp;L&amp;"Times New Roman,Normal"&amp;12Estimativa em &amp;D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51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4</vt:i4>
      </vt:variant>
    </vt:vector>
  </HeadingPairs>
  <TitlesOfParts>
    <vt:vector size="13" baseType="lpstr">
      <vt:lpstr>engdados</vt:lpstr>
      <vt:lpstr>ciendados</vt:lpstr>
      <vt:lpstr>engsoft</vt:lpstr>
      <vt:lpstr>desenvRPA</vt:lpstr>
      <vt:lpstr>he_engdados</vt:lpstr>
      <vt:lpstr>he_ciendados</vt:lpstr>
      <vt:lpstr>he_engsoft</vt:lpstr>
      <vt:lpstr>he_desenvRPA</vt:lpstr>
      <vt:lpstr>Total</vt:lpstr>
      <vt:lpstr>he_ciendados!Titulos_de_impressao</vt:lpstr>
      <vt:lpstr>he_desenvRPA!Titulos_de_impressao</vt:lpstr>
      <vt:lpstr>he_engdados!Titulos_de_impressao</vt:lpstr>
      <vt:lpstr>he_engsoft!Titulos_de_impressao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Alcantara Santos</dc:creator>
  <cp:lastModifiedBy>Milena Austregesilo Hereda</cp:lastModifiedBy>
  <cp:revision>13</cp:revision>
  <cp:lastPrinted>2019-01-29T20:07:25Z</cp:lastPrinted>
  <dcterms:created xsi:type="dcterms:W3CDTF">2019-01-29T18:54:26Z</dcterms:created>
  <dcterms:modified xsi:type="dcterms:W3CDTF">2021-11-29T12:47:31Z</dcterms:modified>
  <dc:language>pt-BR</dc:language>
</cp:coreProperties>
</file>