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684" firstSheet="2" activeTab="17"/>
  </bookViews>
  <sheets>
    <sheet name="atend_I" sheetId="1" state="hidden" r:id="rId1"/>
    <sheet name="super_I" sheetId="2" state="hidden" r:id="rId2"/>
    <sheet name="Item1" sheetId="15" r:id="rId3"/>
    <sheet name="Item3" sheetId="16" r:id="rId4"/>
    <sheet name="Item4" sheetId="17" r:id="rId5"/>
    <sheet name="Item5" sheetId="18" r:id="rId6"/>
    <sheet name="atend_II" sheetId="3" r:id="rId7"/>
    <sheet name="analista_III" sheetId="4" state="hidden" r:id="rId8"/>
    <sheet name="analista_IV" sheetId="5" state="hidden" r:id="rId9"/>
    <sheet name="analista_V" sheetId="6" r:id="rId10"/>
    <sheet name="analista_VI" sheetId="7" state="hidden" r:id="rId11"/>
    <sheet name="analista_VII" sheetId="8" r:id="rId12"/>
    <sheet name="analista_VIII" sheetId="9" state="hidden" r:id="rId13"/>
    <sheet name="analista_IX" sheetId="10" state="hidden" r:id="rId14"/>
    <sheet name="analista_X" sheetId="11" state="hidden" r:id="rId15"/>
    <sheet name="lider_II_X" sheetId="12" r:id="rId16"/>
    <sheet name="analista_XI" sheetId="13" state="hidden" r:id="rId17"/>
    <sheet name="Total" sheetId="14" r:id="rId18"/>
  </sheets>
  <definedNames>
    <definedName name="_xlnm.Print_Area" localSheetId="17">Total!$A$1:$F$28</definedName>
    <definedName name="_xlnm.Print_Titles" localSheetId="17">Total!$1:$9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56" i="12" l="1"/>
  <c r="D156" i="8"/>
  <c r="D156" i="6"/>
  <c r="D156" i="3"/>
  <c r="E26" i="14" l="1"/>
  <c r="E25" i="14"/>
  <c r="E24" i="14"/>
  <c r="E22" i="14"/>
  <c r="H20" i="18"/>
  <c r="G20" i="18" s="1"/>
  <c r="F20" i="18"/>
  <c r="D20" i="18"/>
  <c r="B20" i="18"/>
  <c r="I17" i="18"/>
  <c r="I16" i="18"/>
  <c r="I15" i="18"/>
  <c r="I14" i="18"/>
  <c r="I13" i="18"/>
  <c r="I12" i="18"/>
  <c r="I11" i="18"/>
  <c r="I10" i="18"/>
  <c r="I9" i="18"/>
  <c r="I8" i="18"/>
  <c r="I7" i="18"/>
  <c r="F3" i="18"/>
  <c r="H20" i="17"/>
  <c r="G20" i="17" s="1"/>
  <c r="F20" i="17"/>
  <c r="D20" i="17"/>
  <c r="B20" i="17"/>
  <c r="A20" i="17" s="1"/>
  <c r="I17" i="17"/>
  <c r="I16" i="17"/>
  <c r="I15" i="17"/>
  <c r="I14" i="17"/>
  <c r="I13" i="17"/>
  <c r="I12" i="17"/>
  <c r="I11" i="17"/>
  <c r="I10" i="17"/>
  <c r="I9" i="17"/>
  <c r="I8" i="17"/>
  <c r="I7" i="17"/>
  <c r="F3" i="17"/>
  <c r="I17" i="16"/>
  <c r="I16" i="16"/>
  <c r="I15" i="16"/>
  <c r="I14" i="16"/>
  <c r="I13" i="16"/>
  <c r="I12" i="16"/>
  <c r="I11" i="16"/>
  <c r="I10" i="16"/>
  <c r="I9" i="16"/>
  <c r="I8" i="16"/>
  <c r="I7" i="16"/>
  <c r="H6" i="16"/>
  <c r="D20" i="16" s="1"/>
  <c r="D20" i="15"/>
  <c r="I17" i="15"/>
  <c r="I16" i="15"/>
  <c r="I15" i="15"/>
  <c r="I14" i="15"/>
  <c r="I13" i="15"/>
  <c r="I12" i="15"/>
  <c r="I11" i="15"/>
  <c r="I10" i="15"/>
  <c r="I9" i="15"/>
  <c r="I8" i="15"/>
  <c r="I7" i="15"/>
  <c r="H6" i="15"/>
  <c r="H20" i="15" s="1"/>
  <c r="G20" i="15" s="1"/>
  <c r="F20" i="16" l="1"/>
  <c r="C20" i="17"/>
  <c r="A20" i="18"/>
  <c r="C20" i="18" s="1"/>
  <c r="F20" i="15"/>
  <c r="F3" i="16"/>
  <c r="B20" i="16"/>
  <c r="H20" i="16"/>
  <c r="G20" i="16" s="1"/>
  <c r="F3" i="15"/>
  <c r="B20" i="15"/>
  <c r="I3" i="18" l="1"/>
  <c r="I4" i="18"/>
  <c r="I6" i="18"/>
  <c r="I5" i="18"/>
  <c r="E20" i="18" s="1"/>
  <c r="I6" i="17"/>
  <c r="I5" i="17"/>
  <c r="I4" i="17"/>
  <c r="I3" i="17"/>
  <c r="C20" i="16"/>
  <c r="A20" i="16"/>
  <c r="A20" i="15"/>
  <c r="C20" i="15"/>
  <c r="H22" i="18" l="1"/>
  <c r="H23" i="18" s="1"/>
  <c r="E3" i="18"/>
  <c r="I4" i="15"/>
  <c r="I3" i="15"/>
  <c r="E20" i="15" s="1"/>
  <c r="E3" i="15" s="1"/>
  <c r="I5" i="15"/>
  <c r="I6" i="15"/>
  <c r="E20" i="17"/>
  <c r="I4" i="16"/>
  <c r="I3" i="16"/>
  <c r="E20" i="16" s="1"/>
  <c r="I5" i="16"/>
  <c r="I6" i="16"/>
  <c r="E3" i="16" l="1"/>
  <c r="H22" i="16"/>
  <c r="H23" i="16" s="1"/>
  <c r="H22" i="15"/>
  <c r="H23" i="15" s="1"/>
  <c r="H22" i="17"/>
  <c r="H23" i="17" s="1"/>
  <c r="E3" i="17"/>
  <c r="E17" i="14" l="1"/>
  <c r="B17" i="14"/>
  <c r="E16" i="14"/>
  <c r="B16" i="14"/>
  <c r="E15" i="14"/>
  <c r="B15" i="14"/>
  <c r="E14" i="14"/>
  <c r="B14" i="14"/>
  <c r="F9" i="14"/>
  <c r="C136" i="13"/>
  <c r="C143" i="13" s="1"/>
  <c r="D128" i="13"/>
  <c r="D153" i="13" s="1"/>
  <c r="C101" i="13"/>
  <c r="C100" i="13"/>
  <c r="C99" i="13"/>
  <c r="C98" i="13"/>
  <c r="C97" i="13"/>
  <c r="D87" i="13"/>
  <c r="C87" i="13"/>
  <c r="D85" i="13"/>
  <c r="C85" i="13"/>
  <c r="D84" i="13"/>
  <c r="C84" i="13"/>
  <c r="C82" i="13"/>
  <c r="D65" i="13"/>
  <c r="D64" i="13"/>
  <c r="D63" i="13"/>
  <c r="D67" i="13" s="1"/>
  <c r="D75" i="13" s="1"/>
  <c r="C57" i="13"/>
  <c r="C86" i="13" s="1"/>
  <c r="D86" i="13" s="1"/>
  <c r="C42" i="13"/>
  <c r="C41" i="13"/>
  <c r="D33" i="13"/>
  <c r="C136" i="12"/>
  <c r="C143" i="12" s="1"/>
  <c r="D128" i="12"/>
  <c r="D153" i="12" s="1"/>
  <c r="C101" i="12"/>
  <c r="C100" i="12"/>
  <c r="C99" i="12"/>
  <c r="C98" i="12"/>
  <c r="C97" i="12"/>
  <c r="C87" i="12"/>
  <c r="C86" i="12"/>
  <c r="C85" i="12"/>
  <c r="C84" i="12"/>
  <c r="C82" i="12"/>
  <c r="D67" i="12"/>
  <c r="D75" i="12" s="1"/>
  <c r="D65" i="12"/>
  <c r="D64" i="12"/>
  <c r="D63" i="12"/>
  <c r="C57" i="12"/>
  <c r="C42" i="12"/>
  <c r="C41" i="12"/>
  <c r="C43" i="12" s="1"/>
  <c r="D33" i="12"/>
  <c r="D153" i="11"/>
  <c r="D149" i="11"/>
  <c r="C143" i="11"/>
  <c r="C136" i="11"/>
  <c r="D128" i="11"/>
  <c r="C101" i="11"/>
  <c r="C100" i="11"/>
  <c r="C99" i="11"/>
  <c r="C98" i="11"/>
  <c r="C97" i="11"/>
  <c r="D87" i="11"/>
  <c r="C87" i="11"/>
  <c r="D85" i="11"/>
  <c r="C85" i="11"/>
  <c r="D84" i="11"/>
  <c r="C84" i="11"/>
  <c r="C82" i="11"/>
  <c r="D65" i="11"/>
  <c r="D64" i="11"/>
  <c r="D63" i="11"/>
  <c r="D67" i="11" s="1"/>
  <c r="D75" i="11" s="1"/>
  <c r="C57" i="11"/>
  <c r="C86" i="11" s="1"/>
  <c r="D86" i="11" s="1"/>
  <c r="C43" i="11"/>
  <c r="C42" i="11"/>
  <c r="D42" i="11" s="1"/>
  <c r="C41" i="11"/>
  <c r="D33" i="11"/>
  <c r="C136" i="10"/>
  <c r="C143" i="10" s="1"/>
  <c r="D128" i="10"/>
  <c r="D153" i="10" s="1"/>
  <c r="C101" i="10"/>
  <c r="C100" i="10"/>
  <c r="C99" i="10"/>
  <c r="C98" i="10"/>
  <c r="C97" i="10"/>
  <c r="C87" i="10"/>
  <c r="C86" i="10"/>
  <c r="C85" i="10"/>
  <c r="C84" i="10"/>
  <c r="C82" i="10"/>
  <c r="D67" i="10"/>
  <c r="D75" i="10" s="1"/>
  <c r="D65" i="10"/>
  <c r="D64" i="10"/>
  <c r="D63" i="10"/>
  <c r="C57" i="10"/>
  <c r="C42" i="10"/>
  <c r="C41" i="10"/>
  <c r="C43" i="10" s="1"/>
  <c r="D33" i="10"/>
  <c r="D153" i="9"/>
  <c r="C136" i="9"/>
  <c r="C143" i="9" s="1"/>
  <c r="D128" i="9"/>
  <c r="C101" i="9"/>
  <c r="C100" i="9"/>
  <c r="C99" i="9"/>
  <c r="C98" i="9"/>
  <c r="C97" i="9"/>
  <c r="C87" i="9"/>
  <c r="D86" i="9"/>
  <c r="C85" i="9"/>
  <c r="C84" i="9"/>
  <c r="C82" i="9"/>
  <c r="D65" i="9"/>
  <c r="D64" i="9"/>
  <c r="D63" i="9"/>
  <c r="D67" i="9" s="1"/>
  <c r="D75" i="9" s="1"/>
  <c r="C57" i="9"/>
  <c r="C86" i="9" s="1"/>
  <c r="C42" i="9"/>
  <c r="C41" i="9"/>
  <c r="C43" i="9" s="1"/>
  <c r="D33" i="9"/>
  <c r="D85" i="9" s="1"/>
  <c r="C136" i="8"/>
  <c r="C143" i="8" s="1"/>
  <c r="D128" i="8"/>
  <c r="D153" i="8" s="1"/>
  <c r="C101" i="8"/>
  <c r="C100" i="8"/>
  <c r="C99" i="8"/>
  <c r="C98" i="8"/>
  <c r="C97" i="8"/>
  <c r="C87" i="8"/>
  <c r="C86" i="8"/>
  <c r="C85" i="8"/>
  <c r="C84" i="8"/>
  <c r="C82" i="8"/>
  <c r="D65" i="8"/>
  <c r="D64" i="8"/>
  <c r="D63" i="8"/>
  <c r="C57" i="8"/>
  <c r="C42" i="8"/>
  <c r="C41" i="8"/>
  <c r="C43" i="8" s="1"/>
  <c r="D33" i="8"/>
  <c r="D82" i="8" s="1"/>
  <c r="D153" i="7"/>
  <c r="D149" i="7"/>
  <c r="C136" i="7"/>
  <c r="C143" i="7" s="1"/>
  <c r="D128" i="7"/>
  <c r="C101" i="7"/>
  <c r="C100" i="7"/>
  <c r="C99" i="7"/>
  <c r="C98" i="7"/>
  <c r="C97" i="7"/>
  <c r="D87" i="7"/>
  <c r="C87" i="7"/>
  <c r="C85" i="7"/>
  <c r="C84" i="7"/>
  <c r="C82" i="7"/>
  <c r="D65" i="7"/>
  <c r="D64" i="7"/>
  <c r="D63" i="7"/>
  <c r="D67" i="7" s="1"/>
  <c r="D75" i="7" s="1"/>
  <c r="C57" i="7"/>
  <c r="C86" i="7" s="1"/>
  <c r="C42" i="7"/>
  <c r="C41" i="7"/>
  <c r="D33" i="7"/>
  <c r="D85" i="7" s="1"/>
  <c r="D86" i="7" s="1"/>
  <c r="C136" i="6"/>
  <c r="C143" i="6" s="1"/>
  <c r="D128" i="6"/>
  <c r="D153" i="6" s="1"/>
  <c r="C101" i="6"/>
  <c r="C100" i="6"/>
  <c r="C99" i="6"/>
  <c r="C98" i="6"/>
  <c r="C97" i="6"/>
  <c r="C87" i="6"/>
  <c r="C86" i="6"/>
  <c r="C85" i="6"/>
  <c r="C84" i="6"/>
  <c r="C82" i="6"/>
  <c r="D65" i="6"/>
  <c r="D64" i="6"/>
  <c r="D63" i="6"/>
  <c r="C57" i="6"/>
  <c r="C42" i="6"/>
  <c r="C41" i="6"/>
  <c r="C43" i="6" s="1"/>
  <c r="D33" i="6"/>
  <c r="D153" i="5"/>
  <c r="C136" i="5"/>
  <c r="C143" i="5" s="1"/>
  <c r="D128" i="5"/>
  <c r="C101" i="5"/>
  <c r="C100" i="5"/>
  <c r="C99" i="5"/>
  <c r="C98" i="5"/>
  <c r="C97" i="5"/>
  <c r="C87" i="5"/>
  <c r="D87" i="5" s="1"/>
  <c r="C85" i="5"/>
  <c r="C84" i="5"/>
  <c r="D84" i="5" s="1"/>
  <c r="C82" i="5"/>
  <c r="D65" i="5"/>
  <c r="D64" i="5"/>
  <c r="D63" i="5"/>
  <c r="D67" i="5" s="1"/>
  <c r="D75" i="5" s="1"/>
  <c r="C57" i="5"/>
  <c r="C86" i="5" s="1"/>
  <c r="C42" i="5"/>
  <c r="C41" i="5"/>
  <c r="D33" i="5"/>
  <c r="C136" i="4"/>
  <c r="C143" i="4" s="1"/>
  <c r="D128" i="4"/>
  <c r="D153" i="4" s="1"/>
  <c r="C101" i="4"/>
  <c r="C100" i="4"/>
  <c r="C99" i="4"/>
  <c r="C98" i="4"/>
  <c r="C97" i="4"/>
  <c r="C87" i="4"/>
  <c r="C86" i="4"/>
  <c r="C85" i="4"/>
  <c r="C84" i="4"/>
  <c r="C82" i="4"/>
  <c r="D65" i="4"/>
  <c r="D64" i="4"/>
  <c r="D67" i="4" s="1"/>
  <c r="D75" i="4" s="1"/>
  <c r="D63" i="4"/>
  <c r="C57" i="4"/>
  <c r="C42" i="4"/>
  <c r="C41" i="4"/>
  <c r="C43" i="4" s="1"/>
  <c r="D33" i="4"/>
  <c r="C136" i="3"/>
  <c r="C143" i="3" s="1"/>
  <c r="D128" i="3"/>
  <c r="D153" i="3" s="1"/>
  <c r="C101" i="3"/>
  <c r="C100" i="3"/>
  <c r="C99" i="3"/>
  <c r="C98" i="3"/>
  <c r="C97" i="3"/>
  <c r="C87" i="3"/>
  <c r="C85" i="3"/>
  <c r="C84" i="3"/>
  <c r="C82" i="3"/>
  <c r="D65" i="3"/>
  <c r="D64" i="3"/>
  <c r="D63" i="3"/>
  <c r="D67" i="3" s="1"/>
  <c r="D75" i="3" s="1"/>
  <c r="C57" i="3"/>
  <c r="C86" i="3" s="1"/>
  <c r="C42" i="3"/>
  <c r="C41" i="3"/>
  <c r="D33" i="3"/>
  <c r="C136" i="2"/>
  <c r="C143" i="2" s="1"/>
  <c r="D128" i="2"/>
  <c r="D153" i="2" s="1"/>
  <c r="C101" i="2"/>
  <c r="C100" i="2"/>
  <c r="C99" i="2"/>
  <c r="C98" i="2"/>
  <c r="C97" i="2"/>
  <c r="C87" i="2"/>
  <c r="C85" i="2"/>
  <c r="C84" i="2"/>
  <c r="C82" i="2"/>
  <c r="D65" i="2"/>
  <c r="D64" i="2"/>
  <c r="D63" i="2"/>
  <c r="C57" i="2"/>
  <c r="C86" i="2" s="1"/>
  <c r="C42" i="2"/>
  <c r="C41" i="2"/>
  <c r="C43" i="2" s="1"/>
  <c r="D33" i="2"/>
  <c r="D153" i="1"/>
  <c r="C143" i="1"/>
  <c r="C136" i="1"/>
  <c r="D128" i="1"/>
  <c r="C101" i="1"/>
  <c r="C100" i="1"/>
  <c r="C99" i="1"/>
  <c r="C98" i="1"/>
  <c r="C97" i="1"/>
  <c r="C87" i="1"/>
  <c r="D87" i="1" s="1"/>
  <c r="C85" i="1"/>
  <c r="C84" i="1"/>
  <c r="D84" i="1" s="1"/>
  <c r="C82" i="1"/>
  <c r="D65" i="1"/>
  <c r="D64" i="1"/>
  <c r="D63" i="1"/>
  <c r="D67" i="1" s="1"/>
  <c r="D75" i="1" s="1"/>
  <c r="C57" i="1"/>
  <c r="C86" i="1" s="1"/>
  <c r="C43" i="1"/>
  <c r="D42" i="1"/>
  <c r="C42" i="1"/>
  <c r="C41" i="1"/>
  <c r="D33" i="1"/>
  <c r="D67" i="8" l="1"/>
  <c r="D75" i="8" s="1"/>
  <c r="D67" i="6"/>
  <c r="D75" i="6" s="1"/>
  <c r="D41" i="8"/>
  <c r="D82" i="6"/>
  <c r="D41" i="6"/>
  <c r="D149" i="6"/>
  <c r="D85" i="6"/>
  <c r="D86" i="6" s="1"/>
  <c r="D87" i="6"/>
  <c r="D84" i="6"/>
  <c r="D42" i="6"/>
  <c r="C43" i="7"/>
  <c r="D42" i="7"/>
  <c r="C43" i="3"/>
  <c r="D42" i="3"/>
  <c r="D82" i="4"/>
  <c r="D41" i="4"/>
  <c r="D43" i="4" s="1"/>
  <c r="D73" i="4" s="1"/>
  <c r="D149" i="4"/>
  <c r="D85" i="4"/>
  <c r="D86" i="4" s="1"/>
  <c r="D87" i="4"/>
  <c r="D84" i="4"/>
  <c r="D42" i="4"/>
  <c r="C43" i="5"/>
  <c r="D42" i="5"/>
  <c r="D85" i="1"/>
  <c r="D86" i="1" s="1"/>
  <c r="D149" i="1"/>
  <c r="D67" i="2"/>
  <c r="D75" i="2" s="1"/>
  <c r="D85" i="2"/>
  <c r="D86" i="2" s="1"/>
  <c r="D41" i="1"/>
  <c r="D43" i="1" s="1"/>
  <c r="D56" i="1" s="1"/>
  <c r="D50" i="1"/>
  <c r="D82" i="1"/>
  <c r="D82" i="2"/>
  <c r="D149" i="2"/>
  <c r="D87" i="2"/>
  <c r="D84" i="2"/>
  <c r="D42" i="2"/>
  <c r="D54" i="4"/>
  <c r="D149" i="12"/>
  <c r="D85" i="12"/>
  <c r="D86" i="12" s="1"/>
  <c r="D87" i="12"/>
  <c r="D84" i="12"/>
  <c r="D42" i="12"/>
  <c r="D82" i="12"/>
  <c r="D41" i="12"/>
  <c r="D41" i="2"/>
  <c r="D42" i="13"/>
  <c r="C43" i="13"/>
  <c r="D85" i="3"/>
  <c r="D86" i="3" s="1"/>
  <c r="D149" i="3"/>
  <c r="D85" i="5"/>
  <c r="D86" i="5" s="1"/>
  <c r="D149" i="5"/>
  <c r="D54" i="9"/>
  <c r="D82" i="10"/>
  <c r="D41" i="3"/>
  <c r="D82" i="3"/>
  <c r="D41" i="5"/>
  <c r="D43" i="5" s="1"/>
  <c r="D49" i="5" s="1"/>
  <c r="D56" i="5"/>
  <c r="D82" i="5"/>
  <c r="D41" i="7"/>
  <c r="D43" i="7" s="1"/>
  <c r="D149" i="8"/>
  <c r="D85" i="8"/>
  <c r="D86" i="8" s="1"/>
  <c r="D87" i="8"/>
  <c r="D84" i="8"/>
  <c r="D55" i="9"/>
  <c r="D149" i="10"/>
  <c r="D85" i="10"/>
  <c r="D86" i="10" s="1"/>
  <c r="D55" i="10"/>
  <c r="D87" i="10"/>
  <c r="D84" i="10"/>
  <c r="D53" i="10"/>
  <c r="D42" i="10"/>
  <c r="D54" i="10"/>
  <c r="D84" i="3"/>
  <c r="D87" i="3"/>
  <c r="D42" i="9"/>
  <c r="D82" i="9"/>
  <c r="D56" i="9"/>
  <c r="D41" i="9"/>
  <c r="D43" i="9" s="1"/>
  <c r="D149" i="9"/>
  <c r="D51" i="9"/>
  <c r="D87" i="9"/>
  <c r="D54" i="5"/>
  <c r="D82" i="7"/>
  <c r="D56" i="7"/>
  <c r="D54" i="7"/>
  <c r="D84" i="7"/>
  <c r="D42" i="8"/>
  <c r="D43" i="8" s="1"/>
  <c r="D83" i="8"/>
  <c r="D53" i="9"/>
  <c r="D84" i="9"/>
  <c r="D41" i="10"/>
  <c r="D43" i="10" s="1"/>
  <c r="D52" i="10" s="1"/>
  <c r="D149" i="13"/>
  <c r="D41" i="11"/>
  <c r="D43" i="11" s="1"/>
  <c r="D50" i="11" s="1"/>
  <c r="D82" i="11"/>
  <c r="D41" i="13"/>
  <c r="D43" i="13" s="1"/>
  <c r="D82" i="13"/>
  <c r="D43" i="3" l="1"/>
  <c r="D88" i="8"/>
  <c r="D151" i="8" s="1"/>
  <c r="D54" i="8"/>
  <c r="D52" i="8"/>
  <c r="D73" i="8"/>
  <c r="D51" i="8"/>
  <c r="D53" i="8"/>
  <c r="D49" i="8"/>
  <c r="D55" i="8"/>
  <c r="D50" i="8"/>
  <c r="D56" i="8"/>
  <c r="D52" i="13"/>
  <c r="D55" i="13"/>
  <c r="D49" i="13"/>
  <c r="D53" i="13"/>
  <c r="D73" i="13"/>
  <c r="D51" i="13"/>
  <c r="D54" i="11"/>
  <c r="D83" i="3"/>
  <c r="D88" i="3" s="1"/>
  <c r="D151" i="3" s="1"/>
  <c r="D52" i="4"/>
  <c r="D83" i="11"/>
  <c r="D88" i="11" s="1"/>
  <c r="D151" i="11" s="1"/>
  <c r="D73" i="7"/>
  <c r="D53" i="7"/>
  <c r="D52" i="7"/>
  <c r="D51" i="7"/>
  <c r="D53" i="4"/>
  <c r="D83" i="4"/>
  <c r="D88" i="4"/>
  <c r="D151" i="4" s="1"/>
  <c r="D54" i="13"/>
  <c r="D56" i="10"/>
  <c r="D49" i="9"/>
  <c r="D57" i="9" s="1"/>
  <c r="D74" i="9" s="1"/>
  <c r="D73" i="9"/>
  <c r="D49" i="7"/>
  <c r="D43" i="12"/>
  <c r="D83" i="1"/>
  <c r="D88" i="1"/>
  <c r="D151" i="1" s="1"/>
  <c r="D83" i="10"/>
  <c r="D88" i="10" s="1"/>
  <c r="D151" i="10" s="1"/>
  <c r="D83" i="13"/>
  <c r="D88" i="13" s="1"/>
  <c r="D151" i="13" s="1"/>
  <c r="D73" i="10"/>
  <c r="D50" i="10"/>
  <c r="D53" i="5"/>
  <c r="D52" i="5"/>
  <c r="D51" i="5"/>
  <c r="D73" i="5"/>
  <c r="D55" i="7"/>
  <c r="D56" i="13"/>
  <c r="D56" i="11"/>
  <c r="D50" i="13"/>
  <c r="D50" i="9"/>
  <c r="D52" i="9"/>
  <c r="D49" i="10"/>
  <c r="D57" i="10" s="1"/>
  <c r="D74" i="10" s="1"/>
  <c r="D43" i="2"/>
  <c r="D83" i="12"/>
  <c r="D88" i="12" s="1"/>
  <c r="D151" i="12" s="1"/>
  <c r="D43" i="6"/>
  <c r="D51" i="4"/>
  <c r="D88" i="9"/>
  <c r="D151" i="9" s="1"/>
  <c r="D83" i="9"/>
  <c r="D73" i="1"/>
  <c r="D52" i="1"/>
  <c r="D53" i="1"/>
  <c r="D55" i="1"/>
  <c r="D49" i="4"/>
  <c r="D50" i="4"/>
  <c r="D54" i="1"/>
  <c r="D51" i="1"/>
  <c r="D83" i="7"/>
  <c r="D88" i="7" s="1"/>
  <c r="D151" i="7" s="1"/>
  <c r="D51" i="10"/>
  <c r="D50" i="7"/>
  <c r="D50" i="5"/>
  <c r="D57" i="5" s="1"/>
  <c r="D74" i="5" s="1"/>
  <c r="D55" i="5"/>
  <c r="D83" i="2"/>
  <c r="D88" i="2" s="1"/>
  <c r="D151" i="2" s="1"/>
  <c r="D49" i="1"/>
  <c r="D55" i="4"/>
  <c r="D56" i="4"/>
  <c r="D83" i="6"/>
  <c r="D88" i="6"/>
  <c r="D151" i="6" s="1"/>
  <c r="D52" i="11"/>
  <c r="D55" i="11"/>
  <c r="D49" i="11"/>
  <c r="D73" i="11"/>
  <c r="D51" i="11"/>
  <c r="D53" i="11"/>
  <c r="D83" i="5"/>
  <c r="D88" i="5" s="1"/>
  <c r="D151" i="5" s="1"/>
  <c r="D55" i="3" l="1"/>
  <c r="D56" i="3"/>
  <c r="D53" i="3"/>
  <c r="D49" i="3"/>
  <c r="D57" i="3" s="1"/>
  <c r="D74" i="3" s="1"/>
  <c r="D76" i="3" s="1"/>
  <c r="D54" i="3"/>
  <c r="D73" i="3"/>
  <c r="D51" i="3"/>
  <c r="D50" i="3"/>
  <c r="D52" i="3"/>
  <c r="D73" i="2"/>
  <c r="D55" i="2"/>
  <c r="D49" i="2"/>
  <c r="D56" i="2"/>
  <c r="D54" i="2"/>
  <c r="D51" i="2"/>
  <c r="D52" i="2"/>
  <c r="D50" i="2"/>
  <c r="D53" i="2"/>
  <c r="D76" i="1"/>
  <c r="D57" i="11"/>
  <c r="D74" i="11" s="1"/>
  <c r="D57" i="1"/>
  <c r="D74" i="1" s="1"/>
  <c r="D73" i="6"/>
  <c r="D53" i="6"/>
  <c r="D56" i="6"/>
  <c r="D55" i="6"/>
  <c r="D49" i="6"/>
  <c r="D51" i="6"/>
  <c r="D52" i="6"/>
  <c r="D50" i="6"/>
  <c r="D54" i="6"/>
  <c r="D73" i="12"/>
  <c r="D56" i="12"/>
  <c r="D51" i="12"/>
  <c r="D50" i="12"/>
  <c r="D55" i="12"/>
  <c r="D52" i="12"/>
  <c r="D53" i="12"/>
  <c r="D49" i="12"/>
  <c r="D54" i="12"/>
  <c r="D76" i="5"/>
  <c r="D57" i="7"/>
  <c r="D74" i="7" s="1"/>
  <c r="D76" i="7" s="1"/>
  <c r="D76" i="13"/>
  <c r="D76" i="10"/>
  <c r="D76" i="11"/>
  <c r="D57" i="4"/>
  <c r="D74" i="4" s="1"/>
  <c r="D76" i="4" s="1"/>
  <c r="D76" i="9"/>
  <c r="D57" i="13"/>
  <c r="D74" i="13" s="1"/>
  <c r="D57" i="8"/>
  <c r="D74" i="8" s="1"/>
  <c r="D76" i="8" s="1"/>
  <c r="D150" i="7" l="1"/>
  <c r="D99" i="7"/>
  <c r="D109" i="7"/>
  <c r="D110" i="7" s="1"/>
  <c r="D117" i="7" s="1"/>
  <c r="D102" i="7"/>
  <c r="D98" i="7"/>
  <c r="D97" i="7"/>
  <c r="D103" i="7" s="1"/>
  <c r="D116" i="7" s="1"/>
  <c r="D118" i="7" s="1"/>
  <c r="D152" i="7" s="1"/>
  <c r="D101" i="7"/>
  <c r="D100" i="7"/>
  <c r="D150" i="13"/>
  <c r="D109" i="13"/>
  <c r="D110" i="13" s="1"/>
  <c r="D117" i="13" s="1"/>
  <c r="D97" i="13"/>
  <c r="D100" i="13"/>
  <c r="D98" i="13"/>
  <c r="D102" i="13"/>
  <c r="D101" i="13"/>
  <c r="D99" i="13"/>
  <c r="D150" i="11"/>
  <c r="D109" i="11"/>
  <c r="D110" i="11" s="1"/>
  <c r="D117" i="11" s="1"/>
  <c r="D102" i="11"/>
  <c r="D97" i="11"/>
  <c r="D99" i="11"/>
  <c r="D98" i="11"/>
  <c r="D100" i="11"/>
  <c r="D101" i="11"/>
  <c r="D101" i="1"/>
  <c r="D150" i="1"/>
  <c r="D102" i="1"/>
  <c r="D98" i="1"/>
  <c r="D100" i="1"/>
  <c r="D109" i="1"/>
  <c r="D110" i="1" s="1"/>
  <c r="D117" i="1" s="1"/>
  <c r="D97" i="1"/>
  <c r="D99" i="1"/>
  <c r="D150" i="9"/>
  <c r="D97" i="9"/>
  <c r="D99" i="9"/>
  <c r="D102" i="9"/>
  <c r="D100" i="9"/>
  <c r="D101" i="9"/>
  <c r="D109" i="9"/>
  <c r="D110" i="9" s="1"/>
  <c r="D117" i="9" s="1"/>
  <c r="D98" i="9"/>
  <c r="D150" i="8"/>
  <c r="D101" i="8"/>
  <c r="D98" i="8"/>
  <c r="D102" i="8"/>
  <c r="D100" i="8"/>
  <c r="D99" i="8"/>
  <c r="D97" i="8"/>
  <c r="D109" i="8"/>
  <c r="D110" i="8" s="1"/>
  <c r="D117" i="8" s="1"/>
  <c r="D57" i="12"/>
  <c r="D74" i="12" s="1"/>
  <c r="D57" i="6"/>
  <c r="D74" i="6" s="1"/>
  <c r="D76" i="6" s="1"/>
  <c r="D150" i="3"/>
  <c r="D99" i="3"/>
  <c r="D109" i="3"/>
  <c r="D110" i="3" s="1"/>
  <c r="D117" i="3" s="1"/>
  <c r="D97" i="3"/>
  <c r="D98" i="3"/>
  <c r="D102" i="3"/>
  <c r="D100" i="3"/>
  <c r="D101" i="3"/>
  <c r="D57" i="2"/>
  <c r="D74" i="2" s="1"/>
  <c r="D150" i="10"/>
  <c r="D109" i="10"/>
  <c r="D110" i="10" s="1"/>
  <c r="D117" i="10" s="1"/>
  <c r="D100" i="10"/>
  <c r="D98" i="10"/>
  <c r="D99" i="10"/>
  <c r="D102" i="10"/>
  <c r="D97" i="10"/>
  <c r="D103" i="10" s="1"/>
  <c r="D116" i="10" s="1"/>
  <c r="D118" i="10" s="1"/>
  <c r="D152" i="10" s="1"/>
  <c r="D101" i="10"/>
  <c r="D76" i="12"/>
  <c r="D150" i="4"/>
  <c r="D101" i="4"/>
  <c r="D98" i="4"/>
  <c r="D102" i="4"/>
  <c r="D100" i="4"/>
  <c r="D99" i="4"/>
  <c r="D97" i="4"/>
  <c r="D109" i="4"/>
  <c r="D110" i="4" s="1"/>
  <c r="D117" i="4" s="1"/>
  <c r="D101" i="5"/>
  <c r="D98" i="5"/>
  <c r="D150" i="5"/>
  <c r="D102" i="5"/>
  <c r="D99" i="5"/>
  <c r="D97" i="5"/>
  <c r="D109" i="5"/>
  <c r="D110" i="5" s="1"/>
  <c r="D117" i="5" s="1"/>
  <c r="D100" i="5"/>
  <c r="D76" i="2"/>
  <c r="D103" i="3" l="1"/>
  <c r="D116" i="3" s="1"/>
  <c r="D118" i="3" s="1"/>
  <c r="D152" i="3" s="1"/>
  <c r="D103" i="8"/>
  <c r="D116" i="8" s="1"/>
  <c r="D118" i="8" s="1"/>
  <c r="D152" i="8" s="1"/>
  <c r="D154" i="8" s="1"/>
  <c r="D103" i="13"/>
  <c r="D116" i="13" s="1"/>
  <c r="D118" i="13" s="1"/>
  <c r="D152" i="13" s="1"/>
  <c r="D103" i="5"/>
  <c r="D116" i="5" s="1"/>
  <c r="D118" i="5" s="1"/>
  <c r="D152" i="5" s="1"/>
  <c r="D103" i="9"/>
  <c r="D116" i="9" s="1"/>
  <c r="D118" i="9" s="1"/>
  <c r="D152" i="9" s="1"/>
  <c r="D103" i="4"/>
  <c r="D116" i="4" s="1"/>
  <c r="D118" i="4" s="1"/>
  <c r="D152" i="4" s="1"/>
  <c r="D154" i="4"/>
  <c r="D154" i="3"/>
  <c r="D154" i="9"/>
  <c r="D154" i="13"/>
  <c r="D154" i="10"/>
  <c r="D150" i="2"/>
  <c r="D99" i="2"/>
  <c r="D101" i="2"/>
  <c r="D102" i="2"/>
  <c r="D100" i="2"/>
  <c r="D109" i="2"/>
  <c r="D110" i="2" s="1"/>
  <c r="D117" i="2" s="1"/>
  <c r="D98" i="2"/>
  <c r="D97" i="2"/>
  <c r="D103" i="2" s="1"/>
  <c r="D116" i="2" s="1"/>
  <c r="D118" i="2" s="1"/>
  <c r="D152" i="2" s="1"/>
  <c r="D150" i="12"/>
  <c r="D109" i="12"/>
  <c r="D110" i="12" s="1"/>
  <c r="D117" i="12" s="1"/>
  <c r="D100" i="12"/>
  <c r="D101" i="12"/>
  <c r="D97" i="12"/>
  <c r="D98" i="12"/>
  <c r="D102" i="12"/>
  <c r="D99" i="12"/>
  <c r="D103" i="11"/>
  <c r="D116" i="11" s="1"/>
  <c r="D118" i="11" s="1"/>
  <c r="D152" i="11" s="1"/>
  <c r="D154" i="11" s="1"/>
  <c r="D150" i="6"/>
  <c r="D101" i="6"/>
  <c r="D98" i="6"/>
  <c r="D102" i="6"/>
  <c r="D100" i="6"/>
  <c r="D97" i="6"/>
  <c r="D109" i="6"/>
  <c r="D110" i="6" s="1"/>
  <c r="D117" i="6" s="1"/>
  <c r="D99" i="6"/>
  <c r="D154" i="5"/>
  <c r="D103" i="1"/>
  <c r="D116" i="1" s="1"/>
  <c r="D118" i="1" s="1"/>
  <c r="D152" i="1" s="1"/>
  <c r="D154" i="1" s="1"/>
  <c r="D154" i="7"/>
  <c r="D134" i="11" l="1"/>
  <c r="D135" i="11" s="1"/>
  <c r="D134" i="1"/>
  <c r="D134" i="5"/>
  <c r="D103" i="6"/>
  <c r="D116" i="6" s="1"/>
  <c r="D118" i="6" s="1"/>
  <c r="D152" i="6" s="1"/>
  <c r="D134" i="10"/>
  <c r="D135" i="10"/>
  <c r="D136" i="10" s="1"/>
  <c r="D134" i="7"/>
  <c r="D136" i="13"/>
  <c r="D135" i="13"/>
  <c r="D134" i="13"/>
  <c r="D135" i="9"/>
  <c r="D136" i="9" s="1"/>
  <c r="D134" i="9"/>
  <c r="D134" i="3"/>
  <c r="D134" i="8"/>
  <c r="D135" i="8"/>
  <c r="D136" i="8" s="1"/>
  <c r="D135" i="4"/>
  <c r="D136" i="4" s="1"/>
  <c r="D134" i="4"/>
  <c r="D154" i="6"/>
  <c r="D103" i="12"/>
  <c r="D116" i="12" s="1"/>
  <c r="D118" i="12" s="1"/>
  <c r="D152" i="12" s="1"/>
  <c r="D154" i="12" s="1"/>
  <c r="D154" i="2"/>
  <c r="D134" i="12" l="1"/>
  <c r="D135" i="12" s="1"/>
  <c r="D135" i="7"/>
  <c r="D143" i="7" s="1"/>
  <c r="D155" i="7" s="1"/>
  <c r="D156" i="7" s="1"/>
  <c r="D136" i="7"/>
  <c r="D143" i="11"/>
  <c r="D155" i="11" s="1"/>
  <c r="D156" i="11" s="1"/>
  <c r="D143" i="4"/>
  <c r="D155" i="4" s="1"/>
  <c r="D156" i="4" s="1"/>
  <c r="D143" i="8"/>
  <c r="D155" i="8" s="1"/>
  <c r="D143" i="9"/>
  <c r="D155" i="9" s="1"/>
  <c r="D156" i="9" s="1"/>
  <c r="D135" i="5"/>
  <c r="D136" i="5" s="1"/>
  <c r="D136" i="1"/>
  <c r="D135" i="3"/>
  <c r="D134" i="2"/>
  <c r="D143" i="10"/>
  <c r="D155" i="10" s="1"/>
  <c r="D156" i="10" s="1"/>
  <c r="D134" i="6"/>
  <c r="D136" i="3"/>
  <c r="D143" i="3" s="1"/>
  <c r="D155" i="3" s="1"/>
  <c r="D143" i="13"/>
  <c r="D155" i="13" s="1"/>
  <c r="D156" i="13" s="1"/>
  <c r="D135" i="1"/>
  <c r="D143" i="1" s="1"/>
  <c r="D155" i="1" s="1"/>
  <c r="D156" i="1" s="1"/>
  <c r="D136" i="11"/>
  <c r="D14" i="14" l="1"/>
  <c r="F14" i="14" s="1"/>
  <c r="D138" i="3"/>
  <c r="D137" i="3"/>
  <c r="D142" i="3"/>
  <c r="D140" i="3"/>
  <c r="D139" i="3"/>
  <c r="D141" i="3"/>
  <c r="D142" i="1"/>
  <c r="D141" i="1"/>
  <c r="D137" i="1"/>
  <c r="D140" i="1"/>
  <c r="D139" i="1"/>
  <c r="D138" i="1"/>
  <c r="D142" i="7"/>
  <c r="D140" i="7"/>
  <c r="D141" i="7"/>
  <c r="D139" i="7"/>
  <c r="D138" i="7"/>
  <c r="D137" i="7"/>
  <c r="D142" i="13"/>
  <c r="D140" i="13"/>
  <c r="F25" i="14"/>
  <c r="D139" i="13"/>
  <c r="D138" i="13"/>
  <c r="D137" i="13"/>
  <c r="D141" i="13"/>
  <c r="D139" i="8"/>
  <c r="D16" i="14"/>
  <c r="F16" i="14" s="1"/>
  <c r="D137" i="8"/>
  <c r="D142" i="8"/>
  <c r="D140" i="8"/>
  <c r="D138" i="8"/>
  <c r="D141" i="8"/>
  <c r="D141" i="4"/>
  <c r="D140" i="4"/>
  <c r="D139" i="4"/>
  <c r="D137" i="4"/>
  <c r="D142" i="4"/>
  <c r="D138" i="4"/>
  <c r="D135" i="2"/>
  <c r="D136" i="2" s="1"/>
  <c r="D135" i="6"/>
  <c r="D136" i="6" s="1"/>
  <c r="D139" i="10"/>
  <c r="D137" i="10"/>
  <c r="D142" i="10"/>
  <c r="D141" i="10"/>
  <c r="D138" i="10"/>
  <c r="D140" i="10"/>
  <c r="D142" i="11"/>
  <c r="D140" i="11"/>
  <c r="D139" i="11"/>
  <c r="D138" i="11"/>
  <c r="D141" i="11"/>
  <c r="D137" i="11"/>
  <c r="D142" i="9"/>
  <c r="D140" i="9"/>
  <c r="D139" i="9"/>
  <c r="D138" i="9"/>
  <c r="D141" i="9"/>
  <c r="D137" i="9"/>
  <c r="D143" i="5"/>
  <c r="D155" i="5" s="1"/>
  <c r="D156" i="5" s="1"/>
  <c r="D136" i="12"/>
  <c r="D143" i="12" s="1"/>
  <c r="D155" i="12" s="1"/>
  <c r="D139" i="12" l="1"/>
  <c r="D17" i="14"/>
  <c r="F17" i="14" s="1"/>
  <c r="D137" i="12"/>
  <c r="D142" i="12"/>
  <c r="D141" i="12"/>
  <c r="D140" i="12"/>
  <c r="D138" i="12"/>
  <c r="D143" i="6"/>
  <c r="D155" i="6" s="1"/>
  <c r="F24" i="14"/>
  <c r="D138" i="5"/>
  <c r="D137" i="5"/>
  <c r="D142" i="5"/>
  <c r="D140" i="5"/>
  <c r="D139" i="5"/>
  <c r="D141" i="5"/>
  <c r="D143" i="2"/>
  <c r="D155" i="2" s="1"/>
  <c r="D156" i="2" s="1"/>
  <c r="F22" i="14" l="1"/>
  <c r="D141" i="2"/>
  <c r="D140" i="2"/>
  <c r="D139" i="2"/>
  <c r="D137" i="2"/>
  <c r="D142" i="2"/>
  <c r="D138" i="2"/>
  <c r="D15" i="14"/>
  <c r="F15" i="14" s="1"/>
  <c r="D141" i="6"/>
  <c r="D140" i="6"/>
  <c r="D139" i="6"/>
  <c r="D137" i="6"/>
  <c r="D142" i="6"/>
  <c r="D138" i="6"/>
  <c r="E23" i="14" l="1"/>
  <c r="F23" i="14" s="1"/>
  <c r="F27" i="14" s="1"/>
  <c r="F26" i="14"/>
</calcChain>
</file>

<file path=xl/sharedStrings.xml><?xml version="1.0" encoding="utf-8"?>
<sst xmlns="http://schemas.openxmlformats.org/spreadsheetml/2006/main" count="2627" uniqueCount="189">
  <si>
    <t>PLANILHA DE CUSTOS E FORMAÇÃO DE PREÇOS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</si>
  <si>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</si>
  <si>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</si>
  <si>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</si>
  <si>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</si>
  <si>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</si>
  <si>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</si>
  <si>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</si>
  <si>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</si>
  <si>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</si>
  <si>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</si>
  <si>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</si>
  <si>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</si>
  <si>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</si>
  <si>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Atendente de Equipe Especializada I – Atendimento Remoto ao
Usuário</t>
  </si>
  <si>
    <t>posto de serviço</t>
  </si>
  <si>
    <t>Dados complementares para composição dos custos referente à mão-de-obra</t>
  </si>
  <si>
    <t>Tipo de serviço (mesmo serviço com características distintas)</t>
  </si>
  <si>
    <t>Atendente</t>
  </si>
  <si>
    <t>Classificação Brasileira de Ocupações (CBO)</t>
  </si>
  <si>
    <t>3172-10</t>
  </si>
  <si>
    <t>Salário Normativo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</si>
  <si>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</si>
  <si>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</si>
  <si>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</si>
  <si>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</si>
  <si>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</si>
  <si>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</si>
  <si>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</si>
  <si>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</si>
  <si>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</si>
  <si>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</si>
  <si>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</si>
  <si>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</si>
  <si>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</si>
  <si>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</si>
  <si>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</si>
  <si>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</si>
  <si>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</si>
  <si>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</si>
  <si>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</si>
  <si>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</si>
  <si>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</si>
  <si>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</si>
  <si>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</si>
  <si>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</si>
  <si>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</si>
  <si>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</si>
  <si>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</si>
  <si>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</si>
  <si>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</si>
  <si>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</si>
  <si>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</si>
  <si>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</si>
  <si>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</si>
  <si>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</si>
  <si>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</si>
  <si>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</si>
  <si>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</si>
  <si>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</si>
  <si>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</si>
  <si>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</si>
  <si>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</si>
  <si>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</si>
  <si>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</si>
  <si>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</si>
  <si>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</si>
  <si>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</si>
  <si>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</si>
  <si>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</si>
  <si>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</si>
  <si>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</si>
  <si>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</si>
  <si>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</si>
  <si>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</si>
  <si>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</si>
  <si>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</si>
  <si>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</si>
  <si>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</si>
  <si>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</si>
  <si>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</si>
  <si>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</si>
  <si>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</si>
  <si>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</si>
  <si>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</si>
  <si>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</si>
  <si>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</si>
  <si>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</si>
  <si>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</si>
  <si>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</si>
  <si>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</si>
  <si>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</si>
  <si>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</si>
  <si>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</si>
  <si>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Assistente Virtual Inteligente (chatbot)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</si>
  <si>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</si>
  <si>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</si>
  <si>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</si>
  <si>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</si>
  <si>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</si>
  <si>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</si>
  <si>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C.1.A. PIS</t>
  </si>
  <si>
    <t>C.1.B. COFINS</t>
  </si>
  <si>
    <t>C.2. Tributos Estaduais (especificar)</t>
  </si>
  <si>
    <t>C.3. Tributos Municipais (especificar)</t>
  </si>
  <si>
    <t>C.3.A. ISS</t>
  </si>
  <si>
    <t>2. QUADRO-RESUMO DO CUSTO POR EMPREGADO</t>
  </si>
  <si>
    <t>Mão de obra vinculada à execução contratual (valor por empregado)</t>
  </si>
  <si>
    <t>Subtotal (A + B +C+ D + E)</t>
  </si>
  <si>
    <t>Módulo 6 – Custos Indiretos, Tributos e Lucro</t>
  </si>
  <si>
    <t xml:space="preserve">Valor Total por Empregado </t>
  </si>
  <si>
    <t>Supervisor de Equipe Especializada I – Atendimento Remoto ao
Usuário</t>
  </si>
  <si>
    <t>Supervisor</t>
  </si>
  <si>
    <t>1425-30</t>
  </si>
  <si>
    <t>Atendente de Equipe Especializada II – Atendimento Presencial
ao Usuário</t>
  </si>
  <si>
    <t xml:space="preserve">Analista de Suporte em 3° Nível -  Equipe especializada III – Serviços Microsoft </t>
  </si>
  <si>
    <t>Analista</t>
  </si>
  <si>
    <t>2124-20</t>
  </si>
  <si>
    <t>Analista de Suporte em 3° Nível - Equipe especializada IV – Serviços de Banco de Dados</t>
  </si>
  <si>
    <t>Analista de Suporte em 3° Nível - Equipe especializada V – Redes Locais, Metropolitanas e de Longa Distância</t>
  </si>
  <si>
    <t>2124-10</t>
  </si>
  <si>
    <t>Analista de Suporte em 3° Nível - Equipe especializada VI – Apoio a Processos de Segurança da Informação</t>
  </si>
  <si>
    <t>2123-20</t>
  </si>
  <si>
    <t>Analista de Suporte em 3° Nível - Equipe especializada VII – Sistemas Operacionais e Orquestração de Servidores</t>
  </si>
  <si>
    <t>Analista de Suporte em 3° Nível - Equipe especializada VIII – Suporte e Operação de Sistemas e Aplicações</t>
  </si>
  <si>
    <t>Analista de Suporte em 3° Nível - Equipe especializada IX – Apoio ao Gerenciamento de Identidades</t>
  </si>
  <si>
    <t>Analista de Suporte em 3° Nível - Equipe especializada X - Serviço de Backup e Armazenamento de Dados</t>
  </si>
  <si>
    <t>Líder Técnico Equipes II a X</t>
  </si>
  <si>
    <t>1425-05</t>
  </si>
  <si>
    <t>Analista de Suporte em 3° Nível - Equipe especializada XI – Monitoramento de Redes, Serviços e Aplicações</t>
  </si>
  <si>
    <t>QUADRO RESUMO - VALORES ESTIMADOS</t>
  </si>
  <si>
    <t>profissional</t>
  </si>
  <si>
    <t>valor mensal por profissional</t>
  </si>
  <si>
    <t>quantidade estimada de profissionais</t>
  </si>
  <si>
    <t>valor mensal</t>
  </si>
  <si>
    <t>item</t>
  </si>
  <si>
    <t>valor estimado serviço regular</t>
  </si>
  <si>
    <t>serviço</t>
  </si>
  <si>
    <t>unidade de medida</t>
  </si>
  <si>
    <t>quantidade de meses</t>
  </si>
  <si>
    <t xml:space="preserve">valor total </t>
  </si>
  <si>
    <t>Serviço de Central de Suporte e Serviços (Service Desk) e suporte, sustentação e operação de serviços e infraestrutura de TIC para organização, desenvolvimento, implantação e execução continuada de tarefas compreendendo atividades de suporte técnico remoto de 1º Nível, a usuários de soluções de TIC do TRE-BA, abrangendo a execução de rotinas periódicas, registro, documentação, orientação e esclarecimento de dúvidas, bem como análise, diagnóstico e atendimento de solicitações e incidentes de usuários</t>
  </si>
  <si>
    <t>valor fixo mensal</t>
  </si>
  <si>
    <t>Serviço de Central de Suporte e Serviços (Service Desk) e suporte, sustentação e operação de serviços e infraestrutura de TIC para organização, desenvolvimento, implantação e execução continuada de tarefas compreendendo atividades de suporte técnico presencial de 2º e 3º Níveis, a usuários de soluções de TIC do TRE-BA, abrangendo a execução de rotinas periódicas, registro, documentação, orientação e esclarecimento de dúvidas, bem como análise, diagnóstico e atendimento de solicitações e incidentes de usuários, sustentação da infraestrutura tecnológica  , conforme especificações e condições deste Termo de Referência e seus Anexos.</t>
  </si>
  <si>
    <t>Serviço de Central de Suporte e Serviços (Service Desk) e suporte, sustentação e operação de serviços e infraestrutura de TIC para organização, desenvolvimento, implantação e execução continuada de tarefas compreendendo atividades de suporte técnico remoto de 3º Nível, a usuários de soluções de TIC do TRE-BA, abrangendo a execução de rotinas periódicas, registro, documentação, orientação e esclarecimento de dúvidas, bem como análise, diagnóstico e atendimento de solicitações e incidentes de usuários, sustentação da infraestrutura tecnológica  , conforme especificações e condições deste Termo de Referência e seus Anexos.</t>
  </si>
  <si>
    <t xml:space="preserve">Monitoramento remoto de Redes, Serviços e Aplicações, conforme especificações e condições deste Termo de Referência e seus Anexos. </t>
  </si>
  <si>
    <t>Tarefas de demanda – para execução de projetos e atividades não rotineiras, conforme especificações e condições deste Termo de Referência e seus Anexos</t>
  </si>
  <si>
    <t>HST - Horas de Serviço Técnico</t>
  </si>
  <si>
    <t>Valor total ( 1 + 2 + 3 + 4 + 5 )</t>
  </si>
  <si>
    <t>valor estimado dos profissionais - item 2</t>
  </si>
  <si>
    <t>nível</t>
  </si>
  <si>
    <t>N2</t>
  </si>
  <si>
    <t>N3</t>
  </si>
  <si>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</si>
  <si>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</si>
  <si>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</si>
  <si>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</si>
  <si>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</si>
  <si>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</si>
  <si>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</si>
  <si>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</si>
  <si>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</si>
  <si>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</si>
  <si>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Serviço de Central de Suporte e Serviços (Service Desk) e suporte, sustentação e operação de serviços e infraestrutura de TIC para organização, desenvolvimento, implantação e execução continuada de tarefas compreendendo atividades de suporte técnico remoto de 1º Nível, a usuários de soluções de TIC do TRE-BA, abrangendo a execução de rotinas periódicas, registro, documentação, orientação e esclarecimento de dúvidas, bem como análise, diagnóstico e atendimento de solicitações e incidentes de usuários.</t>
  </si>
  <si>
    <t>SOLUTIS TECNOLOGIAS LTDA</t>
  </si>
  <si>
    <t>STEFANINI CONSULTORIA E ASSESSORIA EM INFORMATICA S.A.</t>
  </si>
  <si>
    <t>LANLINK SERVIÇOS DE INFORMÁTICA S.A.</t>
  </si>
  <si>
    <t>IOS INFORMÁTICA ORGANIZAÇÃO E SISTEMAS LTDA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</si>
  <si>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</si>
  <si>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</si>
  <si>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</si>
  <si>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</si>
  <si>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</si>
  <si>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</si>
  <si>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</si>
  <si>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</si>
  <si>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</si>
  <si>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</si>
  <si>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</si>
  <si>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</si>
  <si>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</si>
  <si>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</si>
  <si>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</si>
  <si>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</si>
  <si>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3</t>
  </si>
  <si>
    <t>ITEM 4</t>
  </si>
  <si>
    <t>ITEM 5</t>
  </si>
  <si>
    <t>Tarefas de demanda – para execução de projetos e atividades não rotineiras, conforme especificações e condições deste Termo de Referência e seus Anexos.</t>
  </si>
  <si>
    <t>HST - horas de serviço técnico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</si>
</sst>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\-??_);_(@_)"/>
    <numFmt numFmtId="165" formatCode="_-* #,##0.00_-;\-* #,##0.00_-;_-* \-??_-;_-@_-"/>
    <numFmt numFmtId="166" formatCode="#,##0.0"/>
    <numFmt numFmtId="167" formatCode="[$R$-416]\ #,##0.00;[Red]\-[$R$-416]\ #,##0.00"/>
  </numFmts>
  <fonts count="26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i/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1"/>
      <color rgb="FFFFFFFF"/>
      <name val="Times New Roman"/>
      <family val="1"/>
      <charset val="1"/>
    </font>
    <font>
      <b/>
      <sz val="11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Calibri"/>
      <family val="2"/>
      <charset val="1"/>
    </font>
    <font>
      <b/>
      <sz val="12"/>
      <name val="Calibri"/>
      <family val="2"/>
      <charset val="1"/>
    </font>
    <font>
      <sz val="10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rgb="FF595959"/>
        <bgColor rgb="FF7F7F7F"/>
      </patternFill>
    </fill>
    <fill>
      <patternFill patternType="solid">
        <fgColor rgb="FF7F7F7F"/>
        <bgColor rgb="FF969696"/>
      </patternFill>
    </fill>
    <fill>
      <patternFill patternType="solid">
        <fgColor rgb="FFBFBFBF"/>
        <bgColor rgb="FFE6B9B8"/>
      </patternFill>
    </fill>
    <fill>
      <patternFill patternType="solid">
        <fgColor rgb="FFE6B9B8"/>
        <bgColor rgb="FFBFBFBF"/>
      </patternFill>
    </fill>
    <fill>
      <patternFill patternType="solid">
        <fgColor rgb="FFD9D9D9"/>
        <bgColor rgb="FFBFBFB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2">
    <xf numFmtId="0" fontId="0" fillId="0" borderId="0"/>
    <xf numFmtId="165" fontId="10" fillId="0" borderId="0" applyBorder="0" applyProtection="0"/>
    <xf numFmtId="9" fontId="10" fillId="0" borderId="0" applyBorder="0" applyProtection="0"/>
    <xf numFmtId="0" fontId="10" fillId="0" borderId="0"/>
    <xf numFmtId="164" fontId="1" fillId="0" borderId="0" applyBorder="0" applyProtection="0"/>
    <xf numFmtId="165" fontId="10" fillId="0" borderId="0" applyBorder="0" applyProtection="0"/>
    <xf numFmtId="165" fontId="10" fillId="0" borderId="0" applyBorder="0" applyProtection="0"/>
    <xf numFmtId="165" fontId="10" fillId="0" borderId="0" applyBorder="0" applyProtection="0"/>
    <xf numFmtId="165" fontId="10" fillId="0" borderId="0" applyBorder="0" applyProtection="0"/>
    <xf numFmtId="165" fontId="10" fillId="0" borderId="0" applyBorder="0" applyProtection="0"/>
    <xf numFmtId="165" fontId="10" fillId="0" borderId="0" applyBorder="0" applyProtection="0"/>
    <xf numFmtId="165" fontId="10" fillId="0" borderId="0" applyBorder="0" applyProtection="0"/>
    <xf numFmtId="0" fontId="1" fillId="0" borderId="0"/>
    <xf numFmtId="0" fontId="17" fillId="9" borderId="0" applyBorder="0" applyProtection="0"/>
    <xf numFmtId="0" fontId="17" fillId="10" borderId="0" applyBorder="0" applyProtection="0"/>
    <xf numFmtId="0" fontId="18" fillId="11" borderId="0" applyBorder="0" applyProtection="0"/>
    <xf numFmtId="0" fontId="18" fillId="0" borderId="0" applyBorder="0" applyProtection="0"/>
    <xf numFmtId="0" fontId="19" fillId="12" borderId="0" applyBorder="0" applyProtection="0"/>
    <xf numFmtId="0" fontId="17" fillId="13" borderId="0" applyBorder="0" applyProtection="0"/>
    <xf numFmtId="0" fontId="20" fillId="0" borderId="0" applyBorder="0" applyProtection="0"/>
    <xf numFmtId="0" fontId="21" fillId="14" borderId="0" applyBorder="0" applyProtection="0"/>
    <xf numFmtId="0" fontId="18" fillId="0" borderId="0" applyBorder="0" applyProtection="0"/>
    <xf numFmtId="0" fontId="18" fillId="0" borderId="0" applyBorder="0" applyProtection="0"/>
    <xf numFmtId="0" fontId="18" fillId="0" borderId="0" applyBorder="0" applyProtection="0"/>
    <xf numFmtId="0" fontId="22" fillId="15" borderId="0" applyBorder="0" applyProtection="0"/>
    <xf numFmtId="0" fontId="23" fillId="15" borderId="9" applyProtection="0"/>
    <xf numFmtId="0" fontId="24" fillId="0" borderId="0" applyBorder="0" applyProtection="0"/>
    <xf numFmtId="167" fontId="24" fillId="0" borderId="0" applyBorder="0" applyProtection="0"/>
    <xf numFmtId="0" fontId="25" fillId="0" borderId="0" applyBorder="0" applyProtection="0"/>
    <xf numFmtId="0" fontId="25" fillId="0" borderId="0" applyBorder="0" applyProtection="0"/>
    <xf numFmtId="0" fontId="25" fillId="0" borderId="0" applyBorder="0" applyProtection="0">
      <alignment horizontal="center" textRotation="90"/>
    </xf>
    <xf numFmtId="0" fontId="19" fillId="0" borderId="0" applyBorder="0" applyProtection="0"/>
  </cellStyleXfs>
  <cellXfs count="1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1" applyFont="1" applyBorder="1" applyAlignment="1" applyProtection="1">
      <alignment horizontal="center" vertical="center" wrapText="1"/>
    </xf>
    <xf numFmtId="165" fontId="4" fillId="0" borderId="1" xfId="1" applyFont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10" fontId="2" fillId="0" borderId="1" xfId="2" applyNumberFormat="1" applyFont="1" applyBorder="1" applyAlignment="1" applyProtection="1">
      <alignment horizontal="center" vertical="center" wrapText="1"/>
    </xf>
    <xf numFmtId="10" fontId="4" fillId="0" borderId="3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5" borderId="1" xfId="2" applyNumberFormat="1" applyFont="1" applyFill="1" applyBorder="1" applyAlignment="1" applyProtection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0" fontId="2" fillId="0" borderId="0" xfId="2" applyNumberFormat="1" applyFont="1" applyBorder="1" applyAlignment="1" applyProtection="1"/>
    <xf numFmtId="165" fontId="2" fillId="0" borderId="0" xfId="0" applyNumberFormat="1" applyFont="1"/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10" fontId="5" fillId="0" borderId="3" xfId="2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165" fontId="2" fillId="0" borderId="1" xfId="1" applyFont="1" applyBorder="1" applyAlignment="1" applyProtection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6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166" fontId="9" fillId="0" borderId="0" xfId="0" applyNumberFormat="1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5" fontId="6" fillId="0" borderId="1" xfId="1" applyFont="1" applyBorder="1" applyAlignment="1" applyProtection="1">
      <alignment vertical="center"/>
    </xf>
    <xf numFmtId="4" fontId="9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165" fontId="6" fillId="0" borderId="1" xfId="1" applyFont="1" applyFill="1" applyBorder="1" applyAlignment="1" applyProtection="1">
      <alignment vertical="center"/>
    </xf>
    <xf numFmtId="0" fontId="12" fillId="0" borderId="0" xfId="12" applyFont="1" applyProtection="1">
      <protection locked="0"/>
    </xf>
    <xf numFmtId="0" fontId="13" fillId="8" borderId="5" xfId="12" applyFont="1" applyFill="1" applyBorder="1" applyAlignment="1" applyProtection="1">
      <alignment horizontal="center" vertical="center"/>
    </xf>
    <xf numFmtId="0" fontId="13" fillId="8" borderId="5" xfId="12" applyFont="1" applyFill="1" applyBorder="1" applyAlignment="1" applyProtection="1">
      <alignment horizontal="center" vertical="center" wrapText="1"/>
    </xf>
    <xf numFmtId="0" fontId="13" fillId="8" borderId="4" xfId="12" applyFont="1" applyFill="1" applyBorder="1" applyAlignment="1" applyProtection="1">
      <alignment horizontal="center" vertical="center"/>
    </xf>
    <xf numFmtId="0" fontId="13" fillId="8" borderId="4" xfId="12" applyFont="1" applyFill="1" applyBorder="1" applyAlignment="1" applyProtection="1">
      <alignment horizontal="center" vertical="center" wrapText="1"/>
    </xf>
    <xf numFmtId="0" fontId="16" fillId="0" borderId="4" xfId="12" applyFont="1" applyBorder="1" applyProtection="1">
      <protection locked="0"/>
    </xf>
    <xf numFmtId="167" fontId="15" fillId="0" borderId="4" xfId="12" applyNumberFormat="1" applyFont="1" applyBorder="1" applyAlignment="1" applyProtection="1">
      <alignment horizontal="center" shrinkToFit="1"/>
      <protection locked="0"/>
    </xf>
    <xf numFmtId="167" fontId="15" fillId="8" borderId="4" xfId="12" applyNumberFormat="1" applyFont="1" applyFill="1" applyBorder="1" applyAlignment="1" applyProtection="1">
      <alignment horizontal="center" shrinkToFit="1"/>
    </xf>
    <xf numFmtId="0" fontId="13" fillId="0" borderId="6" xfId="12" applyFont="1" applyBorder="1" applyAlignment="1" applyProtection="1">
      <alignment horizontal="center" vertical="center"/>
      <protection locked="0"/>
    </xf>
    <xf numFmtId="0" fontId="14" fillId="0" borderId="6" xfId="12" applyFont="1" applyBorder="1" applyAlignment="1" applyProtection="1">
      <alignment horizontal="left" vertical="center" wrapText="1"/>
      <protection locked="0"/>
    </xf>
    <xf numFmtId="0" fontId="14" fillId="0" borderId="7" xfId="12" applyFont="1" applyBorder="1" applyAlignment="1" applyProtection="1">
      <alignment horizontal="left" vertical="center" wrapText="1"/>
      <protection locked="0"/>
    </xf>
    <xf numFmtId="0" fontId="14" fillId="0" borderId="7" xfId="12" applyFont="1" applyBorder="1" applyAlignment="1" applyProtection="1">
      <alignment horizontal="center" vertical="center" wrapText="1"/>
      <protection locked="0"/>
    </xf>
    <xf numFmtId="0" fontId="14" fillId="0" borderId="6" xfId="12" applyFont="1" applyBorder="1" applyAlignment="1" applyProtection="1">
      <alignment horizontal="center" vertical="center" wrapText="1"/>
      <protection locked="0"/>
    </xf>
    <xf numFmtId="0" fontId="16" fillId="0" borderId="6" xfId="12" applyFont="1" applyBorder="1" applyProtection="1">
      <protection locked="0"/>
    </xf>
    <xf numFmtId="167" fontId="15" fillId="0" borderId="0" xfId="12" applyNumberFormat="1" applyFont="1" applyBorder="1" applyAlignment="1" applyProtection="1">
      <alignment horizontal="center"/>
      <protection locked="0"/>
    </xf>
    <xf numFmtId="0" fontId="15" fillId="8" borderId="4" xfId="12" applyFont="1" applyFill="1" applyBorder="1" applyAlignment="1" applyProtection="1">
      <alignment horizontal="center" vertical="center"/>
    </xf>
    <xf numFmtId="0" fontId="15" fillId="8" borderId="4" xfId="12" applyFont="1" applyFill="1" applyBorder="1" applyAlignment="1" applyProtection="1">
      <alignment horizontal="center" vertical="center" wrapText="1"/>
    </xf>
    <xf numFmtId="167" fontId="12" fillId="0" borderId="0" xfId="12" applyNumberFormat="1" applyFont="1" applyBorder="1" applyAlignment="1" applyProtection="1">
      <alignment horizontal="left"/>
      <protection locked="0"/>
    </xf>
    <xf numFmtId="0" fontId="12" fillId="8" borderId="4" xfId="12" applyFont="1" applyFill="1" applyBorder="1" applyAlignment="1" applyProtection="1">
      <alignment horizontal="center"/>
    </xf>
    <xf numFmtId="10" fontId="12" fillId="8" borderId="8" xfId="12" applyNumberFormat="1" applyFont="1" applyFill="1" applyBorder="1" applyAlignment="1" applyProtection="1">
      <alignment horizontal="center"/>
    </xf>
    <xf numFmtId="167" fontId="14" fillId="8" borderId="6" xfId="12" applyNumberFormat="1" applyFont="1" applyFill="1" applyBorder="1" applyAlignment="1" applyProtection="1">
      <alignment horizontal="center" shrinkToFit="1"/>
    </xf>
    <xf numFmtId="167" fontId="14" fillId="8" borderId="4" xfId="12" applyNumberFormat="1" applyFont="1" applyFill="1" applyBorder="1" applyAlignment="1" applyProtection="1">
      <alignment horizontal="center" shrinkToFit="1"/>
    </xf>
    <xf numFmtId="167" fontId="13" fillId="8" borderId="4" xfId="12" applyNumberFormat="1" applyFont="1" applyFill="1" applyBorder="1" applyAlignment="1" applyProtection="1">
      <alignment horizontal="left"/>
    </xf>
    <xf numFmtId="167" fontId="12" fillId="8" borderId="4" xfId="12" applyNumberFormat="1" applyFont="1" applyFill="1" applyBorder="1" applyAlignment="1" applyProtection="1">
      <alignment horizontal="right" shrinkToFit="1"/>
    </xf>
    <xf numFmtId="0" fontId="13" fillId="0" borderId="0" xfId="12" applyFont="1" applyBorder="1" applyAlignment="1" applyProtection="1">
      <protection locked="0"/>
    </xf>
    <xf numFmtId="167" fontId="12" fillId="0" borderId="6" xfId="12" applyNumberFormat="1" applyFont="1" applyBorder="1" applyAlignment="1" applyProtection="1">
      <alignment horizontal="left"/>
      <protection locked="0"/>
    </xf>
    <xf numFmtId="167" fontId="12" fillId="0" borderId="0" xfId="12" applyNumberFormat="1" applyFont="1" applyBorder="1" applyAlignment="1" applyProtection="1">
      <alignment horizontal="right"/>
      <protection locked="0"/>
    </xf>
    <xf numFmtId="167" fontId="12" fillId="0" borderId="0" xfId="12" applyNumberFormat="1" applyFont="1" applyBorder="1" applyAlignment="1" applyProtection="1">
      <protection locked="0"/>
    </xf>
    <xf numFmtId="167" fontId="14" fillId="0" borderId="0" xfId="12" applyNumberFormat="1" applyFont="1" applyBorder="1" applyAlignment="1" applyProtection="1">
      <protection locked="0"/>
    </xf>
    <xf numFmtId="167" fontId="15" fillId="8" borderId="4" xfId="12" applyNumberFormat="1" applyFont="1" applyFill="1" applyBorder="1" applyAlignment="1" applyProtection="1">
      <alignment horizontal="center" vertical="center"/>
    </xf>
    <xf numFmtId="167" fontId="14" fillId="8" borderId="4" xfId="12" applyNumberFormat="1" applyFont="1" applyFill="1" applyBorder="1" applyAlignment="1" applyProtection="1">
      <alignment horizontal="right" shrinkToFit="1"/>
    </xf>
    <xf numFmtId="167" fontId="15" fillId="0" borderId="0" xfId="12" applyNumberFormat="1" applyFont="1" applyBorder="1" applyAlignment="1" applyProtection="1">
      <protection locked="0"/>
    </xf>
    <xf numFmtId="0" fontId="13" fillId="0" borderId="0" xfId="12" applyFont="1" applyBorder="1" applyAlignment="1" applyProtection="1">
      <alignment horizontal="center"/>
      <protection locked="0"/>
    </xf>
    <xf numFmtId="0" fontId="1" fillId="0" borderId="0" xfId="12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2" fillId="8" borderId="8" xfId="12" applyFont="1" applyFill="1" applyBorder="1" applyAlignment="1" applyProtection="1">
      <alignment wrapText="1"/>
    </xf>
    <xf numFmtId="0" fontId="12" fillId="8" borderId="4" xfId="12" applyFont="1" applyFill="1" applyBorder="1" applyAlignment="1" applyProtection="1">
      <alignment wrapText="1"/>
    </xf>
    <xf numFmtId="0" fontId="13" fillId="8" borderId="4" xfId="12" applyFont="1" applyFill="1" applyBorder="1" applyAlignment="1" applyProtection="1">
      <alignment horizontal="center" vertical="center"/>
    </xf>
    <xf numFmtId="0" fontId="13" fillId="0" borderId="0" xfId="12" applyFont="1" applyBorder="1" applyAlignment="1" applyProtection="1">
      <alignment horizontal="center"/>
      <protection locked="0"/>
    </xf>
    <xf numFmtId="0" fontId="11" fillId="7" borderId="4" xfId="12" applyFont="1" applyFill="1" applyBorder="1" applyAlignment="1" applyProtection="1">
      <alignment horizontal="center"/>
    </xf>
    <xf numFmtId="0" fontId="13" fillId="0" borderId="5" xfId="12" applyFont="1" applyBorder="1" applyAlignment="1" applyProtection="1">
      <alignment horizontal="center" vertical="center"/>
      <protection locked="0"/>
    </xf>
    <xf numFmtId="0" fontId="14" fillId="0" borderId="4" xfId="12" applyFont="1" applyBorder="1" applyAlignment="1" applyProtection="1">
      <alignment vertical="top" wrapText="1"/>
      <protection locked="0"/>
    </xf>
    <xf numFmtId="0" fontId="14" fillId="0" borderId="4" xfId="12" applyFont="1" applyBorder="1" applyAlignment="1" applyProtection="1">
      <alignment horizontal="center" vertical="center" wrapText="1"/>
      <protection locked="0"/>
    </xf>
    <xf numFmtId="0" fontId="14" fillId="0" borderId="4" xfId="12" applyFont="1" applyBorder="1" applyAlignment="1" applyProtection="1">
      <alignment horizontal="center" vertical="center" shrinkToFit="1"/>
      <protection locked="0"/>
    </xf>
    <xf numFmtId="167" fontId="15" fillId="8" borderId="4" xfId="12" applyNumberFormat="1" applyFont="1" applyFill="1" applyBorder="1" applyAlignment="1" applyProtection="1">
      <alignment horizontal="center" vertical="center" shrinkToFit="1"/>
    </xf>
    <xf numFmtId="0" fontId="2" fillId="0" borderId="1" xfId="0" applyFont="1" applyBorder="1" applyAlignment="1">
      <alignment horizontal="left"/>
    </xf>
    <xf numFmtId="0" fontId="9" fillId="6" borderId="0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32">
    <cellStyle name="Accent 1 1" xfId="13"/>
    <cellStyle name="Accent 2 1" xfId="14"/>
    <cellStyle name="Accent 3 1" xfId="15"/>
    <cellStyle name="Accent 4" xfId="16"/>
    <cellStyle name="Bad 1" xfId="17"/>
    <cellStyle name="Error 1" xfId="18"/>
    <cellStyle name="Footnote 1" xfId="19"/>
    <cellStyle name="Good 1" xfId="20"/>
    <cellStyle name="Heading 1 1" xfId="21"/>
    <cellStyle name="Heading 2 1" xfId="22"/>
    <cellStyle name="Heading 3" xfId="23"/>
    <cellStyle name="Neutral 1" xfId="24"/>
    <cellStyle name="Normal" xfId="0" builtinId="0"/>
    <cellStyle name="Normal 2" xfId="3"/>
    <cellStyle name="Normal 3" xfId="12"/>
    <cellStyle name="Note 1" xfId="25"/>
    <cellStyle name="Porcentagem" xfId="2" builtinId="5"/>
    <cellStyle name="Resultado" xfId="26"/>
    <cellStyle name="Resultado2" xfId="27"/>
    <cellStyle name="Status 1" xfId="28"/>
    <cellStyle name="Text 1" xfId="29"/>
    <cellStyle name="Título1" xfId="30"/>
    <cellStyle name="Vírgula" xfId="1" builtinId="3"/>
    <cellStyle name="Vírgula 2" xfId="4"/>
    <cellStyle name="Vírgula 3" xfId="5"/>
    <cellStyle name="Vírgula 3 2" xfId="6"/>
    <cellStyle name="Vírgula 4" xfId="7"/>
    <cellStyle name="Vírgula 4 2" xfId="8"/>
    <cellStyle name="Vírgula 5" xfId="9"/>
    <cellStyle name="Vírgula 5 2" xfId="10"/>
    <cellStyle name="Vírgula 6" xfId="11"/>
    <cellStyle name="Warning 1" xfId="3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2152650</xdr:colOff>
      <xdr:row>1</xdr:row>
      <xdr:rowOff>152400</xdr:rowOff>
    </xdr:from>
    <xdr:to>
      <xdr:col>2</xdr:col>
      <xdr:colOff>542925</xdr:colOff>
      <xdr:row>7</xdr:row>
      <xdr:rowOff>60148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8950" y="342900"/>
          <a:ext cx="2762250" cy="10507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24" zoomScale="115" zoomScaleNormal="115" workbookViewId="0">
      <selection activeCell="A13" sqref="A13:B13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97" t="s">
        <v>0</v>
      </c>
      <c r="B1" s="97"/>
      <c r="C1" s="97"/>
      <c r="D1" s="97"/>
    </row>
    <row r="2" spans="1:4" ht="15.75">
      <c r="A2" s="2"/>
      <c r="B2" s="2"/>
      <c r="C2" s="2"/>
      <c r="D2" s="2"/>
    </row>
    <row r="3" spans="1:4">
      <c r="A3" s="90" t="s">
        <v>1</v>
      </c>
      <c r="B3" s="90"/>
      <c r="C3" s="90"/>
      <c r="D3" s="90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90" t="s">
        <v>10</v>
      </c>
      <c r="B10" s="90"/>
      <c r="C10" s="90"/>
      <c r="D10" s="90"/>
    </row>
    <row r="11" spans="1:4">
      <c r="A11" s="3"/>
      <c r="B11" s="3"/>
      <c r="C11" s="3"/>
      <c r="D11" s="3"/>
    </row>
    <row r="12" spans="1:4" ht="38.25" customHeight="1">
      <c r="A12" s="98" t="s">
        <v>11</v>
      </c>
      <c r="B12" s="98"/>
      <c r="C12" s="8" t="s">
        <v>12</v>
      </c>
      <c r="D12" s="9" t="s">
        <v>13</v>
      </c>
    </row>
    <row r="13" spans="1:4" ht="30" customHeight="1">
      <c r="A13" s="99" t="s">
        <v>14</v>
      </c>
      <c r="B13" s="99"/>
      <c r="C13" s="7" t="s">
        <v>15</v>
      </c>
      <c r="D13" s="7">
        <v>8</v>
      </c>
    </row>
    <row r="15" spans="1:4">
      <c r="A15" s="90" t="s">
        <v>16</v>
      </c>
      <c r="B15" s="90"/>
      <c r="C15" s="90"/>
      <c r="D15" s="90"/>
    </row>
    <row r="16" spans="1:4">
      <c r="A16" s="3"/>
      <c r="B16" s="3"/>
      <c r="C16" s="3"/>
      <c r="D16" s="3"/>
    </row>
    <row r="17" spans="1:4">
      <c r="A17" s="4">
        <v>1</v>
      </c>
      <c r="B17" s="4" t="s">
        <v>17</v>
      </c>
      <c r="C17" s="95" t="s">
        <v>18</v>
      </c>
      <c r="D17" s="95"/>
    </row>
    <row r="18" spans="1:4">
      <c r="A18" s="4">
        <v>2</v>
      </c>
      <c r="B18" s="4" t="s">
        <v>19</v>
      </c>
      <c r="C18" s="95" t="s">
        <v>20</v>
      </c>
      <c r="D18" s="95"/>
    </row>
    <row r="19" spans="1:4">
      <c r="A19" s="4">
        <v>3</v>
      </c>
      <c r="B19" s="4" t="s">
        <v>21</v>
      </c>
      <c r="C19" s="96">
        <v>1100</v>
      </c>
      <c r="D19" s="96"/>
    </row>
    <row r="20" spans="1:4">
      <c r="A20" s="4">
        <v>4</v>
      </c>
      <c r="B20" s="4" t="s">
        <v>22</v>
      </c>
      <c r="C20" s="95"/>
      <c r="D20" s="95"/>
    </row>
    <row r="21" spans="1:4">
      <c r="A21" s="4">
        <v>5</v>
      </c>
      <c r="B21" s="4" t="s">
        <v>23</v>
      </c>
      <c r="C21" s="95"/>
      <c r="D21" s="95"/>
    </row>
    <row r="23" spans="1:4">
      <c r="A23" s="90" t="s">
        <v>24</v>
      </c>
      <c r="B23" s="90"/>
      <c r="C23" s="90"/>
      <c r="D23" s="90"/>
    </row>
    <row r="25" spans="1:4" ht="12.75" customHeight="1">
      <c r="A25" s="10">
        <v>1</v>
      </c>
      <c r="B25" s="87" t="s">
        <v>25</v>
      </c>
      <c r="C25" s="87"/>
      <c r="D25" s="10" t="s">
        <v>26</v>
      </c>
    </row>
    <row r="26" spans="1:4" ht="12.75" customHeight="1">
      <c r="A26" s="8" t="s">
        <v>2</v>
      </c>
      <c r="B26" s="88" t="s">
        <v>27</v>
      </c>
      <c r="C26" s="88"/>
      <c r="D26" s="12">
        <v>1385.01</v>
      </c>
    </row>
    <row r="27" spans="1:4" ht="12.75" customHeight="1">
      <c r="A27" s="8" t="s">
        <v>4</v>
      </c>
      <c r="B27" s="88" t="s">
        <v>28</v>
      </c>
      <c r="C27" s="88"/>
      <c r="D27" s="12"/>
    </row>
    <row r="28" spans="1:4" ht="12.75" customHeight="1">
      <c r="A28" s="8" t="s">
        <v>6</v>
      </c>
      <c r="B28" s="88" t="s">
        <v>29</v>
      </c>
      <c r="C28" s="88"/>
      <c r="D28" s="12"/>
    </row>
    <row r="29" spans="1:4" ht="12.75" customHeight="1">
      <c r="A29" s="8" t="s">
        <v>8</v>
      </c>
      <c r="B29" s="88" t="s">
        <v>30</v>
      </c>
      <c r="C29" s="88"/>
      <c r="D29" s="12"/>
    </row>
    <row r="30" spans="1:4" ht="12.75" customHeight="1">
      <c r="A30" s="8" t="s">
        <v>31</v>
      </c>
      <c r="B30" s="88" t="s">
        <v>32</v>
      </c>
      <c r="C30" s="88"/>
      <c r="D30" s="12"/>
    </row>
    <row r="31" spans="1:4">
      <c r="A31" s="8"/>
      <c r="B31" s="88"/>
      <c r="C31" s="88"/>
      <c r="D31" s="12"/>
    </row>
    <row r="32" spans="1:4" ht="12.75" customHeight="1">
      <c r="A32" s="8" t="s">
        <v>33</v>
      </c>
      <c r="B32" s="88" t="s">
        <v>34</v>
      </c>
      <c r="C32" s="88"/>
      <c r="D32" s="12"/>
    </row>
    <row r="33" spans="1:4" ht="12.75" customHeight="1">
      <c r="A33" s="87" t="s">
        <v>35</v>
      </c>
      <c r="B33" s="87"/>
      <c r="C33" s="87"/>
      <c r="D33" s="13">
        <f>SUM(D26:D32)</f>
        <v>1385.01</v>
      </c>
    </row>
    <row r="36" spans="1:4">
      <c r="A36" s="90" t="s">
        <v>36</v>
      </c>
      <c r="B36" s="90"/>
      <c r="C36" s="90"/>
      <c r="D36" s="90"/>
    </row>
    <row r="37" spans="1:4">
      <c r="A37" s="14"/>
    </row>
    <row r="38" spans="1:4">
      <c r="A38" s="92" t="s">
        <v>37</v>
      </c>
      <c r="B38" s="92"/>
      <c r="C38" s="92"/>
      <c r="D38" s="92"/>
    </row>
    <row r="40" spans="1:4" ht="12.75" customHeight="1">
      <c r="A40" s="10" t="s">
        <v>38</v>
      </c>
      <c r="B40" s="87" t="s">
        <v>39</v>
      </c>
      <c r="C40" s="87"/>
      <c r="D40" s="10" t="s">
        <v>26</v>
      </c>
    </row>
    <row r="41" spans="1:4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115.37</v>
      </c>
    </row>
    <row r="42" spans="1:4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153.87</v>
      </c>
    </row>
    <row r="43" spans="1:4" ht="12.75" customHeight="1">
      <c r="A43" s="87" t="s">
        <v>35</v>
      </c>
      <c r="B43" s="87"/>
      <c r="C43" s="16">
        <f>SUM(C41:C42)</f>
        <v>0.19440000000000002</v>
      </c>
      <c r="D43" s="17">
        <f>SUM(D41:D42)</f>
        <v>269.24</v>
      </c>
    </row>
    <row r="46" spans="1:4" ht="12.75" customHeight="1">
      <c r="A46" s="94" t="s">
        <v>42</v>
      </c>
      <c r="B46" s="94"/>
      <c r="C46" s="94"/>
      <c r="D46" s="94"/>
    </row>
    <row r="48" spans="1:4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330.85</v>
      </c>
    </row>
    <row r="50" spans="1:4">
      <c r="A50" s="8" t="s">
        <v>4</v>
      </c>
      <c r="B50" s="11" t="s">
        <v>47</v>
      </c>
      <c r="C50" s="18">
        <v>2.5000000000000001E-2</v>
      </c>
      <c r="D50" s="12">
        <f t="shared" si="0"/>
        <v>41.35</v>
      </c>
    </row>
    <row r="51" spans="1:4">
      <c r="A51" s="8" t="s">
        <v>6</v>
      </c>
      <c r="B51" s="11" t="s">
        <v>48</v>
      </c>
      <c r="C51" s="19">
        <v>0.03</v>
      </c>
      <c r="D51" s="12">
        <f t="shared" si="0"/>
        <v>49.62</v>
      </c>
    </row>
    <row r="52" spans="1:4">
      <c r="A52" s="8" t="s">
        <v>8</v>
      </c>
      <c r="B52" s="11" t="s">
        <v>49</v>
      </c>
      <c r="C52" s="18">
        <v>1.4999999999999999E-2</v>
      </c>
      <c r="D52" s="12">
        <f t="shared" si="0"/>
        <v>24.81</v>
      </c>
    </row>
    <row r="53" spans="1:4">
      <c r="A53" s="8" t="s">
        <v>31</v>
      </c>
      <c r="B53" s="11" t="s">
        <v>50</v>
      </c>
      <c r="C53" s="18">
        <v>0.01</v>
      </c>
      <c r="D53" s="12">
        <f t="shared" si="0"/>
        <v>16.54</v>
      </c>
    </row>
    <row r="54" spans="1:4">
      <c r="A54" s="8" t="s">
        <v>51</v>
      </c>
      <c r="B54" s="11" t="s">
        <v>52</v>
      </c>
      <c r="C54" s="18">
        <v>6.0000000000000001E-3</v>
      </c>
      <c r="D54" s="12">
        <f t="shared" si="0"/>
        <v>9.92</v>
      </c>
    </row>
    <row r="55" spans="1:4">
      <c r="A55" s="8" t="s">
        <v>33</v>
      </c>
      <c r="B55" s="11" t="s">
        <v>53</v>
      </c>
      <c r="C55" s="18">
        <v>2E-3</v>
      </c>
      <c r="D55" s="12">
        <f t="shared" si="0"/>
        <v>3.3</v>
      </c>
    </row>
    <row r="56" spans="1:4">
      <c r="A56" s="8" t="s">
        <v>54</v>
      </c>
      <c r="B56" s="11" t="s">
        <v>55</v>
      </c>
      <c r="C56" s="18">
        <v>0.08</v>
      </c>
      <c r="D56" s="12">
        <f t="shared" si="0"/>
        <v>132.34</v>
      </c>
    </row>
    <row r="57" spans="1:4" ht="12.75" customHeight="1">
      <c r="A57" s="87" t="s">
        <v>56</v>
      </c>
      <c r="B57" s="87"/>
      <c r="C57" s="20">
        <f>SUM(C49:C56)</f>
        <v>0.36800000000000005</v>
      </c>
      <c r="D57" s="17">
        <f>SUM(D49:D56)</f>
        <v>608.73000000000013</v>
      </c>
    </row>
    <row r="60" spans="1:4">
      <c r="A60" s="92" t="s">
        <v>57</v>
      </c>
      <c r="B60" s="92"/>
      <c r="C60" s="92"/>
      <c r="D60" s="92"/>
    </row>
    <row r="62" spans="1:4" ht="12.75" customHeight="1">
      <c r="A62" s="10" t="s">
        <v>58</v>
      </c>
      <c r="B62" s="93" t="s">
        <v>59</v>
      </c>
      <c r="C62" s="93"/>
      <c r="D62" s="10" t="s">
        <v>26</v>
      </c>
    </row>
    <row r="63" spans="1:4" ht="12.75" customHeight="1">
      <c r="A63" s="8" t="s">
        <v>2</v>
      </c>
      <c r="B63" s="88" t="s">
        <v>60</v>
      </c>
      <c r="C63" s="88"/>
      <c r="D63" s="12">
        <f>IF((23*2*4.4)-(D26*0.06)&lt;0,0,(23*2*4.4)-(D26*0.06))</f>
        <v>119.29940000000001</v>
      </c>
    </row>
    <row r="64" spans="1:4" ht="12.75" customHeight="1">
      <c r="A64" s="8" t="s">
        <v>4</v>
      </c>
      <c r="B64" s="88" t="s">
        <v>61</v>
      </c>
      <c r="C64" s="88"/>
      <c r="D64" s="12">
        <f>23*(29-2.9)</f>
        <v>600.30000000000007</v>
      </c>
    </row>
    <row r="65" spans="1:5" ht="12.75" customHeight="1">
      <c r="A65" s="8" t="s">
        <v>6</v>
      </c>
      <c r="B65" s="88" t="s">
        <v>62</v>
      </c>
      <c r="C65" s="88"/>
      <c r="D65" s="12">
        <f>200*0.7</f>
        <v>140</v>
      </c>
    </row>
    <row r="66" spans="1:5" ht="12.75" customHeight="1">
      <c r="A66" s="8" t="s">
        <v>8</v>
      </c>
      <c r="B66" s="88" t="s">
        <v>34</v>
      </c>
      <c r="C66" s="88"/>
      <c r="D66" s="12"/>
    </row>
    <row r="67" spans="1:5" ht="12.75" customHeight="1">
      <c r="A67" s="87" t="s">
        <v>35</v>
      </c>
      <c r="B67" s="87"/>
      <c r="C67" s="87"/>
      <c r="D67" s="17">
        <f>SUM(D63:D66)</f>
        <v>859.59940000000006</v>
      </c>
    </row>
    <row r="70" spans="1:5">
      <c r="A70" s="92" t="s">
        <v>63</v>
      </c>
      <c r="B70" s="92"/>
      <c r="C70" s="92"/>
      <c r="D70" s="92"/>
    </row>
    <row r="72" spans="1:5" ht="12.75" customHeight="1">
      <c r="A72" s="10">
        <v>2</v>
      </c>
      <c r="B72" s="93" t="s">
        <v>64</v>
      </c>
      <c r="C72" s="93"/>
      <c r="D72" s="10" t="s">
        <v>26</v>
      </c>
    </row>
    <row r="73" spans="1:5" ht="12.75" customHeight="1">
      <c r="A73" s="8" t="s">
        <v>38</v>
      </c>
      <c r="B73" s="88" t="s">
        <v>39</v>
      </c>
      <c r="C73" s="88"/>
      <c r="D73" s="21">
        <f>D43</f>
        <v>269.24</v>
      </c>
    </row>
    <row r="74" spans="1:5" ht="12.75" customHeight="1">
      <c r="A74" s="8" t="s">
        <v>43</v>
      </c>
      <c r="B74" s="88" t="s">
        <v>44</v>
      </c>
      <c r="C74" s="88"/>
      <c r="D74" s="21">
        <f>D57</f>
        <v>608.73000000000013</v>
      </c>
    </row>
    <row r="75" spans="1:5" ht="12.75" customHeight="1">
      <c r="A75" s="8" t="s">
        <v>58</v>
      </c>
      <c r="B75" s="88" t="s">
        <v>59</v>
      </c>
      <c r="C75" s="88"/>
      <c r="D75" s="21">
        <f>D67</f>
        <v>859.59940000000006</v>
      </c>
    </row>
    <row r="76" spans="1:5" ht="12.75" customHeight="1">
      <c r="A76" s="87" t="s">
        <v>35</v>
      </c>
      <c r="B76" s="87"/>
      <c r="C76" s="87"/>
      <c r="D76" s="17">
        <f>SUM(D73:D75)</f>
        <v>1737.5694000000003</v>
      </c>
    </row>
    <row r="77" spans="1:5">
      <c r="A77" s="22"/>
      <c r="E77" s="23"/>
    </row>
    <row r="79" spans="1:5">
      <c r="A79" s="90" t="s">
        <v>65</v>
      </c>
      <c r="B79" s="90"/>
      <c r="C79" s="90"/>
      <c r="D79" s="90"/>
      <c r="E79" s="24"/>
    </row>
    <row r="80" spans="1:5" ht="12.75" customHeight="1">
      <c r="E80" s="23"/>
    </row>
    <row r="81" spans="1:4" ht="12.75" customHeight="1">
      <c r="A81" s="10">
        <v>3</v>
      </c>
      <c r="B81" s="93" t="s">
        <v>66</v>
      </c>
      <c r="C81" s="93"/>
      <c r="D81" s="10" t="s">
        <v>26</v>
      </c>
    </row>
    <row r="82" spans="1:4">
      <c r="A82" s="8" t="s">
        <v>2</v>
      </c>
      <c r="B82" s="25" t="s">
        <v>67</v>
      </c>
      <c r="C82" s="18">
        <f>TRUNC(((1/12)*5%),4)</f>
        <v>4.1000000000000003E-3</v>
      </c>
      <c r="D82" s="12">
        <f>TRUNC($D$33*C82,2)</f>
        <v>5.67</v>
      </c>
    </row>
    <row r="83" spans="1:4">
      <c r="A83" s="8" t="s">
        <v>4</v>
      </c>
      <c r="B83" s="25" t="s">
        <v>68</v>
      </c>
      <c r="C83" s="18">
        <v>0.08</v>
      </c>
      <c r="D83" s="12">
        <f>TRUNC(D82*C83,2)</f>
        <v>0.45</v>
      </c>
    </row>
    <row r="84" spans="1:4">
      <c r="A84" s="8" t="s">
        <v>6</v>
      </c>
      <c r="B84" s="25" t="s">
        <v>69</v>
      </c>
      <c r="C84" s="18">
        <f>TRUNC(8%*5%*40%,4)</f>
        <v>1.6000000000000001E-3</v>
      </c>
      <c r="D84" s="12">
        <f>TRUNC($D$33*C84,2)</f>
        <v>2.21</v>
      </c>
    </row>
    <row r="85" spans="1:4">
      <c r="A85" s="8" t="s">
        <v>8</v>
      </c>
      <c r="B85" s="25" t="s">
        <v>70</v>
      </c>
      <c r="C85" s="18">
        <f>TRUNC(((7/30)/12)*95%,4)</f>
        <v>1.84E-2</v>
      </c>
      <c r="D85" s="12">
        <f>TRUNC($D$33*C85,2)</f>
        <v>25.48</v>
      </c>
    </row>
    <row r="86" spans="1:4" ht="25.5">
      <c r="A86" s="8" t="s">
        <v>31</v>
      </c>
      <c r="B86" s="25" t="s">
        <v>71</v>
      </c>
      <c r="C86" s="18">
        <f>C57</f>
        <v>0.36800000000000005</v>
      </c>
      <c r="D86" s="12">
        <f>TRUNC(D85*C86,2)</f>
        <v>9.3699999999999992</v>
      </c>
    </row>
    <row r="87" spans="1:4">
      <c r="A87" s="8" t="s">
        <v>51</v>
      </c>
      <c r="B87" s="25" t="s">
        <v>72</v>
      </c>
      <c r="C87" s="18">
        <f>TRUNC(8%*95%*40%,4)</f>
        <v>3.04E-2</v>
      </c>
      <c r="D87" s="12">
        <f>TRUNC($D$33*C87,2)</f>
        <v>42.1</v>
      </c>
    </row>
    <row r="88" spans="1:4" ht="12.75" customHeight="1">
      <c r="A88" s="87" t="s">
        <v>35</v>
      </c>
      <c r="B88" s="87"/>
      <c r="C88" s="87"/>
      <c r="D88" s="17">
        <f>SUM(D82:D87)</f>
        <v>85.28</v>
      </c>
    </row>
    <row r="91" spans="1:4">
      <c r="A91" s="90" t="s">
        <v>73</v>
      </c>
      <c r="B91" s="90"/>
      <c r="C91" s="90"/>
      <c r="D91" s="90"/>
    </row>
    <row r="94" spans="1:4">
      <c r="A94" s="92" t="s">
        <v>74</v>
      </c>
      <c r="B94" s="92"/>
      <c r="C94" s="92"/>
      <c r="D94" s="92"/>
    </row>
    <row r="95" spans="1:4">
      <c r="A95" s="14"/>
    </row>
    <row r="96" spans="1:4" ht="12.75" customHeight="1">
      <c r="A96" s="10" t="s">
        <v>75</v>
      </c>
      <c r="B96" s="93" t="s">
        <v>76</v>
      </c>
      <c r="C96" s="93"/>
      <c r="D96" s="10" t="s">
        <v>26</v>
      </c>
    </row>
    <row r="97" spans="1:6">
      <c r="A97" s="8" t="s">
        <v>2</v>
      </c>
      <c r="B97" s="11" t="s">
        <v>77</v>
      </c>
      <c r="C97" s="18">
        <f>TRUNC(((1+1/3)/12)/12,4)</f>
        <v>9.1999999999999998E-3</v>
      </c>
      <c r="D97" s="12">
        <f t="shared" ref="D97:D102" si="1">TRUNC(($D$33+$D$76+$D$88)*C97,2)</f>
        <v>29.51</v>
      </c>
    </row>
    <row r="98" spans="1:6">
      <c r="A98" s="8" t="s">
        <v>4</v>
      </c>
      <c r="B98" s="11" t="s">
        <v>78</v>
      </c>
      <c r="C98" s="18">
        <f>TRUNC(((2/30)/12),4)</f>
        <v>5.4999999999999997E-3</v>
      </c>
      <c r="D98" s="12">
        <f t="shared" si="1"/>
        <v>17.64</v>
      </c>
    </row>
    <row r="99" spans="1:6">
      <c r="A99" s="8" t="s">
        <v>6</v>
      </c>
      <c r="B99" s="11" t="s">
        <v>79</v>
      </c>
      <c r="C99" s="18">
        <f>TRUNC(((5/30)/12)*2%,4)</f>
        <v>2.0000000000000001E-4</v>
      </c>
      <c r="D99" s="12">
        <f t="shared" si="1"/>
        <v>0.64</v>
      </c>
    </row>
    <row r="100" spans="1:6">
      <c r="A100" s="8" t="s">
        <v>8</v>
      </c>
      <c r="B100" s="11" t="s">
        <v>80</v>
      </c>
      <c r="C100" s="18">
        <f>TRUNC(((15/30)/12)*8%,4)</f>
        <v>3.3E-3</v>
      </c>
      <c r="D100" s="12">
        <f t="shared" si="1"/>
        <v>10.58</v>
      </c>
    </row>
    <row r="101" spans="1:6">
      <c r="A101" s="8" t="s">
        <v>31</v>
      </c>
      <c r="B101" s="11" t="s">
        <v>81</v>
      </c>
      <c r="C101" s="18">
        <f>((1+1/3)/12)*3%*(6/12)</f>
        <v>1.6666666666666666E-3</v>
      </c>
      <c r="D101" s="12">
        <f t="shared" si="1"/>
        <v>5.34</v>
      </c>
    </row>
    <row r="102" spans="1:6">
      <c r="A102" s="8" t="s">
        <v>51</v>
      </c>
      <c r="B102" s="11" t="s">
        <v>82</v>
      </c>
      <c r="C102" s="18"/>
      <c r="D102" s="12">
        <f t="shared" si="1"/>
        <v>0</v>
      </c>
    </row>
    <row r="103" spans="1:6" ht="12.75" customHeight="1">
      <c r="A103" s="87" t="s">
        <v>56</v>
      </c>
      <c r="B103" s="87"/>
      <c r="C103" s="87"/>
      <c r="D103" s="17">
        <f>SUM(D97:D102)</f>
        <v>63.710000000000008</v>
      </c>
      <c r="E103" s="24"/>
      <c r="F103" s="24"/>
    </row>
    <row r="106" spans="1:6">
      <c r="A106" s="92" t="s">
        <v>83</v>
      </c>
      <c r="B106" s="92"/>
      <c r="C106" s="92"/>
      <c r="D106" s="92"/>
    </row>
    <row r="107" spans="1:6">
      <c r="A107" s="14"/>
    </row>
    <row r="108" spans="1:6" ht="12.75" customHeight="1">
      <c r="A108" s="10" t="s">
        <v>84</v>
      </c>
      <c r="B108" s="93" t="s">
        <v>85</v>
      </c>
      <c r="C108" s="93"/>
      <c r="D108" s="10" t="s">
        <v>26</v>
      </c>
    </row>
    <row r="109" spans="1:6" ht="12.75" customHeight="1">
      <c r="A109" s="8" t="s">
        <v>2</v>
      </c>
      <c r="B109" s="88" t="s">
        <v>86</v>
      </c>
      <c r="C109" s="88"/>
      <c r="D109" s="12">
        <f>((D33+D76+D88)/220)*22*0</f>
        <v>0</v>
      </c>
    </row>
    <row r="110" spans="1:6" ht="12.75" customHeight="1">
      <c r="A110" s="87" t="s">
        <v>35</v>
      </c>
      <c r="B110" s="87"/>
      <c r="C110" s="87"/>
      <c r="D110" s="17">
        <f>SUM(D109)</f>
        <v>0</v>
      </c>
    </row>
    <row r="113" spans="1:4">
      <c r="A113" s="92" t="s">
        <v>87</v>
      </c>
      <c r="B113" s="92"/>
      <c r="C113" s="92"/>
      <c r="D113" s="92"/>
    </row>
    <row r="114" spans="1:4">
      <c r="A114" s="14"/>
    </row>
    <row r="115" spans="1:4" ht="12.75" customHeight="1">
      <c r="A115" s="10">
        <v>4</v>
      </c>
      <c r="B115" s="87" t="s">
        <v>88</v>
      </c>
      <c r="C115" s="87"/>
      <c r="D115" s="10" t="s">
        <v>26</v>
      </c>
    </row>
    <row r="116" spans="1:4" ht="12.75" customHeight="1">
      <c r="A116" s="8" t="s">
        <v>75</v>
      </c>
      <c r="B116" s="88" t="s">
        <v>76</v>
      </c>
      <c r="C116" s="88"/>
      <c r="D116" s="21">
        <f>D103</f>
        <v>63.710000000000008</v>
      </c>
    </row>
    <row r="117" spans="1:4" ht="12.75" customHeight="1">
      <c r="A117" s="8" t="s">
        <v>84</v>
      </c>
      <c r="B117" s="88" t="s">
        <v>85</v>
      </c>
      <c r="C117" s="88"/>
      <c r="D117" s="21">
        <f>D110</f>
        <v>0</v>
      </c>
    </row>
    <row r="118" spans="1:4" ht="12.75" customHeight="1">
      <c r="A118" s="87" t="s">
        <v>35</v>
      </c>
      <c r="B118" s="87"/>
      <c r="C118" s="87"/>
      <c r="D118" s="17">
        <f>SUM(D116:D117)</f>
        <v>63.710000000000008</v>
      </c>
    </row>
    <row r="121" spans="1:4">
      <c r="A121" s="90" t="s">
        <v>89</v>
      </c>
      <c r="B121" s="90"/>
      <c r="C121" s="90"/>
      <c r="D121" s="90"/>
    </row>
    <row r="123" spans="1:4" ht="12.75" customHeight="1">
      <c r="A123" s="10">
        <v>5</v>
      </c>
      <c r="B123" s="91" t="s">
        <v>90</v>
      </c>
      <c r="C123" s="91"/>
      <c r="D123" s="10" t="s">
        <v>26</v>
      </c>
    </row>
    <row r="124" spans="1:4">
      <c r="A124" s="8" t="s">
        <v>2</v>
      </c>
      <c r="B124" s="11" t="s">
        <v>91</v>
      </c>
      <c r="C124" s="11"/>
      <c r="D124" s="12">
        <v>0.39</v>
      </c>
    </row>
    <row r="125" spans="1:4">
      <c r="A125" s="8" t="s">
        <v>4</v>
      </c>
      <c r="B125" s="11" t="s">
        <v>92</v>
      </c>
      <c r="C125" s="11"/>
      <c r="D125" s="12"/>
    </row>
    <row r="126" spans="1:4">
      <c r="A126" s="8" t="s">
        <v>6</v>
      </c>
      <c r="B126" s="11" t="s">
        <v>93</v>
      </c>
      <c r="C126" s="11"/>
      <c r="D126" s="12"/>
    </row>
    <row r="127" spans="1:4">
      <c r="A127" s="8" t="s">
        <v>8</v>
      </c>
      <c r="B127" s="11" t="s">
        <v>94</v>
      </c>
      <c r="C127" s="11"/>
      <c r="D127" s="12">
        <v>219.96</v>
      </c>
    </row>
    <row r="128" spans="1:4" ht="12.75" customHeight="1">
      <c r="A128" s="87" t="s">
        <v>56</v>
      </c>
      <c r="B128" s="87"/>
      <c r="C128" s="87"/>
      <c r="D128" s="13">
        <f>SUM(D124:D127)</f>
        <v>220.35</v>
      </c>
    </row>
    <row r="131" spans="1:4">
      <c r="A131" s="90" t="s">
        <v>95</v>
      </c>
      <c r="B131" s="90"/>
      <c r="C131" s="90"/>
      <c r="D131" s="90"/>
    </row>
    <row r="133" spans="1:4">
      <c r="A133" s="10">
        <v>6</v>
      </c>
      <c r="B133" s="26" t="s">
        <v>96</v>
      </c>
      <c r="C133" s="10" t="s">
        <v>45</v>
      </c>
      <c r="D133" s="10" t="s">
        <v>26</v>
      </c>
    </row>
    <row r="134" spans="1:4">
      <c r="A134" s="8" t="s">
        <v>2</v>
      </c>
      <c r="B134" s="11" t="s">
        <v>97</v>
      </c>
      <c r="C134" s="18">
        <v>0.05</v>
      </c>
      <c r="D134" s="21">
        <f>D154*C134</f>
        <v>174.59597000000005</v>
      </c>
    </row>
    <row r="135" spans="1:4">
      <c r="A135" s="8" t="s">
        <v>4</v>
      </c>
      <c r="B135" s="11" t="s">
        <v>98</v>
      </c>
      <c r="C135" s="18">
        <v>0.06</v>
      </c>
      <c r="D135" s="12">
        <f>(D154+D134)*C135</f>
        <v>219.99092220000003</v>
      </c>
    </row>
    <row r="136" spans="1:4">
      <c r="A136" s="8" t="s">
        <v>6</v>
      </c>
      <c r="B136" s="11" t="s">
        <v>99</v>
      </c>
      <c r="C136" s="15">
        <f>SUM(C137:C142)</f>
        <v>8.6499999999999994E-2</v>
      </c>
      <c r="D136" s="12">
        <f>(D154+D134+D135)*C136/(1-C136)</f>
        <v>368.01619515632188</v>
      </c>
    </row>
    <row r="137" spans="1:4">
      <c r="A137" s="8"/>
      <c r="B137" s="11" t="s">
        <v>100</v>
      </c>
      <c r="C137" s="18"/>
      <c r="D137" s="21">
        <f t="shared" ref="D137:D142" si="2">$D$156*C137</f>
        <v>0</v>
      </c>
    </row>
    <row r="138" spans="1:4">
      <c r="A138" s="8"/>
      <c r="B138" s="11" t="s">
        <v>101</v>
      </c>
      <c r="C138" s="18">
        <v>6.4999999999999997E-3</v>
      </c>
      <c r="D138" s="21">
        <f t="shared" si="2"/>
        <v>27.654396167816099</v>
      </c>
    </row>
    <row r="139" spans="1:4">
      <c r="A139" s="8"/>
      <c r="B139" s="11" t="s">
        <v>102</v>
      </c>
      <c r="C139" s="18">
        <v>0.03</v>
      </c>
      <c r="D139" s="21">
        <f t="shared" si="2"/>
        <v>127.63567462068968</v>
      </c>
    </row>
    <row r="140" spans="1:4">
      <c r="A140" s="8"/>
      <c r="B140" s="11" t="s">
        <v>103</v>
      </c>
      <c r="C140" s="8"/>
      <c r="D140" s="21">
        <f t="shared" si="2"/>
        <v>0</v>
      </c>
    </row>
    <row r="141" spans="1:4">
      <c r="A141" s="8"/>
      <c r="B141" s="11" t="s">
        <v>104</v>
      </c>
      <c r="C141" s="18"/>
      <c r="D141" s="21">
        <f t="shared" si="2"/>
        <v>0</v>
      </c>
    </row>
    <row r="142" spans="1:4">
      <c r="A142" s="8"/>
      <c r="B142" s="11" t="s">
        <v>105</v>
      </c>
      <c r="C142" s="18">
        <v>0.05</v>
      </c>
      <c r="D142" s="21">
        <f t="shared" si="2"/>
        <v>212.72612436781617</v>
      </c>
    </row>
    <row r="143" spans="1:4" ht="13.5" customHeight="1">
      <c r="A143" s="89" t="s">
        <v>56</v>
      </c>
      <c r="B143" s="89"/>
      <c r="C143" s="27">
        <f>(1+C135)*(1+C134)/(1-C136)-1</f>
        <v>0.21839080459770144</v>
      </c>
      <c r="D143" s="17">
        <f>SUM(D134:D136)</f>
        <v>762.60308735632202</v>
      </c>
    </row>
    <row r="146" spans="1:4">
      <c r="A146" s="90" t="s">
        <v>106</v>
      </c>
      <c r="B146" s="90"/>
      <c r="C146" s="90"/>
      <c r="D146" s="90"/>
    </row>
    <row r="148" spans="1:4" ht="12.75" customHeight="1">
      <c r="A148" s="10"/>
      <c r="B148" s="87" t="s">
        <v>107</v>
      </c>
      <c r="C148" s="87"/>
      <c r="D148" s="10" t="s">
        <v>26</v>
      </c>
    </row>
    <row r="149" spans="1:4" ht="12.75" customHeight="1">
      <c r="A149" s="10" t="s">
        <v>2</v>
      </c>
      <c r="B149" s="88" t="s">
        <v>24</v>
      </c>
      <c r="C149" s="88"/>
      <c r="D149" s="28">
        <f>D33</f>
        <v>1385.01</v>
      </c>
    </row>
    <row r="150" spans="1:4" ht="12.75" customHeight="1">
      <c r="A150" s="10" t="s">
        <v>4</v>
      </c>
      <c r="B150" s="88" t="s">
        <v>36</v>
      </c>
      <c r="C150" s="88"/>
      <c r="D150" s="28">
        <f>D76</f>
        <v>1737.5694000000003</v>
      </c>
    </row>
    <row r="151" spans="1:4" ht="12.75" customHeight="1">
      <c r="A151" s="10" t="s">
        <v>6</v>
      </c>
      <c r="B151" s="88" t="s">
        <v>65</v>
      </c>
      <c r="C151" s="88"/>
      <c r="D151" s="28">
        <f>D88</f>
        <v>85.28</v>
      </c>
    </row>
    <row r="152" spans="1:4" ht="12.75" customHeight="1">
      <c r="A152" s="10" t="s">
        <v>8</v>
      </c>
      <c r="B152" s="88" t="s">
        <v>73</v>
      </c>
      <c r="C152" s="88"/>
      <c r="D152" s="28">
        <f>D118</f>
        <v>63.710000000000008</v>
      </c>
    </row>
    <row r="153" spans="1:4" ht="12.75" customHeight="1">
      <c r="A153" s="10" t="s">
        <v>31</v>
      </c>
      <c r="B153" s="88" t="s">
        <v>89</v>
      </c>
      <c r="C153" s="88"/>
      <c r="D153" s="28">
        <f>D128</f>
        <v>220.35</v>
      </c>
    </row>
    <row r="154" spans="1:4" ht="12.75" customHeight="1">
      <c r="A154" s="87" t="s">
        <v>108</v>
      </c>
      <c r="B154" s="87"/>
      <c r="C154" s="87"/>
      <c r="D154" s="29">
        <f>SUM(D149:D153)</f>
        <v>3491.9194000000007</v>
      </c>
    </row>
    <row r="155" spans="1:4" ht="12.75" customHeight="1">
      <c r="A155" s="10" t="s">
        <v>51</v>
      </c>
      <c r="B155" s="88" t="s">
        <v>109</v>
      </c>
      <c r="C155" s="88"/>
      <c r="D155" s="30">
        <f>D143</f>
        <v>762.60308735632202</v>
      </c>
    </row>
    <row r="156" spans="1:4" ht="12.75" customHeight="1">
      <c r="A156" s="87" t="s">
        <v>110</v>
      </c>
      <c r="B156" s="87"/>
      <c r="C156" s="87"/>
      <c r="D156" s="29">
        <f>SUM(D154:D155)</f>
        <v>4254.5224873563229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firstPageNumber="0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30" zoomScale="115" zoomScaleNormal="115" workbookViewId="0">
      <selection activeCell="D156" sqref="D156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97" t="s">
        <v>0</v>
      </c>
      <c r="B1" s="97"/>
      <c r="C1" s="97"/>
      <c r="D1" s="97"/>
    </row>
    <row r="2" spans="1:4" ht="15.75">
      <c r="A2" s="2"/>
      <c r="B2" s="2"/>
      <c r="C2" s="2"/>
      <c r="D2" s="2"/>
    </row>
    <row r="3" spans="1:4">
      <c r="A3" s="90" t="s">
        <v>1</v>
      </c>
      <c r="B3" s="90"/>
      <c r="C3" s="90"/>
      <c r="D3" s="90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90" t="s">
        <v>10</v>
      </c>
      <c r="B10" s="90"/>
      <c r="C10" s="90"/>
      <c r="D10" s="90"/>
    </row>
    <row r="11" spans="1:4">
      <c r="A11" s="3"/>
      <c r="B11" s="3"/>
      <c r="C11" s="3"/>
      <c r="D11" s="3"/>
    </row>
    <row r="12" spans="1:4" ht="38.25" customHeight="1">
      <c r="A12" s="98" t="s">
        <v>11</v>
      </c>
      <c r="B12" s="98"/>
      <c r="C12" s="8" t="s">
        <v>12</v>
      </c>
      <c r="D12" s="9" t="s">
        <v>13</v>
      </c>
    </row>
    <row r="13" spans="1:4">
      <c r="A13" s="95" t="s">
        <v>119</v>
      </c>
      <c r="B13" s="95"/>
      <c r="C13" s="7" t="s">
        <v>15</v>
      </c>
      <c r="D13" s="7">
        <v>1</v>
      </c>
    </row>
    <row r="15" spans="1:4">
      <c r="A15" s="90" t="s">
        <v>16</v>
      </c>
      <c r="B15" s="90"/>
      <c r="C15" s="90"/>
      <c r="D15" s="90"/>
    </row>
    <row r="16" spans="1:4">
      <c r="A16" s="3"/>
      <c r="B16" s="3"/>
      <c r="C16" s="3"/>
      <c r="D16" s="3"/>
    </row>
    <row r="17" spans="1:4">
      <c r="A17" s="4">
        <v>1</v>
      </c>
      <c r="B17" s="4" t="s">
        <v>17</v>
      </c>
      <c r="C17" s="95" t="s">
        <v>116</v>
      </c>
      <c r="D17" s="95"/>
    </row>
    <row r="18" spans="1:4">
      <c r="A18" s="4">
        <v>2</v>
      </c>
      <c r="B18" s="4" t="s">
        <v>19</v>
      </c>
      <c r="C18" s="95" t="s">
        <v>120</v>
      </c>
      <c r="D18" s="95"/>
    </row>
    <row r="19" spans="1:4">
      <c r="A19" s="4">
        <v>3</v>
      </c>
      <c r="B19" s="4" t="s">
        <v>21</v>
      </c>
      <c r="C19" s="96">
        <v>1100</v>
      </c>
      <c r="D19" s="96"/>
    </row>
    <row r="20" spans="1:4">
      <c r="A20" s="4">
        <v>4</v>
      </c>
      <c r="B20" s="4" t="s">
        <v>22</v>
      </c>
      <c r="C20" s="95"/>
      <c r="D20" s="95"/>
    </row>
    <row r="21" spans="1:4">
      <c r="A21" s="4">
        <v>5</v>
      </c>
      <c r="B21" s="4" t="s">
        <v>23</v>
      </c>
      <c r="C21" s="95"/>
      <c r="D21" s="95"/>
    </row>
    <row r="23" spans="1:4">
      <c r="A23" s="90" t="s">
        <v>24</v>
      </c>
      <c r="B23" s="90"/>
      <c r="C23" s="90"/>
      <c r="D23" s="90"/>
    </row>
    <row r="25" spans="1:4" ht="12.75" customHeight="1">
      <c r="A25" s="10">
        <v>1</v>
      </c>
      <c r="B25" s="87" t="s">
        <v>25</v>
      </c>
      <c r="C25" s="87"/>
      <c r="D25" s="10" t="s">
        <v>26</v>
      </c>
    </row>
    <row r="26" spans="1:4" ht="12.75" customHeight="1">
      <c r="A26" s="8" t="s">
        <v>2</v>
      </c>
      <c r="B26" s="88" t="s">
        <v>27</v>
      </c>
      <c r="C26" s="88"/>
      <c r="D26" s="12">
        <v>10264.42</v>
      </c>
    </row>
    <row r="27" spans="1:4" ht="12.75" customHeight="1">
      <c r="A27" s="8" t="s">
        <v>4</v>
      </c>
      <c r="B27" s="88" t="s">
        <v>28</v>
      </c>
      <c r="C27" s="88"/>
      <c r="D27" s="12"/>
    </row>
    <row r="28" spans="1:4" ht="12.75" customHeight="1">
      <c r="A28" s="8" t="s">
        <v>6</v>
      </c>
      <c r="B28" s="88" t="s">
        <v>29</v>
      </c>
      <c r="C28" s="88"/>
      <c r="D28" s="12"/>
    </row>
    <row r="29" spans="1:4" ht="12.75" customHeight="1">
      <c r="A29" s="8" t="s">
        <v>8</v>
      </c>
      <c r="B29" s="88" t="s">
        <v>30</v>
      </c>
      <c r="C29" s="88"/>
      <c r="D29" s="12"/>
    </row>
    <row r="30" spans="1:4" ht="12.75" customHeight="1">
      <c r="A30" s="8" t="s">
        <v>31</v>
      </c>
      <c r="B30" s="88" t="s">
        <v>32</v>
      </c>
      <c r="C30" s="88"/>
      <c r="D30" s="12"/>
    </row>
    <row r="31" spans="1:4">
      <c r="A31" s="8"/>
      <c r="B31" s="88"/>
      <c r="C31" s="88"/>
      <c r="D31" s="12"/>
    </row>
    <row r="32" spans="1:4" ht="12.75" customHeight="1">
      <c r="A32" s="8" t="s">
        <v>33</v>
      </c>
      <c r="B32" s="88" t="s">
        <v>34</v>
      </c>
      <c r="C32" s="88"/>
      <c r="D32" s="12"/>
    </row>
    <row r="33" spans="1:4" ht="12.75" customHeight="1">
      <c r="A33" s="87" t="s">
        <v>35</v>
      </c>
      <c r="B33" s="87"/>
      <c r="C33" s="87"/>
      <c r="D33" s="13">
        <f>SUM(D26:D32)</f>
        <v>10264.42</v>
      </c>
    </row>
    <row r="36" spans="1:4">
      <c r="A36" s="90" t="s">
        <v>36</v>
      </c>
      <c r="B36" s="90"/>
      <c r="C36" s="90"/>
      <c r="D36" s="90"/>
    </row>
    <row r="37" spans="1:4">
      <c r="A37" s="14"/>
    </row>
    <row r="38" spans="1:4">
      <c r="A38" s="92" t="s">
        <v>37</v>
      </c>
      <c r="B38" s="92"/>
      <c r="C38" s="92"/>
      <c r="D38" s="92"/>
    </row>
    <row r="40" spans="1:4" ht="12.75" customHeight="1">
      <c r="A40" s="10" t="s">
        <v>38</v>
      </c>
      <c r="B40" s="87" t="s">
        <v>39</v>
      </c>
      <c r="C40" s="87"/>
      <c r="D40" s="10" t="s">
        <v>26</v>
      </c>
    </row>
    <row r="41" spans="1:4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855.02</v>
      </c>
    </row>
    <row r="42" spans="1:4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1140.3699999999999</v>
      </c>
    </row>
    <row r="43" spans="1:4" ht="12.75" customHeight="1">
      <c r="A43" s="87" t="s">
        <v>35</v>
      </c>
      <c r="B43" s="87"/>
      <c r="C43" s="16">
        <f>SUM(C41:C42)</f>
        <v>0.19440000000000002</v>
      </c>
      <c r="D43" s="17">
        <f>SUM(D41:D42)</f>
        <v>1995.3899999999999</v>
      </c>
    </row>
    <row r="46" spans="1:4" ht="12.75" customHeight="1">
      <c r="A46" s="94" t="s">
        <v>42</v>
      </c>
      <c r="B46" s="94"/>
      <c r="C46" s="94"/>
      <c r="D46" s="94"/>
    </row>
    <row r="48" spans="1:4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2451.96</v>
      </c>
    </row>
    <row r="50" spans="1:4">
      <c r="A50" s="8" t="s">
        <v>4</v>
      </c>
      <c r="B50" s="11" t="s">
        <v>47</v>
      </c>
      <c r="C50" s="18">
        <v>2.5000000000000001E-2</v>
      </c>
      <c r="D50" s="12">
        <f t="shared" si="0"/>
        <v>306.49</v>
      </c>
    </row>
    <row r="51" spans="1:4">
      <c r="A51" s="8" t="s">
        <v>6</v>
      </c>
      <c r="B51" s="11" t="s">
        <v>48</v>
      </c>
      <c r="C51" s="19">
        <v>0.03</v>
      </c>
      <c r="D51" s="12">
        <f t="shared" si="0"/>
        <v>367.79</v>
      </c>
    </row>
    <row r="52" spans="1:4">
      <c r="A52" s="8" t="s">
        <v>8</v>
      </c>
      <c r="B52" s="11" t="s">
        <v>49</v>
      </c>
      <c r="C52" s="18">
        <v>1.4999999999999999E-2</v>
      </c>
      <c r="D52" s="12">
        <f t="shared" si="0"/>
        <v>183.89</v>
      </c>
    </row>
    <row r="53" spans="1:4">
      <c r="A53" s="8" t="s">
        <v>31</v>
      </c>
      <c r="B53" s="11" t="s">
        <v>50</v>
      </c>
      <c r="C53" s="18">
        <v>0.01</v>
      </c>
      <c r="D53" s="12">
        <f t="shared" si="0"/>
        <v>122.59</v>
      </c>
    </row>
    <row r="54" spans="1:4">
      <c r="A54" s="8" t="s">
        <v>51</v>
      </c>
      <c r="B54" s="11" t="s">
        <v>52</v>
      </c>
      <c r="C54" s="18">
        <v>6.0000000000000001E-3</v>
      </c>
      <c r="D54" s="12">
        <f t="shared" si="0"/>
        <v>73.55</v>
      </c>
    </row>
    <row r="55" spans="1:4">
      <c r="A55" s="8" t="s">
        <v>33</v>
      </c>
      <c r="B55" s="11" t="s">
        <v>53</v>
      </c>
      <c r="C55" s="18">
        <v>2E-3</v>
      </c>
      <c r="D55" s="12">
        <f t="shared" si="0"/>
        <v>24.51</v>
      </c>
    </row>
    <row r="56" spans="1:4">
      <c r="A56" s="8" t="s">
        <v>54</v>
      </c>
      <c r="B56" s="11" t="s">
        <v>55</v>
      </c>
      <c r="C56" s="18">
        <v>0.08</v>
      </c>
      <c r="D56" s="12">
        <f t="shared" si="0"/>
        <v>980.78</v>
      </c>
    </row>
    <row r="57" spans="1:4" ht="12.75" customHeight="1">
      <c r="A57" s="87" t="s">
        <v>56</v>
      </c>
      <c r="B57" s="87"/>
      <c r="C57" s="20">
        <f>SUM(C49:C56)</f>
        <v>0.36800000000000005</v>
      </c>
      <c r="D57" s="17">
        <f>SUM(D49:D56)</f>
        <v>4511.5600000000004</v>
      </c>
    </row>
    <row r="60" spans="1:4">
      <c r="A60" s="92" t="s">
        <v>57</v>
      </c>
      <c r="B60" s="92"/>
      <c r="C60" s="92"/>
      <c r="D60" s="92"/>
    </row>
    <row r="62" spans="1:4" ht="12.75" customHeight="1">
      <c r="A62" s="10" t="s">
        <v>58</v>
      </c>
      <c r="B62" s="93" t="s">
        <v>59</v>
      </c>
      <c r="C62" s="93"/>
      <c r="D62" s="10" t="s">
        <v>26</v>
      </c>
    </row>
    <row r="63" spans="1:4" ht="12.75" customHeight="1">
      <c r="A63" s="8" t="s">
        <v>2</v>
      </c>
      <c r="B63" s="88" t="s">
        <v>60</v>
      </c>
      <c r="C63" s="88"/>
      <c r="D63" s="12">
        <f>IF((23*2*4.4)-(D26*0.06)&lt;0,0,(23*2*4.4)-(D26*0.06))</f>
        <v>0</v>
      </c>
    </row>
    <row r="64" spans="1:4" ht="12.75" customHeight="1">
      <c r="A64" s="8" t="s">
        <v>4</v>
      </c>
      <c r="B64" s="88" t="s">
        <v>61</v>
      </c>
      <c r="C64" s="88"/>
      <c r="D64" s="12">
        <f>23*(29-2.9)</f>
        <v>600.30000000000007</v>
      </c>
    </row>
    <row r="65" spans="1:5" ht="12.75" customHeight="1">
      <c r="A65" s="8" t="s">
        <v>6</v>
      </c>
      <c r="B65" s="88" t="s">
        <v>62</v>
      </c>
      <c r="C65" s="88"/>
      <c r="D65" s="12">
        <f>200*0.7</f>
        <v>140</v>
      </c>
    </row>
    <row r="66" spans="1:5" ht="12.75" customHeight="1">
      <c r="A66" s="8" t="s">
        <v>8</v>
      </c>
      <c r="B66" s="88" t="s">
        <v>34</v>
      </c>
      <c r="C66" s="88"/>
      <c r="D66" s="12"/>
    </row>
    <row r="67" spans="1:5" ht="12.75" customHeight="1">
      <c r="A67" s="87" t="s">
        <v>35</v>
      </c>
      <c r="B67" s="87"/>
      <c r="C67" s="87"/>
      <c r="D67" s="17">
        <f>SUM(D63:D66)</f>
        <v>740.30000000000007</v>
      </c>
    </row>
    <row r="70" spans="1:5">
      <c r="A70" s="92" t="s">
        <v>63</v>
      </c>
      <c r="B70" s="92"/>
      <c r="C70" s="92"/>
      <c r="D70" s="92"/>
    </row>
    <row r="72" spans="1:5" ht="12.75" customHeight="1">
      <c r="A72" s="10">
        <v>2</v>
      </c>
      <c r="B72" s="93" t="s">
        <v>64</v>
      </c>
      <c r="C72" s="93"/>
      <c r="D72" s="10" t="s">
        <v>26</v>
      </c>
    </row>
    <row r="73" spans="1:5" ht="12.75" customHeight="1">
      <c r="A73" s="8" t="s">
        <v>38</v>
      </c>
      <c r="B73" s="88" t="s">
        <v>39</v>
      </c>
      <c r="C73" s="88"/>
      <c r="D73" s="21">
        <f>D43</f>
        <v>1995.3899999999999</v>
      </c>
    </row>
    <row r="74" spans="1:5" ht="12.75" customHeight="1">
      <c r="A74" s="8" t="s">
        <v>43</v>
      </c>
      <c r="B74" s="88" t="s">
        <v>44</v>
      </c>
      <c r="C74" s="88"/>
      <c r="D74" s="21">
        <f>D57</f>
        <v>4511.5600000000004</v>
      </c>
    </row>
    <row r="75" spans="1:5" ht="12.75" customHeight="1">
      <c r="A75" s="8" t="s">
        <v>58</v>
      </c>
      <c r="B75" s="88" t="s">
        <v>59</v>
      </c>
      <c r="C75" s="88"/>
      <c r="D75" s="21">
        <f>D67</f>
        <v>740.30000000000007</v>
      </c>
    </row>
    <row r="76" spans="1:5" ht="12.75" customHeight="1">
      <c r="A76" s="87" t="s">
        <v>35</v>
      </c>
      <c r="B76" s="87"/>
      <c r="C76" s="87"/>
      <c r="D76" s="17">
        <f>SUM(D73:D75)</f>
        <v>7247.2500000000009</v>
      </c>
    </row>
    <row r="77" spans="1:5">
      <c r="A77" s="22"/>
      <c r="E77" s="23"/>
    </row>
    <row r="79" spans="1:5">
      <c r="A79" s="90" t="s">
        <v>65</v>
      </c>
      <c r="B79" s="90"/>
      <c r="C79" s="90"/>
      <c r="D79" s="90"/>
      <c r="E79" s="24"/>
    </row>
    <row r="80" spans="1:5" ht="12.75" customHeight="1">
      <c r="E80" s="23"/>
    </row>
    <row r="81" spans="1:4" ht="12.75" customHeight="1">
      <c r="A81" s="10">
        <v>3</v>
      </c>
      <c r="B81" s="93" t="s">
        <v>66</v>
      </c>
      <c r="C81" s="93"/>
      <c r="D81" s="10" t="s">
        <v>26</v>
      </c>
    </row>
    <row r="82" spans="1:4">
      <c r="A82" s="8" t="s">
        <v>2</v>
      </c>
      <c r="B82" s="25" t="s">
        <v>67</v>
      </c>
      <c r="C82" s="18">
        <f>TRUNC(((1/12)*5%),4)</f>
        <v>4.1000000000000003E-3</v>
      </c>
      <c r="D82" s="12">
        <f>TRUNC($D$33*C82,2)</f>
        <v>42.08</v>
      </c>
    </row>
    <row r="83" spans="1:4">
      <c r="A83" s="8" t="s">
        <v>4</v>
      </c>
      <c r="B83" s="25" t="s">
        <v>68</v>
      </c>
      <c r="C83" s="18">
        <v>0.08</v>
      </c>
      <c r="D83" s="12">
        <f>TRUNC(D82*C83,2)</f>
        <v>3.36</v>
      </c>
    </row>
    <row r="84" spans="1:4">
      <c r="A84" s="8" t="s">
        <v>6</v>
      </c>
      <c r="B84" s="25" t="s">
        <v>69</v>
      </c>
      <c r="C84" s="18">
        <f>TRUNC(8%*5%*40%,4)</f>
        <v>1.6000000000000001E-3</v>
      </c>
      <c r="D84" s="12">
        <f>TRUNC($D$33*C84,2)</f>
        <v>16.420000000000002</v>
      </c>
    </row>
    <row r="85" spans="1:4">
      <c r="A85" s="8" t="s">
        <v>8</v>
      </c>
      <c r="B85" s="25" t="s">
        <v>70</v>
      </c>
      <c r="C85" s="18">
        <f>TRUNC(((7/30)/12)*95%,4)</f>
        <v>1.84E-2</v>
      </c>
      <c r="D85" s="12">
        <f>TRUNC($D$33*C85,2)</f>
        <v>188.86</v>
      </c>
    </row>
    <row r="86" spans="1:4" ht="25.5">
      <c r="A86" s="8" t="s">
        <v>31</v>
      </c>
      <c r="B86" s="25" t="s">
        <v>71</v>
      </c>
      <c r="C86" s="18">
        <f>C57</f>
        <v>0.36800000000000005</v>
      </c>
      <c r="D86" s="12">
        <f>TRUNC(D85*C86,2)</f>
        <v>69.5</v>
      </c>
    </row>
    <row r="87" spans="1:4">
      <c r="A87" s="8" t="s">
        <v>51</v>
      </c>
      <c r="B87" s="25" t="s">
        <v>72</v>
      </c>
      <c r="C87" s="18">
        <f>TRUNC(8%*95%*40%,4)</f>
        <v>3.04E-2</v>
      </c>
      <c r="D87" s="12">
        <f>TRUNC($D$33*C87,2)</f>
        <v>312.02999999999997</v>
      </c>
    </row>
    <row r="88" spans="1:4" ht="12.75" customHeight="1">
      <c r="A88" s="87" t="s">
        <v>35</v>
      </c>
      <c r="B88" s="87"/>
      <c r="C88" s="87"/>
      <c r="D88" s="17">
        <f>SUM(D82:D87)</f>
        <v>632.25</v>
      </c>
    </row>
    <row r="91" spans="1:4">
      <c r="A91" s="90" t="s">
        <v>73</v>
      </c>
      <c r="B91" s="90"/>
      <c r="C91" s="90"/>
      <c r="D91" s="90"/>
    </row>
    <row r="94" spans="1:4">
      <c r="A94" s="92" t="s">
        <v>74</v>
      </c>
      <c r="B94" s="92"/>
      <c r="C94" s="92"/>
      <c r="D94" s="92"/>
    </row>
    <row r="95" spans="1:4">
      <c r="A95" s="14"/>
    </row>
    <row r="96" spans="1:4" ht="12.75" customHeight="1">
      <c r="A96" s="10" t="s">
        <v>75</v>
      </c>
      <c r="B96" s="93" t="s">
        <v>76</v>
      </c>
      <c r="C96" s="93"/>
      <c r="D96" s="10" t="s">
        <v>26</v>
      </c>
    </row>
    <row r="97" spans="1:6">
      <c r="A97" s="8" t="s">
        <v>2</v>
      </c>
      <c r="B97" s="11" t="s">
        <v>77</v>
      </c>
      <c r="C97" s="18">
        <f>TRUNC(((1+1/3)/12)/12,4)</f>
        <v>9.1999999999999998E-3</v>
      </c>
      <c r="D97" s="12">
        <f t="shared" ref="D97:D102" si="1">TRUNC(($D$33+$D$76+$D$88)*C97,2)</f>
        <v>166.92</v>
      </c>
    </row>
    <row r="98" spans="1:6">
      <c r="A98" s="8" t="s">
        <v>4</v>
      </c>
      <c r="B98" s="11" t="s">
        <v>78</v>
      </c>
      <c r="C98" s="18">
        <f>TRUNC(((2/30)/12),4)</f>
        <v>5.4999999999999997E-3</v>
      </c>
      <c r="D98" s="12">
        <f t="shared" si="1"/>
        <v>99.79</v>
      </c>
    </row>
    <row r="99" spans="1:6">
      <c r="A99" s="8" t="s">
        <v>6</v>
      </c>
      <c r="B99" s="11" t="s">
        <v>79</v>
      </c>
      <c r="C99" s="18">
        <f>TRUNC(((5/30)/12)*2%,4)</f>
        <v>2.0000000000000001E-4</v>
      </c>
      <c r="D99" s="12">
        <f t="shared" si="1"/>
        <v>3.62</v>
      </c>
    </row>
    <row r="100" spans="1:6">
      <c r="A100" s="8" t="s">
        <v>8</v>
      </c>
      <c r="B100" s="11" t="s">
        <v>80</v>
      </c>
      <c r="C100" s="18">
        <f>TRUNC(((15/30)/12)*8%,4)</f>
        <v>3.3E-3</v>
      </c>
      <c r="D100" s="12">
        <f t="shared" si="1"/>
        <v>59.87</v>
      </c>
    </row>
    <row r="101" spans="1:6">
      <c r="A101" s="8" t="s">
        <v>31</v>
      </c>
      <c r="B101" s="11" t="s">
        <v>81</v>
      </c>
      <c r="C101" s="18">
        <f>((1+1/3)/12)*3%*(6/12)</f>
        <v>1.6666666666666666E-3</v>
      </c>
      <c r="D101" s="12">
        <f t="shared" si="1"/>
        <v>30.23</v>
      </c>
    </row>
    <row r="102" spans="1:6">
      <c r="A102" s="8" t="s">
        <v>51</v>
      </c>
      <c r="B102" s="11" t="s">
        <v>82</v>
      </c>
      <c r="C102" s="18"/>
      <c r="D102" s="12">
        <f t="shared" si="1"/>
        <v>0</v>
      </c>
    </row>
    <row r="103" spans="1:6" ht="12.75" customHeight="1">
      <c r="A103" s="87" t="s">
        <v>56</v>
      </c>
      <c r="B103" s="87"/>
      <c r="C103" s="87"/>
      <c r="D103" s="17">
        <f>SUM(D97:D102)</f>
        <v>360.43</v>
      </c>
      <c r="E103" s="24"/>
      <c r="F103" s="24"/>
    </row>
    <row r="106" spans="1:6">
      <c r="A106" s="92" t="s">
        <v>83</v>
      </c>
      <c r="B106" s="92"/>
      <c r="C106" s="92"/>
      <c r="D106" s="92"/>
    </row>
    <row r="107" spans="1:6">
      <c r="A107" s="14"/>
    </row>
    <row r="108" spans="1:6" ht="12.75" customHeight="1">
      <c r="A108" s="10" t="s">
        <v>84</v>
      </c>
      <c r="B108" s="93" t="s">
        <v>85</v>
      </c>
      <c r="C108" s="93"/>
      <c r="D108" s="10" t="s">
        <v>26</v>
      </c>
    </row>
    <row r="109" spans="1:6" ht="12.75" customHeight="1">
      <c r="A109" s="8" t="s">
        <v>2</v>
      </c>
      <c r="B109" s="88" t="s">
        <v>86</v>
      </c>
      <c r="C109" s="88"/>
      <c r="D109" s="12">
        <f>((D33+D76+D88)/220)*22*0</f>
        <v>0</v>
      </c>
    </row>
    <row r="110" spans="1:6" ht="12.75" customHeight="1">
      <c r="A110" s="87" t="s">
        <v>35</v>
      </c>
      <c r="B110" s="87"/>
      <c r="C110" s="87"/>
      <c r="D110" s="17">
        <f>SUM(D109)</f>
        <v>0</v>
      </c>
    </row>
    <row r="113" spans="1:4">
      <c r="A113" s="92" t="s">
        <v>87</v>
      </c>
      <c r="B113" s="92"/>
      <c r="C113" s="92"/>
      <c r="D113" s="92"/>
    </row>
    <row r="114" spans="1:4">
      <c r="A114" s="14"/>
    </row>
    <row r="115" spans="1:4" ht="12.75" customHeight="1">
      <c r="A115" s="10">
        <v>4</v>
      </c>
      <c r="B115" s="87" t="s">
        <v>88</v>
      </c>
      <c r="C115" s="87"/>
      <c r="D115" s="10" t="s">
        <v>26</v>
      </c>
    </row>
    <row r="116" spans="1:4" ht="12.75" customHeight="1">
      <c r="A116" s="8" t="s">
        <v>75</v>
      </c>
      <c r="B116" s="88" t="s">
        <v>76</v>
      </c>
      <c r="C116" s="88"/>
      <c r="D116" s="21">
        <f>D103</f>
        <v>360.43</v>
      </c>
    </row>
    <row r="117" spans="1:4" ht="12.75" customHeight="1">
      <c r="A117" s="8" t="s">
        <v>84</v>
      </c>
      <c r="B117" s="88" t="s">
        <v>85</v>
      </c>
      <c r="C117" s="88"/>
      <c r="D117" s="21">
        <f>D110</f>
        <v>0</v>
      </c>
    </row>
    <row r="118" spans="1:4" ht="12.75" customHeight="1">
      <c r="A118" s="87" t="s">
        <v>35</v>
      </c>
      <c r="B118" s="87"/>
      <c r="C118" s="87"/>
      <c r="D118" s="17">
        <f>SUM(D116:D117)</f>
        <v>360.43</v>
      </c>
    </row>
    <row r="121" spans="1:4">
      <c r="A121" s="90" t="s">
        <v>89</v>
      </c>
      <c r="B121" s="90"/>
      <c r="C121" s="90"/>
      <c r="D121" s="90"/>
    </row>
    <row r="123" spans="1:4" ht="12.75" customHeight="1">
      <c r="A123" s="10">
        <v>5</v>
      </c>
      <c r="B123" s="91" t="s">
        <v>90</v>
      </c>
      <c r="C123" s="91"/>
      <c r="D123" s="10" t="s">
        <v>26</v>
      </c>
    </row>
    <row r="124" spans="1:4">
      <c r="A124" s="8" t="s">
        <v>2</v>
      </c>
      <c r="B124" s="11" t="s">
        <v>91</v>
      </c>
      <c r="C124" s="11"/>
      <c r="D124" s="12">
        <v>4.53</v>
      </c>
    </row>
    <row r="125" spans="1:4">
      <c r="A125" s="8" t="s">
        <v>4</v>
      </c>
      <c r="B125" s="11" t="s">
        <v>92</v>
      </c>
      <c r="C125" s="11"/>
      <c r="D125" s="12"/>
    </row>
    <row r="126" spans="1:4">
      <c r="A126" s="8" t="s">
        <v>6</v>
      </c>
      <c r="B126" s="11" t="s">
        <v>93</v>
      </c>
      <c r="C126" s="11"/>
      <c r="D126" s="12"/>
    </row>
    <row r="127" spans="1:4">
      <c r="A127" s="8" t="s">
        <v>8</v>
      </c>
      <c r="B127" s="11" t="s">
        <v>34</v>
      </c>
      <c r="C127" s="11"/>
      <c r="D127" s="12"/>
    </row>
    <row r="128" spans="1:4" ht="12.75" customHeight="1">
      <c r="A128" s="87" t="s">
        <v>56</v>
      </c>
      <c r="B128" s="87"/>
      <c r="C128" s="87"/>
      <c r="D128" s="13">
        <f>SUM(D124:D127)</f>
        <v>4.53</v>
      </c>
    </row>
    <row r="131" spans="1:4">
      <c r="A131" s="90" t="s">
        <v>95</v>
      </c>
      <c r="B131" s="90"/>
      <c r="C131" s="90"/>
      <c r="D131" s="90"/>
    </row>
    <row r="133" spans="1:4">
      <c r="A133" s="10">
        <v>6</v>
      </c>
      <c r="B133" s="26" t="s">
        <v>96</v>
      </c>
      <c r="C133" s="10" t="s">
        <v>45</v>
      </c>
      <c r="D133" s="10" t="s">
        <v>26</v>
      </c>
    </row>
    <row r="134" spans="1:4">
      <c r="A134" s="8" t="s">
        <v>2</v>
      </c>
      <c r="B134" s="11" t="s">
        <v>97</v>
      </c>
      <c r="C134" s="18">
        <v>0.05</v>
      </c>
      <c r="D134" s="21">
        <f>D154*C134</f>
        <v>925.44400000000007</v>
      </c>
    </row>
    <row r="135" spans="1:4">
      <c r="A135" s="8" t="s">
        <v>4</v>
      </c>
      <c r="B135" s="11" t="s">
        <v>98</v>
      </c>
      <c r="C135" s="18">
        <v>0.06</v>
      </c>
      <c r="D135" s="12">
        <f>(D154+D134)*C135</f>
        <v>1166.05944</v>
      </c>
    </row>
    <row r="136" spans="1:4">
      <c r="A136" s="8" t="s">
        <v>6</v>
      </c>
      <c r="B136" s="11" t="s">
        <v>99</v>
      </c>
      <c r="C136" s="15">
        <f>SUM(C137:C142)</f>
        <v>8.6499999999999994E-2</v>
      </c>
      <c r="D136" s="12">
        <f>(D154+D134+D135)*C136/(1-C136)</f>
        <v>1950.6657554022988</v>
      </c>
    </row>
    <row r="137" spans="1:4">
      <c r="A137" s="8"/>
      <c r="B137" s="11" t="s">
        <v>100</v>
      </c>
      <c r="C137" s="18"/>
      <c r="D137" s="21">
        <f t="shared" ref="D137:D142" si="2">$D$156*C137</f>
        <v>0</v>
      </c>
    </row>
    <row r="138" spans="1:4">
      <c r="A138" s="8"/>
      <c r="B138" s="11" t="s">
        <v>101</v>
      </c>
      <c r="C138" s="18">
        <v>6.4999999999999997E-3</v>
      </c>
      <c r="D138" s="21">
        <f t="shared" si="2"/>
        <v>146.58182499999998</v>
      </c>
    </row>
    <row r="139" spans="1:4">
      <c r="A139" s="8"/>
      <c r="B139" s="11" t="s">
        <v>102</v>
      </c>
      <c r="C139" s="18">
        <v>0.03</v>
      </c>
      <c r="D139" s="21">
        <f t="shared" si="2"/>
        <v>676.53149999999994</v>
      </c>
    </row>
    <row r="140" spans="1:4">
      <c r="A140" s="8"/>
      <c r="B140" s="11" t="s">
        <v>103</v>
      </c>
      <c r="C140" s="8"/>
      <c r="D140" s="21">
        <f t="shared" si="2"/>
        <v>0</v>
      </c>
    </row>
    <row r="141" spans="1:4">
      <c r="A141" s="8"/>
      <c r="B141" s="11" t="s">
        <v>104</v>
      </c>
      <c r="C141" s="18"/>
      <c r="D141" s="21">
        <f t="shared" si="2"/>
        <v>0</v>
      </c>
    </row>
    <row r="142" spans="1:4">
      <c r="A142" s="8"/>
      <c r="B142" s="11" t="s">
        <v>105</v>
      </c>
      <c r="C142" s="18">
        <v>0.05</v>
      </c>
      <c r="D142" s="21">
        <f t="shared" si="2"/>
        <v>1127.5525</v>
      </c>
    </row>
    <row r="143" spans="1:4" ht="13.5" customHeight="1">
      <c r="A143" s="89" t="s">
        <v>56</v>
      </c>
      <c r="B143" s="89"/>
      <c r="C143" s="27">
        <f>(1+C135)*(1+C134)/(1-C136)-1</f>
        <v>0.21839080459770144</v>
      </c>
      <c r="D143" s="17">
        <f>SUM(D134:D136)</f>
        <v>4042.169195402299</v>
      </c>
    </row>
    <row r="146" spans="1:4">
      <c r="A146" s="90" t="s">
        <v>106</v>
      </c>
      <c r="B146" s="90"/>
      <c r="C146" s="90"/>
      <c r="D146" s="90"/>
    </row>
    <row r="148" spans="1:4" ht="12.75" customHeight="1">
      <c r="A148" s="10"/>
      <c r="B148" s="87" t="s">
        <v>107</v>
      </c>
      <c r="C148" s="87"/>
      <c r="D148" s="10" t="s">
        <v>26</v>
      </c>
    </row>
    <row r="149" spans="1:4" ht="12.75" customHeight="1">
      <c r="A149" s="10" t="s">
        <v>2</v>
      </c>
      <c r="B149" s="88" t="s">
        <v>24</v>
      </c>
      <c r="C149" s="88"/>
      <c r="D149" s="28">
        <f>D33</f>
        <v>10264.42</v>
      </c>
    </row>
    <row r="150" spans="1:4" ht="12.75" customHeight="1">
      <c r="A150" s="10" t="s">
        <v>4</v>
      </c>
      <c r="B150" s="88" t="s">
        <v>36</v>
      </c>
      <c r="C150" s="88"/>
      <c r="D150" s="28">
        <f>D76</f>
        <v>7247.2500000000009</v>
      </c>
    </row>
    <row r="151" spans="1:4" ht="12.75" customHeight="1">
      <c r="A151" s="10" t="s">
        <v>6</v>
      </c>
      <c r="B151" s="88" t="s">
        <v>65</v>
      </c>
      <c r="C151" s="88"/>
      <c r="D151" s="28">
        <f>D88</f>
        <v>632.25</v>
      </c>
    </row>
    <row r="152" spans="1:4" ht="12.75" customHeight="1">
      <c r="A152" s="10" t="s">
        <v>8</v>
      </c>
      <c r="B152" s="88" t="s">
        <v>73</v>
      </c>
      <c r="C152" s="88"/>
      <c r="D152" s="28">
        <f>D118</f>
        <v>360.43</v>
      </c>
    </row>
    <row r="153" spans="1:4" ht="12.75" customHeight="1">
      <c r="A153" s="10" t="s">
        <v>31</v>
      </c>
      <c r="B153" s="88" t="s">
        <v>89</v>
      </c>
      <c r="C153" s="88"/>
      <c r="D153" s="28">
        <f>D128</f>
        <v>4.53</v>
      </c>
    </row>
    <row r="154" spans="1:4" ht="12.75" customHeight="1">
      <c r="A154" s="87" t="s">
        <v>108</v>
      </c>
      <c r="B154" s="87"/>
      <c r="C154" s="87"/>
      <c r="D154" s="29">
        <f>SUM(D149:D153)</f>
        <v>18508.88</v>
      </c>
    </row>
    <row r="155" spans="1:4" ht="12.75" customHeight="1">
      <c r="A155" s="10" t="s">
        <v>51</v>
      </c>
      <c r="B155" s="88" t="s">
        <v>109</v>
      </c>
      <c r="C155" s="88"/>
      <c r="D155" s="30">
        <f>D143</f>
        <v>4042.169195402299</v>
      </c>
    </row>
    <row r="156" spans="1:4" ht="12.75" customHeight="1">
      <c r="A156" s="87" t="s">
        <v>110</v>
      </c>
      <c r="B156" s="87"/>
      <c r="C156" s="87"/>
      <c r="D156" s="29">
        <f>ROUND(SUM(D154:D155),2)</f>
        <v>22551.05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36" zoomScale="115" zoomScaleNormal="115" workbookViewId="0">
      <selection activeCell="A14" sqref="A14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97" t="s">
        <v>0</v>
      </c>
      <c r="B1" s="97"/>
      <c r="C1" s="97"/>
      <c r="D1" s="97"/>
    </row>
    <row r="2" spans="1:4" ht="15.75">
      <c r="A2" s="2"/>
      <c r="B2" s="2"/>
      <c r="C2" s="2"/>
      <c r="D2" s="2"/>
    </row>
    <row r="3" spans="1:4">
      <c r="A3" s="90" t="s">
        <v>1</v>
      </c>
      <c r="B3" s="90"/>
      <c r="C3" s="90"/>
      <c r="D3" s="90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90" t="s">
        <v>10</v>
      </c>
      <c r="B10" s="90"/>
      <c r="C10" s="90"/>
      <c r="D10" s="90"/>
    </row>
    <row r="11" spans="1:4">
      <c r="A11" s="3"/>
      <c r="B11" s="3"/>
      <c r="C11" s="3"/>
      <c r="D11" s="3"/>
    </row>
    <row r="12" spans="1:4" ht="38.25" customHeight="1">
      <c r="A12" s="98" t="s">
        <v>11</v>
      </c>
      <c r="B12" s="98"/>
      <c r="C12" s="8" t="s">
        <v>12</v>
      </c>
      <c r="D12" s="9" t="s">
        <v>13</v>
      </c>
    </row>
    <row r="13" spans="1:4">
      <c r="A13" s="110" t="s">
        <v>121</v>
      </c>
      <c r="B13" s="110"/>
      <c r="C13" s="7" t="s">
        <v>15</v>
      </c>
      <c r="D13" s="7">
        <v>1</v>
      </c>
    </row>
    <row r="15" spans="1:4">
      <c r="A15" s="90" t="s">
        <v>16</v>
      </c>
      <c r="B15" s="90"/>
      <c r="C15" s="90"/>
      <c r="D15" s="90"/>
    </row>
    <row r="16" spans="1:4">
      <c r="A16" s="3"/>
      <c r="B16" s="3"/>
      <c r="C16" s="3"/>
      <c r="D16" s="3"/>
    </row>
    <row r="17" spans="1:4">
      <c r="A17" s="4">
        <v>1</v>
      </c>
      <c r="B17" s="4" t="s">
        <v>17</v>
      </c>
      <c r="C17" s="95" t="s">
        <v>116</v>
      </c>
      <c r="D17" s="95"/>
    </row>
    <row r="18" spans="1:4">
      <c r="A18" s="4">
        <v>2</v>
      </c>
      <c r="B18" s="4" t="s">
        <v>19</v>
      </c>
      <c r="C18" s="95" t="s">
        <v>122</v>
      </c>
      <c r="D18" s="95"/>
    </row>
    <row r="19" spans="1:4">
      <c r="A19" s="4">
        <v>3</v>
      </c>
      <c r="B19" s="4" t="s">
        <v>21</v>
      </c>
      <c r="C19" s="96">
        <v>1100</v>
      </c>
      <c r="D19" s="96"/>
    </row>
    <row r="20" spans="1:4">
      <c r="A20" s="4">
        <v>4</v>
      </c>
      <c r="B20" s="4" t="s">
        <v>22</v>
      </c>
      <c r="C20" s="95"/>
      <c r="D20" s="95"/>
    </row>
    <row r="21" spans="1:4">
      <c r="A21" s="4">
        <v>5</v>
      </c>
      <c r="B21" s="4" t="s">
        <v>23</v>
      </c>
      <c r="C21" s="95"/>
      <c r="D21" s="95"/>
    </row>
    <row r="23" spans="1:4">
      <c r="A23" s="90" t="s">
        <v>24</v>
      </c>
      <c r="B23" s="90"/>
      <c r="C23" s="90"/>
      <c r="D23" s="90"/>
    </row>
    <row r="25" spans="1:4" ht="12.75" customHeight="1">
      <c r="A25" s="10">
        <v>1</v>
      </c>
      <c r="B25" s="87" t="s">
        <v>25</v>
      </c>
      <c r="C25" s="87"/>
      <c r="D25" s="10" t="s">
        <v>26</v>
      </c>
    </row>
    <row r="26" spans="1:4" ht="12.75" customHeight="1">
      <c r="A26" s="8" t="s">
        <v>2</v>
      </c>
      <c r="B26" s="88" t="s">
        <v>27</v>
      </c>
      <c r="C26" s="88"/>
      <c r="D26" s="12">
        <v>3328.24</v>
      </c>
    </row>
    <row r="27" spans="1:4" ht="12.75" customHeight="1">
      <c r="A27" s="8" t="s">
        <v>4</v>
      </c>
      <c r="B27" s="88" t="s">
        <v>28</v>
      </c>
      <c r="C27" s="88"/>
      <c r="D27" s="12"/>
    </row>
    <row r="28" spans="1:4" ht="12.75" customHeight="1">
      <c r="A28" s="8" t="s">
        <v>6</v>
      </c>
      <c r="B28" s="88" t="s">
        <v>29</v>
      </c>
      <c r="C28" s="88"/>
      <c r="D28" s="12"/>
    </row>
    <row r="29" spans="1:4" ht="12.75" customHeight="1">
      <c r="A29" s="8" t="s">
        <v>8</v>
      </c>
      <c r="B29" s="88" t="s">
        <v>30</v>
      </c>
      <c r="C29" s="88"/>
      <c r="D29" s="12"/>
    </row>
    <row r="30" spans="1:4" ht="12.75" customHeight="1">
      <c r="A30" s="8" t="s">
        <v>31</v>
      </c>
      <c r="B30" s="88" t="s">
        <v>32</v>
      </c>
      <c r="C30" s="88"/>
      <c r="D30" s="12"/>
    </row>
    <row r="31" spans="1:4">
      <c r="A31" s="8"/>
      <c r="B31" s="88"/>
      <c r="C31" s="88"/>
      <c r="D31" s="12"/>
    </row>
    <row r="32" spans="1:4" ht="12.75" customHeight="1">
      <c r="A32" s="8" t="s">
        <v>33</v>
      </c>
      <c r="B32" s="88" t="s">
        <v>34</v>
      </c>
      <c r="C32" s="88"/>
      <c r="D32" s="12"/>
    </row>
    <row r="33" spans="1:4" ht="12.75" customHeight="1">
      <c r="A33" s="87" t="s">
        <v>35</v>
      </c>
      <c r="B33" s="87"/>
      <c r="C33" s="87"/>
      <c r="D33" s="13">
        <f>SUM(D26:D32)</f>
        <v>3328.24</v>
      </c>
    </row>
    <row r="36" spans="1:4">
      <c r="A36" s="90" t="s">
        <v>36</v>
      </c>
      <c r="B36" s="90"/>
      <c r="C36" s="90"/>
      <c r="D36" s="90"/>
    </row>
    <row r="37" spans="1:4">
      <c r="A37" s="14"/>
    </row>
    <row r="38" spans="1:4">
      <c r="A38" s="92" t="s">
        <v>37</v>
      </c>
      <c r="B38" s="92"/>
      <c r="C38" s="92"/>
      <c r="D38" s="92"/>
    </row>
    <row r="40" spans="1:4" ht="12.75" customHeight="1">
      <c r="A40" s="10" t="s">
        <v>38</v>
      </c>
      <c r="B40" s="87" t="s">
        <v>39</v>
      </c>
      <c r="C40" s="87"/>
      <c r="D40" s="10" t="s">
        <v>26</v>
      </c>
    </row>
    <row r="41" spans="1:4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277.24</v>
      </c>
    </row>
    <row r="42" spans="1:4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369.76</v>
      </c>
    </row>
    <row r="43" spans="1:4" ht="12.75" customHeight="1">
      <c r="A43" s="87" t="s">
        <v>35</v>
      </c>
      <c r="B43" s="87"/>
      <c r="C43" s="16">
        <f>SUM(C41:C42)</f>
        <v>0.19440000000000002</v>
      </c>
      <c r="D43" s="17">
        <f>SUM(D41:D42)</f>
        <v>647</v>
      </c>
    </row>
    <row r="46" spans="1:4" ht="12.75" customHeight="1">
      <c r="A46" s="94" t="s">
        <v>42</v>
      </c>
      <c r="B46" s="94"/>
      <c r="C46" s="94"/>
      <c r="D46" s="94"/>
    </row>
    <row r="48" spans="1:4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795.04</v>
      </c>
    </row>
    <row r="50" spans="1:4">
      <c r="A50" s="8" t="s">
        <v>4</v>
      </c>
      <c r="B50" s="11" t="s">
        <v>47</v>
      </c>
      <c r="C50" s="18">
        <v>2.5000000000000001E-2</v>
      </c>
      <c r="D50" s="12">
        <f t="shared" si="0"/>
        <v>99.38</v>
      </c>
    </row>
    <row r="51" spans="1:4">
      <c r="A51" s="8" t="s">
        <v>6</v>
      </c>
      <c r="B51" s="11" t="s">
        <v>48</v>
      </c>
      <c r="C51" s="19">
        <v>0.03</v>
      </c>
      <c r="D51" s="12">
        <f t="shared" si="0"/>
        <v>119.25</v>
      </c>
    </row>
    <row r="52" spans="1:4">
      <c r="A52" s="8" t="s">
        <v>8</v>
      </c>
      <c r="B52" s="11" t="s">
        <v>49</v>
      </c>
      <c r="C52" s="18">
        <v>1.4999999999999999E-2</v>
      </c>
      <c r="D52" s="12">
        <f t="shared" si="0"/>
        <v>59.62</v>
      </c>
    </row>
    <row r="53" spans="1:4">
      <c r="A53" s="8" t="s">
        <v>31</v>
      </c>
      <c r="B53" s="11" t="s">
        <v>50</v>
      </c>
      <c r="C53" s="18">
        <v>0.01</v>
      </c>
      <c r="D53" s="12">
        <f t="shared" si="0"/>
        <v>39.75</v>
      </c>
    </row>
    <row r="54" spans="1:4">
      <c r="A54" s="8" t="s">
        <v>51</v>
      </c>
      <c r="B54" s="11" t="s">
        <v>52</v>
      </c>
      <c r="C54" s="18">
        <v>6.0000000000000001E-3</v>
      </c>
      <c r="D54" s="12">
        <f t="shared" si="0"/>
        <v>23.85</v>
      </c>
    </row>
    <row r="55" spans="1:4">
      <c r="A55" s="8" t="s">
        <v>33</v>
      </c>
      <c r="B55" s="11" t="s">
        <v>53</v>
      </c>
      <c r="C55" s="18">
        <v>2E-3</v>
      </c>
      <c r="D55" s="12">
        <f t="shared" si="0"/>
        <v>7.95</v>
      </c>
    </row>
    <row r="56" spans="1:4">
      <c r="A56" s="8" t="s">
        <v>54</v>
      </c>
      <c r="B56" s="11" t="s">
        <v>55</v>
      </c>
      <c r="C56" s="18">
        <v>0.08</v>
      </c>
      <c r="D56" s="12">
        <f t="shared" si="0"/>
        <v>318.01</v>
      </c>
    </row>
    <row r="57" spans="1:4" ht="12.75" customHeight="1">
      <c r="A57" s="87" t="s">
        <v>56</v>
      </c>
      <c r="B57" s="87"/>
      <c r="C57" s="20">
        <f>SUM(C49:C56)</f>
        <v>0.36800000000000005</v>
      </c>
      <c r="D57" s="17">
        <f>SUM(D49:D56)</f>
        <v>1462.85</v>
      </c>
    </row>
    <row r="60" spans="1:4">
      <c r="A60" s="92" t="s">
        <v>57</v>
      </c>
      <c r="B60" s="92"/>
      <c r="C60" s="92"/>
      <c r="D60" s="92"/>
    </row>
    <row r="62" spans="1:4" ht="12.75" customHeight="1">
      <c r="A62" s="10" t="s">
        <v>58</v>
      </c>
      <c r="B62" s="93" t="s">
        <v>59</v>
      </c>
      <c r="C62" s="93"/>
      <c r="D62" s="10" t="s">
        <v>26</v>
      </c>
    </row>
    <row r="63" spans="1:4" ht="12.75" customHeight="1">
      <c r="A63" s="8" t="s">
        <v>2</v>
      </c>
      <c r="B63" s="88" t="s">
        <v>60</v>
      </c>
      <c r="C63" s="88"/>
      <c r="D63" s="12">
        <f>IF((23*2*4.4)-(D26*0.06)&lt;0,0,(23*2*4.4)-(D26*0.06))</f>
        <v>2.7056000000000324</v>
      </c>
    </row>
    <row r="64" spans="1:4" ht="12.75" customHeight="1">
      <c r="A64" s="8" t="s">
        <v>4</v>
      </c>
      <c r="B64" s="88" t="s">
        <v>61</v>
      </c>
      <c r="C64" s="88"/>
      <c r="D64" s="12">
        <f>23*(29-2.9)</f>
        <v>600.30000000000007</v>
      </c>
    </row>
    <row r="65" spans="1:5" ht="12.75" customHeight="1">
      <c r="A65" s="8" t="s">
        <v>6</v>
      </c>
      <c r="B65" s="88" t="s">
        <v>62</v>
      </c>
      <c r="C65" s="88"/>
      <c r="D65" s="12">
        <f>200*0.7</f>
        <v>140</v>
      </c>
    </row>
    <row r="66" spans="1:5" ht="12.75" customHeight="1">
      <c r="A66" s="8" t="s">
        <v>8</v>
      </c>
      <c r="B66" s="88" t="s">
        <v>34</v>
      </c>
      <c r="C66" s="88"/>
      <c r="D66" s="12"/>
    </row>
    <row r="67" spans="1:5" ht="12.75" customHeight="1">
      <c r="A67" s="87" t="s">
        <v>35</v>
      </c>
      <c r="B67" s="87"/>
      <c r="C67" s="87"/>
      <c r="D67" s="17">
        <f>SUM(D63:D66)</f>
        <v>743.00560000000007</v>
      </c>
    </row>
    <row r="70" spans="1:5">
      <c r="A70" s="92" t="s">
        <v>63</v>
      </c>
      <c r="B70" s="92"/>
      <c r="C70" s="92"/>
      <c r="D70" s="92"/>
    </row>
    <row r="72" spans="1:5" ht="12.75" customHeight="1">
      <c r="A72" s="10">
        <v>2</v>
      </c>
      <c r="B72" s="93" t="s">
        <v>64</v>
      </c>
      <c r="C72" s="93"/>
      <c r="D72" s="10" t="s">
        <v>26</v>
      </c>
    </row>
    <row r="73" spans="1:5" ht="12.75" customHeight="1">
      <c r="A73" s="8" t="s">
        <v>38</v>
      </c>
      <c r="B73" s="88" t="s">
        <v>39</v>
      </c>
      <c r="C73" s="88"/>
      <c r="D73" s="21">
        <f>D43</f>
        <v>647</v>
      </c>
    </row>
    <row r="74" spans="1:5" ht="12.75" customHeight="1">
      <c r="A74" s="8" t="s">
        <v>43</v>
      </c>
      <c r="B74" s="88" t="s">
        <v>44</v>
      </c>
      <c r="C74" s="88"/>
      <c r="D74" s="21">
        <f>D57</f>
        <v>1462.85</v>
      </c>
    </row>
    <row r="75" spans="1:5" ht="12.75" customHeight="1">
      <c r="A75" s="8" t="s">
        <v>58</v>
      </c>
      <c r="B75" s="88" t="s">
        <v>59</v>
      </c>
      <c r="C75" s="88"/>
      <c r="D75" s="21">
        <f>D67</f>
        <v>743.00560000000007</v>
      </c>
    </row>
    <row r="76" spans="1:5" ht="12.75" customHeight="1">
      <c r="A76" s="87" t="s">
        <v>35</v>
      </c>
      <c r="B76" s="87"/>
      <c r="C76" s="87"/>
      <c r="D76" s="17">
        <f>SUM(D73:D75)</f>
        <v>2852.8555999999999</v>
      </c>
    </row>
    <row r="77" spans="1:5">
      <c r="A77" s="22"/>
      <c r="E77" s="23"/>
    </row>
    <row r="79" spans="1:5">
      <c r="A79" s="90" t="s">
        <v>65</v>
      </c>
      <c r="B79" s="90"/>
      <c r="C79" s="90"/>
      <c r="D79" s="90"/>
      <c r="E79" s="24"/>
    </row>
    <row r="80" spans="1:5" ht="12.75" customHeight="1">
      <c r="E80" s="23"/>
    </row>
    <row r="81" spans="1:4" ht="12.75" customHeight="1">
      <c r="A81" s="10">
        <v>3</v>
      </c>
      <c r="B81" s="93" t="s">
        <v>66</v>
      </c>
      <c r="C81" s="93"/>
      <c r="D81" s="10" t="s">
        <v>26</v>
      </c>
    </row>
    <row r="82" spans="1:4">
      <c r="A82" s="8" t="s">
        <v>2</v>
      </c>
      <c r="B82" s="25" t="s">
        <v>67</v>
      </c>
      <c r="C82" s="18">
        <f>TRUNC(((1/12)*5%),4)</f>
        <v>4.1000000000000003E-3</v>
      </c>
      <c r="D82" s="12">
        <f>TRUNC($D$33*C82,2)</f>
        <v>13.64</v>
      </c>
    </row>
    <row r="83" spans="1:4">
      <c r="A83" s="8" t="s">
        <v>4</v>
      </c>
      <c r="B83" s="25" t="s">
        <v>68</v>
      </c>
      <c r="C83" s="18">
        <v>0.08</v>
      </c>
      <c r="D83" s="12">
        <f>TRUNC(D82*C83,2)</f>
        <v>1.0900000000000001</v>
      </c>
    </row>
    <row r="84" spans="1:4">
      <c r="A84" s="8" t="s">
        <v>6</v>
      </c>
      <c r="B84" s="25" t="s">
        <v>69</v>
      </c>
      <c r="C84" s="18">
        <f>TRUNC(8%*5%*40%,4)</f>
        <v>1.6000000000000001E-3</v>
      </c>
      <c r="D84" s="12">
        <f>TRUNC($D$33*C84,2)</f>
        <v>5.32</v>
      </c>
    </row>
    <row r="85" spans="1:4">
      <c r="A85" s="8" t="s">
        <v>8</v>
      </c>
      <c r="B85" s="25" t="s">
        <v>70</v>
      </c>
      <c r="C85" s="18">
        <f>TRUNC(((7/30)/12)*95%,4)</f>
        <v>1.84E-2</v>
      </c>
      <c r="D85" s="12">
        <f>TRUNC($D$33*C85,2)</f>
        <v>61.23</v>
      </c>
    </row>
    <row r="86" spans="1:4" ht="25.5">
      <c r="A86" s="8" t="s">
        <v>31</v>
      </c>
      <c r="B86" s="25" t="s">
        <v>71</v>
      </c>
      <c r="C86" s="18">
        <f>C57</f>
        <v>0.36800000000000005</v>
      </c>
      <c r="D86" s="12">
        <f>TRUNC(D85*C86,2)</f>
        <v>22.53</v>
      </c>
    </row>
    <row r="87" spans="1:4">
      <c r="A87" s="8" t="s">
        <v>51</v>
      </c>
      <c r="B87" s="25" t="s">
        <v>72</v>
      </c>
      <c r="C87" s="18">
        <f>TRUNC(8%*95%*40%,4)</f>
        <v>3.04E-2</v>
      </c>
      <c r="D87" s="12">
        <f>TRUNC($D$33*C87,2)</f>
        <v>101.17</v>
      </c>
    </row>
    <row r="88" spans="1:4" ht="12.75" customHeight="1">
      <c r="A88" s="87" t="s">
        <v>35</v>
      </c>
      <c r="B88" s="87"/>
      <c r="C88" s="87"/>
      <c r="D88" s="17">
        <f>SUM(D82:D87)</f>
        <v>204.98000000000002</v>
      </c>
    </row>
    <row r="91" spans="1:4">
      <c r="A91" s="90" t="s">
        <v>73</v>
      </c>
      <c r="B91" s="90"/>
      <c r="C91" s="90"/>
      <c r="D91" s="90"/>
    </row>
    <row r="94" spans="1:4">
      <c r="A94" s="92" t="s">
        <v>74</v>
      </c>
      <c r="B94" s="92"/>
      <c r="C94" s="92"/>
      <c r="D94" s="92"/>
    </row>
    <row r="95" spans="1:4">
      <c r="A95" s="14"/>
    </row>
    <row r="96" spans="1:4" ht="12.75" customHeight="1">
      <c r="A96" s="10" t="s">
        <v>75</v>
      </c>
      <c r="B96" s="93" t="s">
        <v>76</v>
      </c>
      <c r="C96" s="93"/>
      <c r="D96" s="10" t="s">
        <v>26</v>
      </c>
    </row>
    <row r="97" spans="1:6">
      <c r="A97" s="8" t="s">
        <v>2</v>
      </c>
      <c r="B97" s="11" t="s">
        <v>77</v>
      </c>
      <c r="C97" s="18">
        <f>TRUNC(((1+1/3)/12)/12,4)</f>
        <v>9.1999999999999998E-3</v>
      </c>
      <c r="D97" s="12">
        <f t="shared" ref="D97:D102" si="1">TRUNC(($D$33+$D$76+$D$88)*C97,2)</f>
        <v>58.75</v>
      </c>
    </row>
    <row r="98" spans="1:6">
      <c r="A98" s="8" t="s">
        <v>4</v>
      </c>
      <c r="B98" s="11" t="s">
        <v>78</v>
      </c>
      <c r="C98" s="18">
        <f>TRUNC(((2/30)/12),4)</f>
        <v>5.4999999999999997E-3</v>
      </c>
      <c r="D98" s="12">
        <f t="shared" si="1"/>
        <v>35.119999999999997</v>
      </c>
    </row>
    <row r="99" spans="1:6">
      <c r="A99" s="8" t="s">
        <v>6</v>
      </c>
      <c r="B99" s="11" t="s">
        <v>79</v>
      </c>
      <c r="C99" s="18">
        <f>TRUNC(((5/30)/12)*2%,4)</f>
        <v>2.0000000000000001E-4</v>
      </c>
      <c r="D99" s="12">
        <f t="shared" si="1"/>
        <v>1.27</v>
      </c>
    </row>
    <row r="100" spans="1:6">
      <c r="A100" s="8" t="s">
        <v>8</v>
      </c>
      <c r="B100" s="11" t="s">
        <v>80</v>
      </c>
      <c r="C100" s="18">
        <f>TRUNC(((15/30)/12)*8%,4)</f>
        <v>3.3E-3</v>
      </c>
      <c r="D100" s="12">
        <f t="shared" si="1"/>
        <v>21.07</v>
      </c>
    </row>
    <row r="101" spans="1:6">
      <c r="A101" s="8" t="s">
        <v>31</v>
      </c>
      <c r="B101" s="11" t="s">
        <v>81</v>
      </c>
      <c r="C101" s="18">
        <f>((1+1/3)/12)*3%*(6/12)</f>
        <v>1.6666666666666666E-3</v>
      </c>
      <c r="D101" s="12">
        <f t="shared" si="1"/>
        <v>10.64</v>
      </c>
    </row>
    <row r="102" spans="1:6">
      <c r="A102" s="8" t="s">
        <v>51</v>
      </c>
      <c r="B102" s="11" t="s">
        <v>82</v>
      </c>
      <c r="C102" s="18"/>
      <c r="D102" s="12">
        <f t="shared" si="1"/>
        <v>0</v>
      </c>
    </row>
    <row r="103" spans="1:6" ht="12.75" customHeight="1">
      <c r="A103" s="87" t="s">
        <v>56</v>
      </c>
      <c r="B103" s="87"/>
      <c r="C103" s="87"/>
      <c r="D103" s="17">
        <f>SUM(D97:D102)</f>
        <v>126.85000000000001</v>
      </c>
      <c r="E103" s="24"/>
      <c r="F103" s="24"/>
    </row>
    <row r="106" spans="1:6">
      <c r="A106" s="92" t="s">
        <v>83</v>
      </c>
      <c r="B106" s="92"/>
      <c r="C106" s="92"/>
      <c r="D106" s="92"/>
    </row>
    <row r="107" spans="1:6">
      <c r="A107" s="14"/>
    </row>
    <row r="108" spans="1:6" ht="12.75" customHeight="1">
      <c r="A108" s="10" t="s">
        <v>84</v>
      </c>
      <c r="B108" s="93" t="s">
        <v>85</v>
      </c>
      <c r="C108" s="93"/>
      <c r="D108" s="10" t="s">
        <v>26</v>
      </c>
    </row>
    <row r="109" spans="1:6" ht="12.75" customHeight="1">
      <c r="A109" s="8" t="s">
        <v>2</v>
      </c>
      <c r="B109" s="88" t="s">
        <v>86</v>
      </c>
      <c r="C109" s="88"/>
      <c r="D109" s="12">
        <f>((D33+D76+D88)/220)*22*0</f>
        <v>0</v>
      </c>
    </row>
    <row r="110" spans="1:6" ht="12.75" customHeight="1">
      <c r="A110" s="87" t="s">
        <v>35</v>
      </c>
      <c r="B110" s="87"/>
      <c r="C110" s="87"/>
      <c r="D110" s="17">
        <f>SUM(D109)</f>
        <v>0</v>
      </c>
    </row>
    <row r="113" spans="1:4">
      <c r="A113" s="92" t="s">
        <v>87</v>
      </c>
      <c r="B113" s="92"/>
      <c r="C113" s="92"/>
      <c r="D113" s="92"/>
    </row>
    <row r="114" spans="1:4">
      <c r="A114" s="14"/>
    </row>
    <row r="115" spans="1:4" ht="12.75" customHeight="1">
      <c r="A115" s="10">
        <v>4</v>
      </c>
      <c r="B115" s="87" t="s">
        <v>88</v>
      </c>
      <c r="C115" s="87"/>
      <c r="D115" s="10" t="s">
        <v>26</v>
      </c>
    </row>
    <row r="116" spans="1:4" ht="12.75" customHeight="1">
      <c r="A116" s="8" t="s">
        <v>75</v>
      </c>
      <c r="B116" s="88" t="s">
        <v>76</v>
      </c>
      <c r="C116" s="88"/>
      <c r="D116" s="21">
        <f>D103</f>
        <v>126.85000000000001</v>
      </c>
    </row>
    <row r="117" spans="1:4" ht="12.75" customHeight="1">
      <c r="A117" s="8" t="s">
        <v>84</v>
      </c>
      <c r="B117" s="88" t="s">
        <v>85</v>
      </c>
      <c r="C117" s="88"/>
      <c r="D117" s="21">
        <f>D110</f>
        <v>0</v>
      </c>
    </row>
    <row r="118" spans="1:4" ht="12.75" customHeight="1">
      <c r="A118" s="87" t="s">
        <v>35</v>
      </c>
      <c r="B118" s="87"/>
      <c r="C118" s="87"/>
      <c r="D118" s="17">
        <f>SUM(D116:D117)</f>
        <v>126.85000000000001</v>
      </c>
    </row>
    <row r="121" spans="1:4">
      <c r="A121" s="90" t="s">
        <v>89</v>
      </c>
      <c r="B121" s="90"/>
      <c r="C121" s="90"/>
      <c r="D121" s="90"/>
    </row>
    <row r="123" spans="1:4" ht="12.75" customHeight="1">
      <c r="A123" s="10">
        <v>5</v>
      </c>
      <c r="B123" s="91" t="s">
        <v>90</v>
      </c>
      <c r="C123" s="91"/>
      <c r="D123" s="10" t="s">
        <v>26</v>
      </c>
    </row>
    <row r="124" spans="1:4">
      <c r="A124" s="8" t="s">
        <v>2</v>
      </c>
      <c r="B124" s="11" t="s">
        <v>91</v>
      </c>
      <c r="C124" s="11"/>
      <c r="D124" s="12">
        <v>4.53</v>
      </c>
    </row>
    <row r="125" spans="1:4">
      <c r="A125" s="8" t="s">
        <v>4</v>
      </c>
      <c r="B125" s="11" t="s">
        <v>92</v>
      </c>
      <c r="C125" s="11"/>
      <c r="D125" s="12"/>
    </row>
    <row r="126" spans="1:4">
      <c r="A126" s="8" t="s">
        <v>6</v>
      </c>
      <c r="B126" s="11" t="s">
        <v>93</v>
      </c>
      <c r="C126" s="11"/>
      <c r="D126" s="12"/>
    </row>
    <row r="127" spans="1:4">
      <c r="A127" s="8" t="s">
        <v>8</v>
      </c>
      <c r="B127" s="11" t="s">
        <v>34</v>
      </c>
      <c r="C127" s="11"/>
      <c r="D127" s="12"/>
    </row>
    <row r="128" spans="1:4" ht="12.75" customHeight="1">
      <c r="A128" s="87" t="s">
        <v>56</v>
      </c>
      <c r="B128" s="87"/>
      <c r="C128" s="87"/>
      <c r="D128" s="13">
        <f>SUM(D124:D127)</f>
        <v>4.53</v>
      </c>
    </row>
    <row r="131" spans="1:4">
      <c r="A131" s="90" t="s">
        <v>95</v>
      </c>
      <c r="B131" s="90"/>
      <c r="C131" s="90"/>
      <c r="D131" s="90"/>
    </row>
    <row r="133" spans="1:4">
      <c r="A133" s="10">
        <v>6</v>
      </c>
      <c r="B133" s="26" t="s">
        <v>96</v>
      </c>
      <c r="C133" s="10" t="s">
        <v>45</v>
      </c>
      <c r="D133" s="10" t="s">
        <v>26</v>
      </c>
    </row>
    <row r="134" spans="1:4">
      <c r="A134" s="8" t="s">
        <v>2</v>
      </c>
      <c r="B134" s="11" t="s">
        <v>97</v>
      </c>
      <c r="C134" s="18">
        <v>0.05</v>
      </c>
      <c r="D134" s="21">
        <f>D154*C134</f>
        <v>325.87278000000003</v>
      </c>
    </row>
    <row r="135" spans="1:4">
      <c r="A135" s="8" t="s">
        <v>4</v>
      </c>
      <c r="B135" s="11" t="s">
        <v>98</v>
      </c>
      <c r="C135" s="18">
        <v>0.06</v>
      </c>
      <c r="D135" s="12">
        <f>(D154+D134)*C135</f>
        <v>410.59970279999999</v>
      </c>
    </row>
    <row r="136" spans="1:4">
      <c r="A136" s="8" t="s">
        <v>6</v>
      </c>
      <c r="B136" s="11" t="s">
        <v>99</v>
      </c>
      <c r="C136" s="15">
        <f>SUM(C137:C142)</f>
        <v>8.6499999999999994E-2</v>
      </c>
      <c r="D136" s="12">
        <f>(D154+D134+D135)*C136/(1-C136)</f>
        <v>686.87988961379313</v>
      </c>
    </row>
    <row r="137" spans="1:4">
      <c r="A137" s="8"/>
      <c r="B137" s="11" t="s">
        <v>100</v>
      </c>
      <c r="C137" s="18"/>
      <c r="D137" s="21">
        <f t="shared" ref="D137:D142" si="2">$D$156*C137</f>
        <v>0</v>
      </c>
    </row>
    <row r="138" spans="1:4">
      <c r="A138" s="8"/>
      <c r="B138" s="11" t="s">
        <v>101</v>
      </c>
      <c r="C138" s="18">
        <v>6.4999999999999997E-3</v>
      </c>
      <c r="D138" s="21">
        <f t="shared" si="2"/>
        <v>51.615251820689657</v>
      </c>
    </row>
    <row r="139" spans="1:4">
      <c r="A139" s="8"/>
      <c r="B139" s="11" t="s">
        <v>102</v>
      </c>
      <c r="C139" s="18">
        <v>0.03</v>
      </c>
      <c r="D139" s="21">
        <f t="shared" si="2"/>
        <v>238.2242391724138</v>
      </c>
    </row>
    <row r="140" spans="1:4">
      <c r="A140" s="8"/>
      <c r="B140" s="11" t="s">
        <v>103</v>
      </c>
      <c r="C140" s="8"/>
      <c r="D140" s="21">
        <f t="shared" si="2"/>
        <v>0</v>
      </c>
    </row>
    <row r="141" spans="1:4">
      <c r="A141" s="8"/>
      <c r="B141" s="11" t="s">
        <v>104</v>
      </c>
      <c r="C141" s="18"/>
      <c r="D141" s="21">
        <f t="shared" si="2"/>
        <v>0</v>
      </c>
    </row>
    <row r="142" spans="1:4">
      <c r="A142" s="8"/>
      <c r="B142" s="11" t="s">
        <v>105</v>
      </c>
      <c r="C142" s="18">
        <v>0.05</v>
      </c>
      <c r="D142" s="21">
        <f t="shared" si="2"/>
        <v>397.0403986206897</v>
      </c>
    </row>
    <row r="143" spans="1:4" ht="13.5" customHeight="1">
      <c r="A143" s="89" t="s">
        <v>56</v>
      </c>
      <c r="B143" s="89"/>
      <c r="C143" s="27">
        <f>(1+C135)*(1+C134)/(1-C136)-1</f>
        <v>0.21839080459770144</v>
      </c>
      <c r="D143" s="17">
        <f>SUM(D134:D136)</f>
        <v>1423.3523724137931</v>
      </c>
    </row>
    <row r="146" spans="1:4">
      <c r="A146" s="90" t="s">
        <v>106</v>
      </c>
      <c r="B146" s="90"/>
      <c r="C146" s="90"/>
      <c r="D146" s="90"/>
    </row>
    <row r="148" spans="1:4" ht="12.75" customHeight="1">
      <c r="A148" s="10"/>
      <c r="B148" s="87" t="s">
        <v>107</v>
      </c>
      <c r="C148" s="87"/>
      <c r="D148" s="10" t="s">
        <v>26</v>
      </c>
    </row>
    <row r="149" spans="1:4" ht="12.75" customHeight="1">
      <c r="A149" s="10" t="s">
        <v>2</v>
      </c>
      <c r="B149" s="88" t="s">
        <v>24</v>
      </c>
      <c r="C149" s="88"/>
      <c r="D149" s="28">
        <f>D33</f>
        <v>3328.24</v>
      </c>
    </row>
    <row r="150" spans="1:4" ht="12.75" customHeight="1">
      <c r="A150" s="10" t="s">
        <v>4</v>
      </c>
      <c r="B150" s="88" t="s">
        <v>36</v>
      </c>
      <c r="C150" s="88"/>
      <c r="D150" s="28">
        <f>D76</f>
        <v>2852.8555999999999</v>
      </c>
    </row>
    <row r="151" spans="1:4" ht="12.75" customHeight="1">
      <c r="A151" s="10" t="s">
        <v>6</v>
      </c>
      <c r="B151" s="88" t="s">
        <v>65</v>
      </c>
      <c r="C151" s="88"/>
      <c r="D151" s="28">
        <f>D88</f>
        <v>204.98000000000002</v>
      </c>
    </row>
    <row r="152" spans="1:4" ht="12.75" customHeight="1">
      <c r="A152" s="10" t="s">
        <v>8</v>
      </c>
      <c r="B152" s="88" t="s">
        <v>73</v>
      </c>
      <c r="C152" s="88"/>
      <c r="D152" s="28">
        <f>D118</f>
        <v>126.85000000000001</v>
      </c>
    </row>
    <row r="153" spans="1:4" ht="12.75" customHeight="1">
      <c r="A153" s="10" t="s">
        <v>31</v>
      </c>
      <c r="B153" s="88" t="s">
        <v>89</v>
      </c>
      <c r="C153" s="88"/>
      <c r="D153" s="28">
        <f>D128</f>
        <v>4.53</v>
      </c>
    </row>
    <row r="154" spans="1:4" ht="12.75" customHeight="1">
      <c r="A154" s="87" t="s">
        <v>108</v>
      </c>
      <c r="B154" s="87"/>
      <c r="C154" s="87"/>
      <c r="D154" s="29">
        <f>SUM(D149:D153)</f>
        <v>6517.4556000000002</v>
      </c>
    </row>
    <row r="155" spans="1:4" ht="12.75" customHeight="1">
      <c r="A155" s="10" t="s">
        <v>51</v>
      </c>
      <c r="B155" s="88" t="s">
        <v>109</v>
      </c>
      <c r="C155" s="88"/>
      <c r="D155" s="30">
        <f>D143</f>
        <v>1423.3523724137931</v>
      </c>
    </row>
    <row r="156" spans="1:4" ht="12.75" customHeight="1">
      <c r="A156" s="87" t="s">
        <v>110</v>
      </c>
      <c r="B156" s="87"/>
      <c r="C156" s="87"/>
      <c r="D156" s="29">
        <f>SUM(D154:D155)</f>
        <v>7940.8079724137933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firstPageNumber="0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34" zoomScale="115" zoomScaleNormal="115" workbookViewId="0">
      <selection activeCell="D156" sqref="D156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97" t="s">
        <v>0</v>
      </c>
      <c r="B1" s="97"/>
      <c r="C1" s="97"/>
      <c r="D1" s="97"/>
    </row>
    <row r="2" spans="1:4" ht="15.75">
      <c r="A2" s="2"/>
      <c r="B2" s="2"/>
      <c r="C2" s="2"/>
      <c r="D2" s="2"/>
    </row>
    <row r="3" spans="1:4">
      <c r="A3" s="90" t="s">
        <v>1</v>
      </c>
      <c r="B3" s="90"/>
      <c r="C3" s="90"/>
      <c r="D3" s="90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90" t="s">
        <v>10</v>
      </c>
      <c r="B10" s="90"/>
      <c r="C10" s="90"/>
      <c r="D10" s="90"/>
    </row>
    <row r="11" spans="1:4">
      <c r="A11" s="3"/>
      <c r="B11" s="3"/>
      <c r="C11" s="3"/>
      <c r="D11" s="3"/>
    </row>
    <row r="12" spans="1:4" ht="38.25" customHeight="1">
      <c r="A12" s="98" t="s">
        <v>11</v>
      </c>
      <c r="B12" s="98"/>
      <c r="C12" s="8" t="s">
        <v>12</v>
      </c>
      <c r="D12" s="9" t="s">
        <v>13</v>
      </c>
    </row>
    <row r="13" spans="1:4" ht="29.25" customHeight="1">
      <c r="A13" s="99" t="s">
        <v>123</v>
      </c>
      <c r="B13" s="99"/>
      <c r="C13" s="7" t="s">
        <v>15</v>
      </c>
      <c r="D13" s="7">
        <v>2</v>
      </c>
    </row>
    <row r="15" spans="1:4">
      <c r="A15" s="90" t="s">
        <v>16</v>
      </c>
      <c r="B15" s="90"/>
      <c r="C15" s="90"/>
      <c r="D15" s="90"/>
    </row>
    <row r="16" spans="1:4">
      <c r="A16" s="3"/>
      <c r="B16" s="3"/>
      <c r="C16" s="3"/>
      <c r="D16" s="3"/>
    </row>
    <row r="17" spans="1:4">
      <c r="A17" s="4">
        <v>1</v>
      </c>
      <c r="B17" s="4" t="s">
        <v>17</v>
      </c>
      <c r="C17" s="95" t="s">
        <v>116</v>
      </c>
      <c r="D17" s="95"/>
    </row>
    <row r="18" spans="1:4">
      <c r="A18" s="4">
        <v>2</v>
      </c>
      <c r="B18" s="4" t="s">
        <v>19</v>
      </c>
      <c r="C18" s="95" t="s">
        <v>117</v>
      </c>
      <c r="D18" s="95"/>
    </row>
    <row r="19" spans="1:4">
      <c r="A19" s="4">
        <v>3</v>
      </c>
      <c r="B19" s="4" t="s">
        <v>21</v>
      </c>
      <c r="C19" s="96">
        <v>1100</v>
      </c>
      <c r="D19" s="96"/>
    </row>
    <row r="20" spans="1:4">
      <c r="A20" s="4">
        <v>4</v>
      </c>
      <c r="B20" s="4" t="s">
        <v>22</v>
      </c>
      <c r="C20" s="95"/>
      <c r="D20" s="95"/>
    </row>
    <row r="21" spans="1:4">
      <c r="A21" s="4">
        <v>5</v>
      </c>
      <c r="B21" s="4" t="s">
        <v>23</v>
      </c>
      <c r="C21" s="95"/>
      <c r="D21" s="95"/>
    </row>
    <row r="23" spans="1:4">
      <c r="A23" s="90" t="s">
        <v>24</v>
      </c>
      <c r="B23" s="90"/>
      <c r="C23" s="90"/>
      <c r="D23" s="90"/>
    </row>
    <row r="25" spans="1:4" ht="12.75" customHeight="1">
      <c r="A25" s="10">
        <v>1</v>
      </c>
      <c r="B25" s="87" t="s">
        <v>25</v>
      </c>
      <c r="C25" s="87"/>
      <c r="D25" s="10" t="s">
        <v>26</v>
      </c>
    </row>
    <row r="26" spans="1:4" ht="12.75" customHeight="1">
      <c r="A26" s="8" t="s">
        <v>2</v>
      </c>
      <c r="B26" s="88" t="s">
        <v>27</v>
      </c>
      <c r="C26" s="88"/>
      <c r="D26" s="12">
        <v>10264.42</v>
      </c>
    </row>
    <row r="27" spans="1:4" ht="12.75" customHeight="1">
      <c r="A27" s="8" t="s">
        <v>4</v>
      </c>
      <c r="B27" s="88" t="s">
        <v>28</v>
      </c>
      <c r="C27" s="88"/>
      <c r="D27" s="12"/>
    </row>
    <row r="28" spans="1:4" ht="12.75" customHeight="1">
      <c r="A28" s="8" t="s">
        <v>6</v>
      </c>
      <c r="B28" s="88" t="s">
        <v>29</v>
      </c>
      <c r="C28" s="88"/>
      <c r="D28" s="12"/>
    </row>
    <row r="29" spans="1:4" ht="12.75" customHeight="1">
      <c r="A29" s="8" t="s">
        <v>8</v>
      </c>
      <c r="B29" s="88" t="s">
        <v>30</v>
      </c>
      <c r="C29" s="88"/>
      <c r="D29" s="12"/>
    </row>
    <row r="30" spans="1:4" ht="12.75" customHeight="1">
      <c r="A30" s="8" t="s">
        <v>31</v>
      </c>
      <c r="B30" s="88" t="s">
        <v>32</v>
      </c>
      <c r="C30" s="88"/>
      <c r="D30" s="12"/>
    </row>
    <row r="31" spans="1:4">
      <c r="A31" s="8"/>
      <c r="B31" s="88"/>
      <c r="C31" s="88"/>
      <c r="D31" s="12"/>
    </row>
    <row r="32" spans="1:4" ht="12.75" customHeight="1">
      <c r="A32" s="8" t="s">
        <v>33</v>
      </c>
      <c r="B32" s="88" t="s">
        <v>34</v>
      </c>
      <c r="C32" s="88"/>
      <c r="D32" s="12"/>
    </row>
    <row r="33" spans="1:4" ht="12.75" customHeight="1">
      <c r="A33" s="87" t="s">
        <v>35</v>
      </c>
      <c r="B33" s="87"/>
      <c r="C33" s="87"/>
      <c r="D33" s="13">
        <f>SUM(D26:D32)</f>
        <v>10264.42</v>
      </c>
    </row>
    <row r="36" spans="1:4">
      <c r="A36" s="90" t="s">
        <v>36</v>
      </c>
      <c r="B36" s="90"/>
      <c r="C36" s="90"/>
      <c r="D36" s="90"/>
    </row>
    <row r="37" spans="1:4">
      <c r="A37" s="14"/>
    </row>
    <row r="38" spans="1:4">
      <c r="A38" s="92" t="s">
        <v>37</v>
      </c>
      <c r="B38" s="92"/>
      <c r="C38" s="92"/>
      <c r="D38" s="92"/>
    </row>
    <row r="40" spans="1:4" ht="12.75" customHeight="1">
      <c r="A40" s="10" t="s">
        <v>38</v>
      </c>
      <c r="B40" s="87" t="s">
        <v>39</v>
      </c>
      <c r="C40" s="87"/>
      <c r="D40" s="10" t="s">
        <v>26</v>
      </c>
    </row>
    <row r="41" spans="1:4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855.02</v>
      </c>
    </row>
    <row r="42" spans="1:4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1140.3699999999999</v>
      </c>
    </row>
    <row r="43" spans="1:4" ht="12.75" customHeight="1">
      <c r="A43" s="87" t="s">
        <v>35</v>
      </c>
      <c r="B43" s="87"/>
      <c r="C43" s="16">
        <f>SUM(C41:C42)</f>
        <v>0.19440000000000002</v>
      </c>
      <c r="D43" s="17">
        <f>SUM(D41:D42)</f>
        <v>1995.3899999999999</v>
      </c>
    </row>
    <row r="46" spans="1:4" ht="12.75" customHeight="1">
      <c r="A46" s="94" t="s">
        <v>42</v>
      </c>
      <c r="B46" s="94"/>
      <c r="C46" s="94"/>
      <c r="D46" s="94"/>
    </row>
    <row r="48" spans="1:4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2451.96</v>
      </c>
    </row>
    <row r="50" spans="1:4">
      <c r="A50" s="8" t="s">
        <v>4</v>
      </c>
      <c r="B50" s="11" t="s">
        <v>47</v>
      </c>
      <c r="C50" s="18">
        <v>2.5000000000000001E-2</v>
      </c>
      <c r="D50" s="12">
        <f t="shared" si="0"/>
        <v>306.49</v>
      </c>
    </row>
    <row r="51" spans="1:4">
      <c r="A51" s="8" t="s">
        <v>6</v>
      </c>
      <c r="B51" s="11" t="s">
        <v>48</v>
      </c>
      <c r="C51" s="19">
        <v>0.03</v>
      </c>
      <c r="D51" s="12">
        <f t="shared" si="0"/>
        <v>367.79</v>
      </c>
    </row>
    <row r="52" spans="1:4">
      <c r="A52" s="8" t="s">
        <v>8</v>
      </c>
      <c r="B52" s="11" t="s">
        <v>49</v>
      </c>
      <c r="C52" s="18">
        <v>1.4999999999999999E-2</v>
      </c>
      <c r="D52" s="12">
        <f t="shared" si="0"/>
        <v>183.89</v>
      </c>
    </row>
    <row r="53" spans="1:4">
      <c r="A53" s="8" t="s">
        <v>31</v>
      </c>
      <c r="B53" s="11" t="s">
        <v>50</v>
      </c>
      <c r="C53" s="18">
        <v>0.01</v>
      </c>
      <c r="D53" s="12">
        <f t="shared" si="0"/>
        <v>122.59</v>
      </c>
    </row>
    <row r="54" spans="1:4">
      <c r="A54" s="8" t="s">
        <v>51</v>
      </c>
      <c r="B54" s="11" t="s">
        <v>52</v>
      </c>
      <c r="C54" s="18">
        <v>6.0000000000000001E-3</v>
      </c>
      <c r="D54" s="12">
        <f t="shared" si="0"/>
        <v>73.55</v>
      </c>
    </row>
    <row r="55" spans="1:4">
      <c r="A55" s="8" t="s">
        <v>33</v>
      </c>
      <c r="B55" s="11" t="s">
        <v>53</v>
      </c>
      <c r="C55" s="18">
        <v>2E-3</v>
      </c>
      <c r="D55" s="12">
        <f t="shared" si="0"/>
        <v>24.51</v>
      </c>
    </row>
    <row r="56" spans="1:4">
      <c r="A56" s="8" t="s">
        <v>54</v>
      </c>
      <c r="B56" s="11" t="s">
        <v>55</v>
      </c>
      <c r="C56" s="18">
        <v>0.08</v>
      </c>
      <c r="D56" s="12">
        <f t="shared" si="0"/>
        <v>980.78</v>
      </c>
    </row>
    <row r="57" spans="1:4" ht="12.75" customHeight="1">
      <c r="A57" s="87" t="s">
        <v>56</v>
      </c>
      <c r="B57" s="87"/>
      <c r="C57" s="20">
        <f>SUM(C49:C56)</f>
        <v>0.36800000000000005</v>
      </c>
      <c r="D57" s="17">
        <f>SUM(D49:D56)</f>
        <v>4511.5600000000004</v>
      </c>
    </row>
    <row r="60" spans="1:4">
      <c r="A60" s="92" t="s">
        <v>57</v>
      </c>
      <c r="B60" s="92"/>
      <c r="C60" s="92"/>
      <c r="D60" s="92"/>
    </row>
    <row r="62" spans="1:4" ht="12.75" customHeight="1">
      <c r="A62" s="10" t="s">
        <v>58</v>
      </c>
      <c r="B62" s="93" t="s">
        <v>59</v>
      </c>
      <c r="C62" s="93"/>
      <c r="D62" s="10" t="s">
        <v>26</v>
      </c>
    </row>
    <row r="63" spans="1:4" ht="12.75" customHeight="1">
      <c r="A63" s="8" t="s">
        <v>2</v>
      </c>
      <c r="B63" s="88" t="s">
        <v>60</v>
      </c>
      <c r="C63" s="88"/>
      <c r="D63" s="12">
        <f>IF((23*2*4.4)-(D26*0.06)&lt;0,0,(23*2*4.4)-(D26*0.06))</f>
        <v>0</v>
      </c>
    </row>
    <row r="64" spans="1:4" ht="12.75" customHeight="1">
      <c r="A64" s="8" t="s">
        <v>4</v>
      </c>
      <c r="B64" s="88" t="s">
        <v>61</v>
      </c>
      <c r="C64" s="88"/>
      <c r="D64" s="12">
        <f>23*(29-2.9)</f>
        <v>600.30000000000007</v>
      </c>
    </row>
    <row r="65" spans="1:5" ht="12.75" customHeight="1">
      <c r="A65" s="8" t="s">
        <v>6</v>
      </c>
      <c r="B65" s="88" t="s">
        <v>62</v>
      </c>
      <c r="C65" s="88"/>
      <c r="D65" s="12">
        <f>200*0.7</f>
        <v>140</v>
      </c>
    </row>
    <row r="66" spans="1:5" ht="12.75" customHeight="1">
      <c r="A66" s="8" t="s">
        <v>8</v>
      </c>
      <c r="B66" s="88" t="s">
        <v>34</v>
      </c>
      <c r="C66" s="88"/>
      <c r="D66" s="12"/>
    </row>
    <row r="67" spans="1:5" ht="12.75" customHeight="1">
      <c r="A67" s="87" t="s">
        <v>35</v>
      </c>
      <c r="B67" s="87"/>
      <c r="C67" s="87"/>
      <c r="D67" s="17">
        <f>SUM(D63:D66)</f>
        <v>740.30000000000007</v>
      </c>
    </row>
    <row r="70" spans="1:5">
      <c r="A70" s="92" t="s">
        <v>63</v>
      </c>
      <c r="B70" s="92"/>
      <c r="C70" s="92"/>
      <c r="D70" s="92"/>
    </row>
    <row r="72" spans="1:5" ht="12.75" customHeight="1">
      <c r="A72" s="10">
        <v>2</v>
      </c>
      <c r="B72" s="93" t="s">
        <v>64</v>
      </c>
      <c r="C72" s="93"/>
      <c r="D72" s="10" t="s">
        <v>26</v>
      </c>
    </row>
    <row r="73" spans="1:5" ht="12.75" customHeight="1">
      <c r="A73" s="8" t="s">
        <v>38</v>
      </c>
      <c r="B73" s="88" t="s">
        <v>39</v>
      </c>
      <c r="C73" s="88"/>
      <c r="D73" s="21">
        <f>D43</f>
        <v>1995.3899999999999</v>
      </c>
    </row>
    <row r="74" spans="1:5" ht="12.75" customHeight="1">
      <c r="A74" s="8" t="s">
        <v>43</v>
      </c>
      <c r="B74" s="88" t="s">
        <v>44</v>
      </c>
      <c r="C74" s="88"/>
      <c r="D74" s="21">
        <f>D57</f>
        <v>4511.5600000000004</v>
      </c>
    </row>
    <row r="75" spans="1:5" ht="12.75" customHeight="1">
      <c r="A75" s="8" t="s">
        <v>58</v>
      </c>
      <c r="B75" s="88" t="s">
        <v>59</v>
      </c>
      <c r="C75" s="88"/>
      <c r="D75" s="21">
        <f>D67</f>
        <v>740.30000000000007</v>
      </c>
    </row>
    <row r="76" spans="1:5" ht="12.75" customHeight="1">
      <c r="A76" s="87" t="s">
        <v>35</v>
      </c>
      <c r="B76" s="87"/>
      <c r="C76" s="87"/>
      <c r="D76" s="17">
        <f>SUM(D73:D75)</f>
        <v>7247.2500000000009</v>
      </c>
    </row>
    <row r="77" spans="1:5">
      <c r="A77" s="22"/>
      <c r="E77" s="23"/>
    </row>
    <row r="79" spans="1:5">
      <c r="A79" s="90" t="s">
        <v>65</v>
      </c>
      <c r="B79" s="90"/>
      <c r="C79" s="90"/>
      <c r="D79" s="90"/>
      <c r="E79" s="24"/>
    </row>
    <row r="80" spans="1:5" ht="12.75" customHeight="1">
      <c r="E80" s="23"/>
    </row>
    <row r="81" spans="1:4" ht="12.75" customHeight="1">
      <c r="A81" s="10">
        <v>3</v>
      </c>
      <c r="B81" s="93" t="s">
        <v>66</v>
      </c>
      <c r="C81" s="93"/>
      <c r="D81" s="10" t="s">
        <v>26</v>
      </c>
    </row>
    <row r="82" spans="1:4">
      <c r="A82" s="8" t="s">
        <v>2</v>
      </c>
      <c r="B82" s="25" t="s">
        <v>67</v>
      </c>
      <c r="C82" s="18">
        <f>TRUNC(((1/12)*5%),4)</f>
        <v>4.1000000000000003E-3</v>
      </c>
      <c r="D82" s="12">
        <f>TRUNC($D$33*C82,2)</f>
        <v>42.08</v>
      </c>
    </row>
    <row r="83" spans="1:4">
      <c r="A83" s="8" t="s">
        <v>4</v>
      </c>
      <c r="B83" s="25" t="s">
        <v>68</v>
      </c>
      <c r="C83" s="18">
        <v>0.08</v>
      </c>
      <c r="D83" s="12">
        <f>TRUNC(D82*C83,2)</f>
        <v>3.36</v>
      </c>
    </row>
    <row r="84" spans="1:4">
      <c r="A84" s="8" t="s">
        <v>6</v>
      </c>
      <c r="B84" s="25" t="s">
        <v>69</v>
      </c>
      <c r="C84" s="18">
        <f>TRUNC(8%*5%*40%,4)</f>
        <v>1.6000000000000001E-3</v>
      </c>
      <c r="D84" s="12">
        <f>TRUNC($D$33*C84,2)</f>
        <v>16.420000000000002</v>
      </c>
    </row>
    <row r="85" spans="1:4">
      <c r="A85" s="8" t="s">
        <v>8</v>
      </c>
      <c r="B85" s="25" t="s">
        <v>70</v>
      </c>
      <c r="C85" s="18">
        <f>TRUNC(((7/30)/12)*95%,4)</f>
        <v>1.84E-2</v>
      </c>
      <c r="D85" s="12">
        <f>TRUNC($D$33*C85,2)</f>
        <v>188.86</v>
      </c>
    </row>
    <row r="86" spans="1:4" ht="25.5">
      <c r="A86" s="8" t="s">
        <v>31</v>
      </c>
      <c r="B86" s="25" t="s">
        <v>71</v>
      </c>
      <c r="C86" s="18">
        <f>C57</f>
        <v>0.36800000000000005</v>
      </c>
      <c r="D86" s="12">
        <f>TRUNC(D85*C86,2)</f>
        <v>69.5</v>
      </c>
    </row>
    <row r="87" spans="1:4">
      <c r="A87" s="8" t="s">
        <v>51</v>
      </c>
      <c r="B87" s="25" t="s">
        <v>72</v>
      </c>
      <c r="C87" s="18">
        <f>TRUNC(8%*95%*40%,4)</f>
        <v>3.04E-2</v>
      </c>
      <c r="D87" s="12">
        <f>TRUNC($D$33*C87,2)</f>
        <v>312.02999999999997</v>
      </c>
    </row>
    <row r="88" spans="1:4" ht="12.75" customHeight="1">
      <c r="A88" s="87" t="s">
        <v>35</v>
      </c>
      <c r="B88" s="87"/>
      <c r="C88" s="87"/>
      <c r="D88" s="17">
        <f>SUM(D82:D87)</f>
        <v>632.25</v>
      </c>
    </row>
    <row r="91" spans="1:4">
      <c r="A91" s="90" t="s">
        <v>73</v>
      </c>
      <c r="B91" s="90"/>
      <c r="C91" s="90"/>
      <c r="D91" s="90"/>
    </row>
    <row r="94" spans="1:4">
      <c r="A94" s="92" t="s">
        <v>74</v>
      </c>
      <c r="B94" s="92"/>
      <c r="C94" s="92"/>
      <c r="D94" s="92"/>
    </row>
    <row r="95" spans="1:4">
      <c r="A95" s="14"/>
    </row>
    <row r="96" spans="1:4" ht="12.75" customHeight="1">
      <c r="A96" s="10" t="s">
        <v>75</v>
      </c>
      <c r="B96" s="93" t="s">
        <v>76</v>
      </c>
      <c r="C96" s="93"/>
      <c r="D96" s="10" t="s">
        <v>26</v>
      </c>
    </row>
    <row r="97" spans="1:6">
      <c r="A97" s="8" t="s">
        <v>2</v>
      </c>
      <c r="B97" s="11" t="s">
        <v>77</v>
      </c>
      <c r="C97" s="18">
        <f>TRUNC(((1+1/3)/12)/12,4)</f>
        <v>9.1999999999999998E-3</v>
      </c>
      <c r="D97" s="12">
        <f t="shared" ref="D97:D102" si="1">TRUNC(($D$33+$D$76+$D$88)*C97,2)</f>
        <v>166.92</v>
      </c>
    </row>
    <row r="98" spans="1:6">
      <c r="A98" s="8" t="s">
        <v>4</v>
      </c>
      <c r="B98" s="11" t="s">
        <v>78</v>
      </c>
      <c r="C98" s="18">
        <f>TRUNC(((2/30)/12),4)</f>
        <v>5.4999999999999997E-3</v>
      </c>
      <c r="D98" s="12">
        <f t="shared" si="1"/>
        <v>99.79</v>
      </c>
    </row>
    <row r="99" spans="1:6">
      <c r="A99" s="8" t="s">
        <v>6</v>
      </c>
      <c r="B99" s="11" t="s">
        <v>79</v>
      </c>
      <c r="C99" s="18">
        <f>TRUNC(((5/30)/12)*2%,4)</f>
        <v>2.0000000000000001E-4</v>
      </c>
      <c r="D99" s="12">
        <f t="shared" si="1"/>
        <v>3.62</v>
      </c>
    </row>
    <row r="100" spans="1:6">
      <c r="A100" s="8" t="s">
        <v>8</v>
      </c>
      <c r="B100" s="11" t="s">
        <v>80</v>
      </c>
      <c r="C100" s="18">
        <f>TRUNC(((15/30)/12)*8%,4)</f>
        <v>3.3E-3</v>
      </c>
      <c r="D100" s="12">
        <f t="shared" si="1"/>
        <v>59.87</v>
      </c>
    </row>
    <row r="101" spans="1:6">
      <c r="A101" s="8" t="s">
        <v>31</v>
      </c>
      <c r="B101" s="11" t="s">
        <v>81</v>
      </c>
      <c r="C101" s="18">
        <f>((1+1/3)/12)*3%*(6/12)</f>
        <v>1.6666666666666666E-3</v>
      </c>
      <c r="D101" s="12">
        <f t="shared" si="1"/>
        <v>30.23</v>
      </c>
    </row>
    <row r="102" spans="1:6">
      <c r="A102" s="8" t="s">
        <v>51</v>
      </c>
      <c r="B102" s="11" t="s">
        <v>82</v>
      </c>
      <c r="C102" s="18"/>
      <c r="D102" s="12">
        <f t="shared" si="1"/>
        <v>0</v>
      </c>
    </row>
    <row r="103" spans="1:6" ht="12.75" customHeight="1">
      <c r="A103" s="87" t="s">
        <v>56</v>
      </c>
      <c r="B103" s="87"/>
      <c r="C103" s="87"/>
      <c r="D103" s="17">
        <f>SUM(D97:D102)</f>
        <v>360.43</v>
      </c>
      <c r="E103" s="24"/>
      <c r="F103" s="24"/>
    </row>
    <row r="106" spans="1:6">
      <c r="A106" s="92" t="s">
        <v>83</v>
      </c>
      <c r="B106" s="92"/>
      <c r="C106" s="92"/>
      <c r="D106" s="92"/>
    </row>
    <row r="107" spans="1:6">
      <c r="A107" s="14"/>
    </row>
    <row r="108" spans="1:6" ht="12.75" customHeight="1">
      <c r="A108" s="10" t="s">
        <v>84</v>
      </c>
      <c r="B108" s="93" t="s">
        <v>85</v>
      </c>
      <c r="C108" s="93"/>
      <c r="D108" s="10" t="s">
        <v>26</v>
      </c>
    </row>
    <row r="109" spans="1:6" ht="12.75" customHeight="1">
      <c r="A109" s="8" t="s">
        <v>2</v>
      </c>
      <c r="B109" s="88" t="s">
        <v>86</v>
      </c>
      <c r="C109" s="88"/>
      <c r="D109" s="12">
        <f>((D33+D76+D88)/220)*22*0</f>
        <v>0</v>
      </c>
    </row>
    <row r="110" spans="1:6" ht="12.75" customHeight="1">
      <c r="A110" s="87" t="s">
        <v>35</v>
      </c>
      <c r="B110" s="87"/>
      <c r="C110" s="87"/>
      <c r="D110" s="17">
        <f>SUM(D109)</f>
        <v>0</v>
      </c>
    </row>
    <row r="113" spans="1:4">
      <c r="A113" s="92" t="s">
        <v>87</v>
      </c>
      <c r="B113" s="92"/>
      <c r="C113" s="92"/>
      <c r="D113" s="92"/>
    </row>
    <row r="114" spans="1:4">
      <c r="A114" s="14"/>
    </row>
    <row r="115" spans="1:4" ht="12.75" customHeight="1">
      <c r="A115" s="10">
        <v>4</v>
      </c>
      <c r="B115" s="87" t="s">
        <v>88</v>
      </c>
      <c r="C115" s="87"/>
      <c r="D115" s="10" t="s">
        <v>26</v>
      </c>
    </row>
    <row r="116" spans="1:4" ht="12.75" customHeight="1">
      <c r="A116" s="8" t="s">
        <v>75</v>
      </c>
      <c r="B116" s="88" t="s">
        <v>76</v>
      </c>
      <c r="C116" s="88"/>
      <c r="D116" s="21">
        <f>D103</f>
        <v>360.43</v>
      </c>
    </row>
    <row r="117" spans="1:4" ht="12.75" customHeight="1">
      <c r="A117" s="8" t="s">
        <v>84</v>
      </c>
      <c r="B117" s="88" t="s">
        <v>85</v>
      </c>
      <c r="C117" s="88"/>
      <c r="D117" s="21">
        <f>D110</f>
        <v>0</v>
      </c>
    </row>
    <row r="118" spans="1:4" ht="12.75" customHeight="1">
      <c r="A118" s="87" t="s">
        <v>35</v>
      </c>
      <c r="B118" s="87"/>
      <c r="C118" s="87"/>
      <c r="D118" s="17">
        <f>SUM(D116:D117)</f>
        <v>360.43</v>
      </c>
    </row>
    <row r="121" spans="1:4">
      <c r="A121" s="90" t="s">
        <v>89</v>
      </c>
      <c r="B121" s="90"/>
      <c r="C121" s="90"/>
      <c r="D121" s="90"/>
    </row>
    <row r="123" spans="1:4" ht="12.75" customHeight="1">
      <c r="A123" s="10">
        <v>5</v>
      </c>
      <c r="B123" s="91" t="s">
        <v>90</v>
      </c>
      <c r="C123" s="91"/>
      <c r="D123" s="10" t="s">
        <v>26</v>
      </c>
    </row>
    <row r="124" spans="1:4">
      <c r="A124" s="8" t="s">
        <v>2</v>
      </c>
      <c r="B124" s="11" t="s">
        <v>91</v>
      </c>
      <c r="C124" s="11"/>
      <c r="D124" s="12">
        <v>4.53</v>
      </c>
    </row>
    <row r="125" spans="1:4">
      <c r="A125" s="8" t="s">
        <v>4</v>
      </c>
      <c r="B125" s="11" t="s">
        <v>92</v>
      </c>
      <c r="C125" s="11"/>
      <c r="D125" s="12"/>
    </row>
    <row r="126" spans="1:4">
      <c r="A126" s="8" t="s">
        <v>6</v>
      </c>
      <c r="B126" s="11" t="s">
        <v>93</v>
      </c>
      <c r="C126" s="11"/>
      <c r="D126" s="12"/>
    </row>
    <row r="127" spans="1:4">
      <c r="A127" s="8" t="s">
        <v>8</v>
      </c>
      <c r="B127" s="11" t="s">
        <v>34</v>
      </c>
      <c r="C127" s="11"/>
      <c r="D127" s="12"/>
    </row>
    <row r="128" spans="1:4" ht="12.75" customHeight="1">
      <c r="A128" s="87" t="s">
        <v>56</v>
      </c>
      <c r="B128" s="87"/>
      <c r="C128" s="87"/>
      <c r="D128" s="13">
        <f>SUM(D124:D127)</f>
        <v>4.53</v>
      </c>
    </row>
    <row r="131" spans="1:4">
      <c r="A131" s="90" t="s">
        <v>95</v>
      </c>
      <c r="B131" s="90"/>
      <c r="C131" s="90"/>
      <c r="D131" s="90"/>
    </row>
    <row r="133" spans="1:4">
      <c r="A133" s="10">
        <v>6</v>
      </c>
      <c r="B133" s="26" t="s">
        <v>96</v>
      </c>
      <c r="C133" s="10" t="s">
        <v>45</v>
      </c>
      <c r="D133" s="10" t="s">
        <v>26</v>
      </c>
    </row>
    <row r="134" spans="1:4">
      <c r="A134" s="8" t="s">
        <v>2</v>
      </c>
      <c r="B134" s="11" t="s">
        <v>97</v>
      </c>
      <c r="C134" s="18">
        <v>0.05</v>
      </c>
      <c r="D134" s="21">
        <f>D154*C134</f>
        <v>925.44400000000007</v>
      </c>
    </row>
    <row r="135" spans="1:4">
      <c r="A135" s="8" t="s">
        <v>4</v>
      </c>
      <c r="B135" s="11" t="s">
        <v>98</v>
      </c>
      <c r="C135" s="18">
        <v>0.06</v>
      </c>
      <c r="D135" s="12">
        <f>(D154+D134)*C135</f>
        <v>1166.05944</v>
      </c>
    </row>
    <row r="136" spans="1:4">
      <c r="A136" s="8" t="s">
        <v>6</v>
      </c>
      <c r="B136" s="11" t="s">
        <v>99</v>
      </c>
      <c r="C136" s="15">
        <f>SUM(C137:C142)</f>
        <v>8.6499999999999994E-2</v>
      </c>
      <c r="D136" s="12">
        <f>(D154+D134+D135)*C136/(1-C136)</f>
        <v>1950.6657554022988</v>
      </c>
    </row>
    <row r="137" spans="1:4">
      <c r="A137" s="8"/>
      <c r="B137" s="11" t="s">
        <v>100</v>
      </c>
      <c r="C137" s="18"/>
      <c r="D137" s="21">
        <f t="shared" ref="D137:D142" si="2">$D$156*C137</f>
        <v>0</v>
      </c>
    </row>
    <row r="138" spans="1:4">
      <c r="A138" s="8"/>
      <c r="B138" s="11" t="s">
        <v>101</v>
      </c>
      <c r="C138" s="18">
        <v>6.4999999999999997E-3</v>
      </c>
      <c r="D138" s="21">
        <f t="shared" si="2"/>
        <v>146.58182499999998</v>
      </c>
    </row>
    <row r="139" spans="1:4">
      <c r="A139" s="8"/>
      <c r="B139" s="11" t="s">
        <v>102</v>
      </c>
      <c r="C139" s="18">
        <v>0.03</v>
      </c>
      <c r="D139" s="21">
        <f t="shared" si="2"/>
        <v>676.53149999999994</v>
      </c>
    </row>
    <row r="140" spans="1:4">
      <c r="A140" s="8"/>
      <c r="B140" s="11" t="s">
        <v>103</v>
      </c>
      <c r="C140" s="8"/>
      <c r="D140" s="21">
        <f t="shared" si="2"/>
        <v>0</v>
      </c>
    </row>
    <row r="141" spans="1:4">
      <c r="A141" s="8"/>
      <c r="B141" s="11" t="s">
        <v>104</v>
      </c>
      <c r="C141" s="18"/>
      <c r="D141" s="21">
        <f t="shared" si="2"/>
        <v>0</v>
      </c>
    </row>
    <row r="142" spans="1:4">
      <c r="A142" s="8"/>
      <c r="B142" s="11" t="s">
        <v>105</v>
      </c>
      <c r="C142" s="18">
        <v>0.05</v>
      </c>
      <c r="D142" s="21">
        <f t="shared" si="2"/>
        <v>1127.5525</v>
      </c>
    </row>
    <row r="143" spans="1:4" ht="13.5" customHeight="1">
      <c r="A143" s="89" t="s">
        <v>56</v>
      </c>
      <c r="B143" s="89"/>
      <c r="C143" s="27">
        <f>(1+C135)*(1+C134)/(1-C136)-1</f>
        <v>0.21839080459770144</v>
      </c>
      <c r="D143" s="17">
        <f>SUM(D134:D136)</f>
        <v>4042.169195402299</v>
      </c>
    </row>
    <row r="146" spans="1:4">
      <c r="A146" s="90" t="s">
        <v>106</v>
      </c>
      <c r="B146" s="90"/>
      <c r="C146" s="90"/>
      <c r="D146" s="90"/>
    </row>
    <row r="148" spans="1:4" ht="12.75" customHeight="1">
      <c r="A148" s="10"/>
      <c r="B148" s="87" t="s">
        <v>107</v>
      </c>
      <c r="C148" s="87"/>
      <c r="D148" s="10" t="s">
        <v>26</v>
      </c>
    </row>
    <row r="149" spans="1:4" ht="12.75" customHeight="1">
      <c r="A149" s="10" t="s">
        <v>2</v>
      </c>
      <c r="B149" s="88" t="s">
        <v>24</v>
      </c>
      <c r="C149" s="88"/>
      <c r="D149" s="28">
        <f>D33</f>
        <v>10264.42</v>
      </c>
    </row>
    <row r="150" spans="1:4" ht="12.75" customHeight="1">
      <c r="A150" s="10" t="s">
        <v>4</v>
      </c>
      <c r="B150" s="88" t="s">
        <v>36</v>
      </c>
      <c r="C150" s="88"/>
      <c r="D150" s="28">
        <f>D76</f>
        <v>7247.2500000000009</v>
      </c>
    </row>
    <row r="151" spans="1:4" ht="12.75" customHeight="1">
      <c r="A151" s="10" t="s">
        <v>6</v>
      </c>
      <c r="B151" s="88" t="s">
        <v>65</v>
      </c>
      <c r="C151" s="88"/>
      <c r="D151" s="28">
        <f>D88</f>
        <v>632.25</v>
      </c>
    </row>
    <row r="152" spans="1:4" ht="12.75" customHeight="1">
      <c r="A152" s="10" t="s">
        <v>8</v>
      </c>
      <c r="B152" s="88" t="s">
        <v>73</v>
      </c>
      <c r="C152" s="88"/>
      <c r="D152" s="28">
        <f>D118</f>
        <v>360.43</v>
      </c>
    </row>
    <row r="153" spans="1:4" ht="12.75" customHeight="1">
      <c r="A153" s="10" t="s">
        <v>31</v>
      </c>
      <c r="B153" s="88" t="s">
        <v>89</v>
      </c>
      <c r="C153" s="88"/>
      <c r="D153" s="28">
        <f>D128</f>
        <v>4.53</v>
      </c>
    </row>
    <row r="154" spans="1:4" ht="12.75" customHeight="1">
      <c r="A154" s="87" t="s">
        <v>108</v>
      </c>
      <c r="B154" s="87"/>
      <c r="C154" s="87"/>
      <c r="D154" s="29">
        <f>SUM(D149:D153)</f>
        <v>18508.88</v>
      </c>
    </row>
    <row r="155" spans="1:4" ht="12.75" customHeight="1">
      <c r="A155" s="10" t="s">
        <v>51</v>
      </c>
      <c r="B155" s="88" t="s">
        <v>109</v>
      </c>
      <c r="C155" s="88"/>
      <c r="D155" s="30">
        <f>D143</f>
        <v>4042.169195402299</v>
      </c>
    </row>
    <row r="156" spans="1:4" ht="12.75" customHeight="1">
      <c r="A156" s="87" t="s">
        <v>110</v>
      </c>
      <c r="B156" s="87"/>
      <c r="C156" s="87"/>
      <c r="D156" s="29">
        <f>ROUND(SUM(D154:D155),2)</f>
        <v>22551.05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39" zoomScale="115" zoomScaleNormal="115" workbookViewId="0">
      <selection activeCell="A13" sqref="A13:B13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97" t="s">
        <v>0</v>
      </c>
      <c r="B1" s="97"/>
      <c r="C1" s="97"/>
      <c r="D1" s="97"/>
    </row>
    <row r="2" spans="1:4" ht="15.75">
      <c r="A2" s="2"/>
      <c r="B2" s="2"/>
      <c r="C2" s="2"/>
      <c r="D2" s="2"/>
    </row>
    <row r="3" spans="1:4">
      <c r="A3" s="90" t="s">
        <v>1</v>
      </c>
      <c r="B3" s="90"/>
      <c r="C3" s="90"/>
      <c r="D3" s="90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90" t="s">
        <v>10</v>
      </c>
      <c r="B10" s="90"/>
      <c r="C10" s="90"/>
      <c r="D10" s="90"/>
    </row>
    <row r="11" spans="1:4">
      <c r="A11" s="3"/>
      <c r="B11" s="3"/>
      <c r="C11" s="3"/>
      <c r="D11" s="3"/>
    </row>
    <row r="12" spans="1:4" ht="38.25" customHeight="1">
      <c r="A12" s="98" t="s">
        <v>11</v>
      </c>
      <c r="B12" s="98"/>
      <c r="C12" s="8" t="s">
        <v>12</v>
      </c>
      <c r="D12" s="9" t="s">
        <v>13</v>
      </c>
    </row>
    <row r="13" spans="1:4" ht="30" customHeight="1">
      <c r="A13" s="99" t="s">
        <v>124</v>
      </c>
      <c r="B13" s="99"/>
      <c r="C13" s="7" t="s">
        <v>15</v>
      </c>
      <c r="D13" s="7">
        <v>1</v>
      </c>
    </row>
    <row r="15" spans="1:4">
      <c r="A15" s="90" t="s">
        <v>16</v>
      </c>
      <c r="B15" s="90"/>
      <c r="C15" s="90"/>
      <c r="D15" s="90"/>
    </row>
    <row r="16" spans="1:4">
      <c r="A16" s="3"/>
      <c r="B16" s="3"/>
      <c r="C16" s="3"/>
      <c r="D16" s="3"/>
    </row>
    <row r="17" spans="1:4">
      <c r="A17" s="4">
        <v>1</v>
      </c>
      <c r="B17" s="4" t="s">
        <v>17</v>
      </c>
      <c r="C17" s="95" t="s">
        <v>116</v>
      </c>
      <c r="D17" s="95"/>
    </row>
    <row r="18" spans="1:4">
      <c r="A18" s="4">
        <v>2</v>
      </c>
      <c r="B18" s="4" t="s">
        <v>19</v>
      </c>
      <c r="C18" s="95" t="s">
        <v>117</v>
      </c>
      <c r="D18" s="95"/>
    </row>
    <row r="19" spans="1:4">
      <c r="A19" s="4">
        <v>3</v>
      </c>
      <c r="B19" s="4" t="s">
        <v>21</v>
      </c>
      <c r="C19" s="96">
        <v>1100</v>
      </c>
      <c r="D19" s="96"/>
    </row>
    <row r="20" spans="1:4">
      <c r="A20" s="4">
        <v>4</v>
      </c>
      <c r="B20" s="4" t="s">
        <v>22</v>
      </c>
      <c r="C20" s="95"/>
      <c r="D20" s="95"/>
    </row>
    <row r="21" spans="1:4">
      <c r="A21" s="4">
        <v>5</v>
      </c>
      <c r="B21" s="4" t="s">
        <v>23</v>
      </c>
      <c r="C21" s="95"/>
      <c r="D21" s="95"/>
    </row>
    <row r="23" spans="1:4">
      <c r="A23" s="90" t="s">
        <v>24</v>
      </c>
      <c r="B23" s="90"/>
      <c r="C23" s="90"/>
      <c r="D23" s="90"/>
    </row>
    <row r="25" spans="1:4" ht="12.75" customHeight="1">
      <c r="A25" s="10">
        <v>1</v>
      </c>
      <c r="B25" s="87" t="s">
        <v>25</v>
      </c>
      <c r="C25" s="87"/>
      <c r="D25" s="10" t="s">
        <v>26</v>
      </c>
    </row>
    <row r="26" spans="1:4" ht="12.75" customHeight="1">
      <c r="A26" s="8" t="s">
        <v>2</v>
      </c>
      <c r="B26" s="88" t="s">
        <v>27</v>
      </c>
      <c r="C26" s="88"/>
      <c r="D26" s="12">
        <v>3285.75</v>
      </c>
    </row>
    <row r="27" spans="1:4" ht="12.75" customHeight="1">
      <c r="A27" s="8" t="s">
        <v>4</v>
      </c>
      <c r="B27" s="88" t="s">
        <v>28</v>
      </c>
      <c r="C27" s="88"/>
      <c r="D27" s="12"/>
    </row>
    <row r="28" spans="1:4" ht="12.75" customHeight="1">
      <c r="A28" s="8" t="s">
        <v>6</v>
      </c>
      <c r="B28" s="88" t="s">
        <v>29</v>
      </c>
      <c r="C28" s="88"/>
      <c r="D28" s="12"/>
    </row>
    <row r="29" spans="1:4" ht="12.75" customHeight="1">
      <c r="A29" s="8" t="s">
        <v>8</v>
      </c>
      <c r="B29" s="88" t="s">
        <v>30</v>
      </c>
      <c r="C29" s="88"/>
      <c r="D29" s="12"/>
    </row>
    <row r="30" spans="1:4" ht="12.75" customHeight="1">
      <c r="A30" s="8" t="s">
        <v>31</v>
      </c>
      <c r="B30" s="88" t="s">
        <v>32</v>
      </c>
      <c r="C30" s="88"/>
      <c r="D30" s="12"/>
    </row>
    <row r="31" spans="1:4">
      <c r="A31" s="8"/>
      <c r="B31" s="88"/>
      <c r="C31" s="88"/>
      <c r="D31" s="12"/>
    </row>
    <row r="32" spans="1:4" ht="12.75" customHeight="1">
      <c r="A32" s="8" t="s">
        <v>33</v>
      </c>
      <c r="B32" s="88" t="s">
        <v>34</v>
      </c>
      <c r="C32" s="88"/>
      <c r="D32" s="12"/>
    </row>
    <row r="33" spans="1:4" ht="12.75" customHeight="1">
      <c r="A33" s="87" t="s">
        <v>35</v>
      </c>
      <c r="B33" s="87"/>
      <c r="C33" s="87"/>
      <c r="D33" s="13">
        <f>SUM(D26:D32)</f>
        <v>3285.75</v>
      </c>
    </row>
    <row r="36" spans="1:4">
      <c r="A36" s="90" t="s">
        <v>36</v>
      </c>
      <c r="B36" s="90"/>
      <c r="C36" s="90"/>
      <c r="D36" s="90"/>
    </row>
    <row r="37" spans="1:4">
      <c r="A37" s="14"/>
    </row>
    <row r="38" spans="1:4">
      <c r="A38" s="92" t="s">
        <v>37</v>
      </c>
      <c r="B38" s="92"/>
      <c r="C38" s="92"/>
      <c r="D38" s="92"/>
    </row>
    <row r="40" spans="1:4" ht="12.75" customHeight="1">
      <c r="A40" s="10" t="s">
        <v>38</v>
      </c>
      <c r="B40" s="87" t="s">
        <v>39</v>
      </c>
      <c r="C40" s="87"/>
      <c r="D40" s="10" t="s">
        <v>26</v>
      </c>
    </row>
    <row r="41" spans="1:4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273.7</v>
      </c>
    </row>
    <row r="42" spans="1:4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365.04</v>
      </c>
    </row>
    <row r="43" spans="1:4" ht="12.75" customHeight="1">
      <c r="A43" s="87" t="s">
        <v>35</v>
      </c>
      <c r="B43" s="87"/>
      <c r="C43" s="16">
        <f>SUM(C41:C42)</f>
        <v>0.19440000000000002</v>
      </c>
      <c r="D43" s="17">
        <f>SUM(D41:D42)</f>
        <v>638.74</v>
      </c>
    </row>
    <row r="46" spans="1:4" ht="12.75" customHeight="1">
      <c r="A46" s="94" t="s">
        <v>42</v>
      </c>
      <c r="B46" s="94"/>
      <c r="C46" s="94"/>
      <c r="D46" s="94"/>
    </row>
    <row r="48" spans="1:4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784.89</v>
      </c>
    </row>
    <row r="50" spans="1:4">
      <c r="A50" s="8" t="s">
        <v>4</v>
      </c>
      <c r="B50" s="11" t="s">
        <v>47</v>
      </c>
      <c r="C50" s="18">
        <v>2.5000000000000001E-2</v>
      </c>
      <c r="D50" s="12">
        <f t="shared" si="0"/>
        <v>98.11</v>
      </c>
    </row>
    <row r="51" spans="1:4">
      <c r="A51" s="8" t="s">
        <v>6</v>
      </c>
      <c r="B51" s="11" t="s">
        <v>48</v>
      </c>
      <c r="C51" s="19">
        <v>0.03</v>
      </c>
      <c r="D51" s="12">
        <f t="shared" si="0"/>
        <v>117.73</v>
      </c>
    </row>
    <row r="52" spans="1:4">
      <c r="A52" s="8" t="s">
        <v>8</v>
      </c>
      <c r="B52" s="11" t="s">
        <v>49</v>
      </c>
      <c r="C52" s="18">
        <v>1.4999999999999999E-2</v>
      </c>
      <c r="D52" s="12">
        <f t="shared" si="0"/>
        <v>58.86</v>
      </c>
    </row>
    <row r="53" spans="1:4">
      <c r="A53" s="8" t="s">
        <v>31</v>
      </c>
      <c r="B53" s="11" t="s">
        <v>50</v>
      </c>
      <c r="C53" s="18">
        <v>0.01</v>
      </c>
      <c r="D53" s="12">
        <f t="shared" si="0"/>
        <v>39.24</v>
      </c>
    </row>
    <row r="54" spans="1:4">
      <c r="A54" s="8" t="s">
        <v>51</v>
      </c>
      <c r="B54" s="11" t="s">
        <v>52</v>
      </c>
      <c r="C54" s="18">
        <v>6.0000000000000001E-3</v>
      </c>
      <c r="D54" s="12">
        <f t="shared" si="0"/>
        <v>23.54</v>
      </c>
    </row>
    <row r="55" spans="1:4">
      <c r="A55" s="8" t="s">
        <v>33</v>
      </c>
      <c r="B55" s="11" t="s">
        <v>53</v>
      </c>
      <c r="C55" s="18">
        <v>2E-3</v>
      </c>
      <c r="D55" s="12">
        <f t="shared" si="0"/>
        <v>7.84</v>
      </c>
    </row>
    <row r="56" spans="1:4">
      <c r="A56" s="8" t="s">
        <v>54</v>
      </c>
      <c r="B56" s="11" t="s">
        <v>55</v>
      </c>
      <c r="C56" s="18">
        <v>0.08</v>
      </c>
      <c r="D56" s="12">
        <f t="shared" si="0"/>
        <v>313.95</v>
      </c>
    </row>
    <row r="57" spans="1:4" ht="12.75" customHeight="1">
      <c r="A57" s="87" t="s">
        <v>56</v>
      </c>
      <c r="B57" s="87"/>
      <c r="C57" s="20">
        <f>SUM(C49:C56)</f>
        <v>0.36800000000000005</v>
      </c>
      <c r="D57" s="17">
        <f>SUM(D49:D56)</f>
        <v>1444.1599999999999</v>
      </c>
    </row>
    <row r="60" spans="1:4">
      <c r="A60" s="92" t="s">
        <v>57</v>
      </c>
      <c r="B60" s="92"/>
      <c r="C60" s="92"/>
      <c r="D60" s="92"/>
    </row>
    <row r="62" spans="1:4" ht="12.75" customHeight="1">
      <c r="A62" s="10" t="s">
        <v>58</v>
      </c>
      <c r="B62" s="93" t="s">
        <v>59</v>
      </c>
      <c r="C62" s="93"/>
      <c r="D62" s="10" t="s">
        <v>26</v>
      </c>
    </row>
    <row r="63" spans="1:4" ht="12.75" customHeight="1">
      <c r="A63" s="8" t="s">
        <v>2</v>
      </c>
      <c r="B63" s="88" t="s">
        <v>60</v>
      </c>
      <c r="C63" s="88"/>
      <c r="D63" s="12">
        <f>IF((23*2*4.4)-(D26*0.06)&lt;0,0,(23*2*4.4)-(D26*0.06))</f>
        <v>5.2550000000000239</v>
      </c>
    </row>
    <row r="64" spans="1:4" ht="12.75" customHeight="1">
      <c r="A64" s="8" t="s">
        <v>4</v>
      </c>
      <c r="B64" s="88" t="s">
        <v>61</v>
      </c>
      <c r="C64" s="88"/>
      <c r="D64" s="12">
        <f>23*(29-2.9)</f>
        <v>600.30000000000007</v>
      </c>
    </row>
    <row r="65" spans="1:5" ht="12.75" customHeight="1">
      <c r="A65" s="8" t="s">
        <v>6</v>
      </c>
      <c r="B65" s="88" t="s">
        <v>62</v>
      </c>
      <c r="C65" s="88"/>
      <c r="D65" s="12">
        <f>200*0.7</f>
        <v>140</v>
      </c>
    </row>
    <row r="66" spans="1:5" ht="12.75" customHeight="1">
      <c r="A66" s="8" t="s">
        <v>8</v>
      </c>
      <c r="B66" s="88" t="s">
        <v>34</v>
      </c>
      <c r="C66" s="88"/>
      <c r="D66" s="12"/>
    </row>
    <row r="67" spans="1:5" ht="12.75" customHeight="1">
      <c r="A67" s="87" t="s">
        <v>35</v>
      </c>
      <c r="B67" s="87"/>
      <c r="C67" s="87"/>
      <c r="D67" s="17">
        <f>SUM(D63:D66)</f>
        <v>745.55500000000006</v>
      </c>
    </row>
    <row r="70" spans="1:5">
      <c r="A70" s="92" t="s">
        <v>63</v>
      </c>
      <c r="B70" s="92"/>
      <c r="C70" s="92"/>
      <c r="D70" s="92"/>
    </row>
    <row r="72" spans="1:5" ht="12.75" customHeight="1">
      <c r="A72" s="10">
        <v>2</v>
      </c>
      <c r="B72" s="93" t="s">
        <v>64</v>
      </c>
      <c r="C72" s="93"/>
      <c r="D72" s="10" t="s">
        <v>26</v>
      </c>
    </row>
    <row r="73" spans="1:5" ht="12.75" customHeight="1">
      <c r="A73" s="8" t="s">
        <v>38</v>
      </c>
      <c r="B73" s="88" t="s">
        <v>39</v>
      </c>
      <c r="C73" s="88"/>
      <c r="D73" s="21">
        <f>D43</f>
        <v>638.74</v>
      </c>
    </row>
    <row r="74" spans="1:5" ht="12.75" customHeight="1">
      <c r="A74" s="8" t="s">
        <v>43</v>
      </c>
      <c r="B74" s="88" t="s">
        <v>44</v>
      </c>
      <c r="C74" s="88"/>
      <c r="D74" s="21">
        <f>D57</f>
        <v>1444.1599999999999</v>
      </c>
    </row>
    <row r="75" spans="1:5" ht="12.75" customHeight="1">
      <c r="A75" s="8" t="s">
        <v>58</v>
      </c>
      <c r="B75" s="88" t="s">
        <v>59</v>
      </c>
      <c r="C75" s="88"/>
      <c r="D75" s="21">
        <f>D67</f>
        <v>745.55500000000006</v>
      </c>
    </row>
    <row r="76" spans="1:5" ht="12.75" customHeight="1">
      <c r="A76" s="87" t="s">
        <v>35</v>
      </c>
      <c r="B76" s="87"/>
      <c r="C76" s="87"/>
      <c r="D76" s="17">
        <f>SUM(D73:D75)</f>
        <v>2828.4549999999999</v>
      </c>
    </row>
    <row r="77" spans="1:5">
      <c r="A77" s="22"/>
      <c r="E77" s="23"/>
    </row>
    <row r="79" spans="1:5">
      <c r="A79" s="90" t="s">
        <v>65</v>
      </c>
      <c r="B79" s="90"/>
      <c r="C79" s="90"/>
      <c r="D79" s="90"/>
      <c r="E79" s="24"/>
    </row>
    <row r="80" spans="1:5" ht="12.75" customHeight="1">
      <c r="E80" s="23"/>
    </row>
    <row r="81" spans="1:4" ht="12.75" customHeight="1">
      <c r="A81" s="10">
        <v>3</v>
      </c>
      <c r="B81" s="93" t="s">
        <v>66</v>
      </c>
      <c r="C81" s="93"/>
      <c r="D81" s="10" t="s">
        <v>26</v>
      </c>
    </row>
    <row r="82" spans="1:4">
      <c r="A82" s="8" t="s">
        <v>2</v>
      </c>
      <c r="B82" s="25" t="s">
        <v>67</v>
      </c>
      <c r="C82" s="18">
        <f>TRUNC(((1/12)*5%),4)</f>
        <v>4.1000000000000003E-3</v>
      </c>
      <c r="D82" s="12">
        <f>TRUNC($D$33*C82,2)</f>
        <v>13.47</v>
      </c>
    </row>
    <row r="83" spans="1:4">
      <c r="A83" s="8" t="s">
        <v>4</v>
      </c>
      <c r="B83" s="25" t="s">
        <v>68</v>
      </c>
      <c r="C83" s="18">
        <v>0.08</v>
      </c>
      <c r="D83" s="12">
        <f>TRUNC(D82*C83,2)</f>
        <v>1.07</v>
      </c>
    </row>
    <row r="84" spans="1:4">
      <c r="A84" s="8" t="s">
        <v>6</v>
      </c>
      <c r="B84" s="25" t="s">
        <v>69</v>
      </c>
      <c r="C84" s="18">
        <f>TRUNC(8%*5%*40%,4)</f>
        <v>1.6000000000000001E-3</v>
      </c>
      <c r="D84" s="12">
        <f>TRUNC($D$33*C84,2)</f>
        <v>5.25</v>
      </c>
    </row>
    <row r="85" spans="1:4">
      <c r="A85" s="8" t="s">
        <v>8</v>
      </c>
      <c r="B85" s="25" t="s">
        <v>70</v>
      </c>
      <c r="C85" s="18">
        <f>TRUNC(((7/30)/12)*95%,4)</f>
        <v>1.84E-2</v>
      </c>
      <c r="D85" s="12">
        <f>TRUNC($D$33*C85,2)</f>
        <v>60.45</v>
      </c>
    </row>
    <row r="86" spans="1:4" ht="25.5">
      <c r="A86" s="8" t="s">
        <v>31</v>
      </c>
      <c r="B86" s="25" t="s">
        <v>71</v>
      </c>
      <c r="C86" s="18">
        <f>C57</f>
        <v>0.36800000000000005</v>
      </c>
      <c r="D86" s="12">
        <f>TRUNC(D85*C86,2)</f>
        <v>22.24</v>
      </c>
    </row>
    <row r="87" spans="1:4">
      <c r="A87" s="8" t="s">
        <v>51</v>
      </c>
      <c r="B87" s="25" t="s">
        <v>72</v>
      </c>
      <c r="C87" s="18">
        <f>TRUNC(8%*95%*40%,4)</f>
        <v>3.04E-2</v>
      </c>
      <c r="D87" s="12">
        <f>TRUNC($D$33*C87,2)</f>
        <v>99.88</v>
      </c>
    </row>
    <row r="88" spans="1:4" ht="12.75" customHeight="1">
      <c r="A88" s="87" t="s">
        <v>35</v>
      </c>
      <c r="B88" s="87"/>
      <c r="C88" s="87"/>
      <c r="D88" s="17">
        <f>SUM(D82:D87)</f>
        <v>202.36</v>
      </c>
    </row>
    <row r="91" spans="1:4">
      <c r="A91" s="90" t="s">
        <v>73</v>
      </c>
      <c r="B91" s="90"/>
      <c r="C91" s="90"/>
      <c r="D91" s="90"/>
    </row>
    <row r="94" spans="1:4">
      <c r="A94" s="92" t="s">
        <v>74</v>
      </c>
      <c r="B94" s="92"/>
      <c r="C94" s="92"/>
      <c r="D94" s="92"/>
    </row>
    <row r="95" spans="1:4">
      <c r="A95" s="14"/>
    </row>
    <row r="96" spans="1:4" ht="12.75" customHeight="1">
      <c r="A96" s="10" t="s">
        <v>75</v>
      </c>
      <c r="B96" s="93" t="s">
        <v>76</v>
      </c>
      <c r="C96" s="93"/>
      <c r="D96" s="10" t="s">
        <v>26</v>
      </c>
    </row>
    <row r="97" spans="1:6">
      <c r="A97" s="8" t="s">
        <v>2</v>
      </c>
      <c r="B97" s="11" t="s">
        <v>77</v>
      </c>
      <c r="C97" s="18">
        <f>TRUNC(((1+1/3)/12)/12,4)</f>
        <v>9.1999999999999998E-3</v>
      </c>
      <c r="D97" s="12">
        <f t="shared" ref="D97:D102" si="1">TRUNC(($D$33+$D$76+$D$88)*C97,2)</f>
        <v>58.11</v>
      </c>
    </row>
    <row r="98" spans="1:6">
      <c r="A98" s="8" t="s">
        <v>4</v>
      </c>
      <c r="B98" s="11" t="s">
        <v>78</v>
      </c>
      <c r="C98" s="18">
        <f>TRUNC(((2/30)/12),4)</f>
        <v>5.4999999999999997E-3</v>
      </c>
      <c r="D98" s="12">
        <f t="shared" si="1"/>
        <v>34.74</v>
      </c>
    </row>
    <row r="99" spans="1:6">
      <c r="A99" s="8" t="s">
        <v>6</v>
      </c>
      <c r="B99" s="11" t="s">
        <v>79</v>
      </c>
      <c r="C99" s="18">
        <f>TRUNC(((5/30)/12)*2%,4)</f>
        <v>2.0000000000000001E-4</v>
      </c>
      <c r="D99" s="12">
        <f t="shared" si="1"/>
        <v>1.26</v>
      </c>
    </row>
    <row r="100" spans="1:6">
      <c r="A100" s="8" t="s">
        <v>8</v>
      </c>
      <c r="B100" s="11" t="s">
        <v>80</v>
      </c>
      <c r="C100" s="18">
        <f>TRUNC(((15/30)/12)*8%,4)</f>
        <v>3.3E-3</v>
      </c>
      <c r="D100" s="12">
        <f t="shared" si="1"/>
        <v>20.84</v>
      </c>
    </row>
    <row r="101" spans="1:6">
      <c r="A101" s="8" t="s">
        <v>31</v>
      </c>
      <c r="B101" s="11" t="s">
        <v>81</v>
      </c>
      <c r="C101" s="18">
        <f>((1+1/3)/12)*3%*(6/12)</f>
        <v>1.6666666666666666E-3</v>
      </c>
      <c r="D101" s="12">
        <f t="shared" si="1"/>
        <v>10.52</v>
      </c>
    </row>
    <row r="102" spans="1:6">
      <c r="A102" s="8" t="s">
        <v>51</v>
      </c>
      <c r="B102" s="11" t="s">
        <v>82</v>
      </c>
      <c r="C102" s="18"/>
      <c r="D102" s="12">
        <f t="shared" si="1"/>
        <v>0</v>
      </c>
    </row>
    <row r="103" spans="1:6" ht="12.75" customHeight="1">
      <c r="A103" s="87" t="s">
        <v>56</v>
      </c>
      <c r="B103" s="87"/>
      <c r="C103" s="87"/>
      <c r="D103" s="17">
        <f>SUM(D97:D102)</f>
        <v>125.47</v>
      </c>
      <c r="E103" s="24"/>
      <c r="F103" s="24"/>
    </row>
    <row r="106" spans="1:6">
      <c r="A106" s="92" t="s">
        <v>83</v>
      </c>
      <c r="B106" s="92"/>
      <c r="C106" s="92"/>
      <c r="D106" s="92"/>
    </row>
    <row r="107" spans="1:6">
      <c r="A107" s="14"/>
    </row>
    <row r="108" spans="1:6" ht="12.75" customHeight="1">
      <c r="A108" s="10" t="s">
        <v>84</v>
      </c>
      <c r="B108" s="93" t="s">
        <v>85</v>
      </c>
      <c r="C108" s="93"/>
      <c r="D108" s="10" t="s">
        <v>26</v>
      </c>
    </row>
    <row r="109" spans="1:6" ht="12.75" customHeight="1">
      <c r="A109" s="8" t="s">
        <v>2</v>
      </c>
      <c r="B109" s="88" t="s">
        <v>86</v>
      </c>
      <c r="C109" s="88"/>
      <c r="D109" s="12">
        <f>((D33+D76+D88)/220)*22*0</f>
        <v>0</v>
      </c>
    </row>
    <row r="110" spans="1:6" ht="12.75" customHeight="1">
      <c r="A110" s="87" t="s">
        <v>35</v>
      </c>
      <c r="B110" s="87"/>
      <c r="C110" s="87"/>
      <c r="D110" s="17">
        <f>SUM(D109)</f>
        <v>0</v>
      </c>
    </row>
    <row r="113" spans="1:4">
      <c r="A113" s="92" t="s">
        <v>87</v>
      </c>
      <c r="B113" s="92"/>
      <c r="C113" s="92"/>
      <c r="D113" s="92"/>
    </row>
    <row r="114" spans="1:4">
      <c r="A114" s="14"/>
    </row>
    <row r="115" spans="1:4" ht="12.75" customHeight="1">
      <c r="A115" s="10">
        <v>4</v>
      </c>
      <c r="B115" s="87" t="s">
        <v>88</v>
      </c>
      <c r="C115" s="87"/>
      <c r="D115" s="10" t="s">
        <v>26</v>
      </c>
    </row>
    <row r="116" spans="1:4" ht="12.75" customHeight="1">
      <c r="A116" s="8" t="s">
        <v>75</v>
      </c>
      <c r="B116" s="88" t="s">
        <v>76</v>
      </c>
      <c r="C116" s="88"/>
      <c r="D116" s="21">
        <f>D103</f>
        <v>125.47</v>
      </c>
    </row>
    <row r="117" spans="1:4" ht="12.75" customHeight="1">
      <c r="A117" s="8" t="s">
        <v>84</v>
      </c>
      <c r="B117" s="88" t="s">
        <v>85</v>
      </c>
      <c r="C117" s="88"/>
      <c r="D117" s="21">
        <f>D110</f>
        <v>0</v>
      </c>
    </row>
    <row r="118" spans="1:4" ht="12.75" customHeight="1">
      <c r="A118" s="87" t="s">
        <v>35</v>
      </c>
      <c r="B118" s="87"/>
      <c r="C118" s="87"/>
      <c r="D118" s="17">
        <f>SUM(D116:D117)</f>
        <v>125.47</v>
      </c>
    </row>
    <row r="121" spans="1:4">
      <c r="A121" s="90" t="s">
        <v>89</v>
      </c>
      <c r="B121" s="90"/>
      <c r="C121" s="90"/>
      <c r="D121" s="90"/>
    </row>
    <row r="123" spans="1:4" ht="12.75" customHeight="1">
      <c r="A123" s="10">
        <v>5</v>
      </c>
      <c r="B123" s="91" t="s">
        <v>90</v>
      </c>
      <c r="C123" s="91"/>
      <c r="D123" s="10" t="s">
        <v>26</v>
      </c>
    </row>
    <row r="124" spans="1:4">
      <c r="A124" s="8" t="s">
        <v>2</v>
      </c>
      <c r="B124" s="11" t="s">
        <v>91</v>
      </c>
      <c r="C124" s="11"/>
      <c r="D124" s="12">
        <v>4.53</v>
      </c>
    </row>
    <row r="125" spans="1:4">
      <c r="A125" s="8" t="s">
        <v>4</v>
      </c>
      <c r="B125" s="11" t="s">
        <v>92</v>
      </c>
      <c r="C125" s="11"/>
      <c r="D125" s="12"/>
    </row>
    <row r="126" spans="1:4">
      <c r="A126" s="8" t="s">
        <v>6</v>
      </c>
      <c r="B126" s="11" t="s">
        <v>93</v>
      </c>
      <c r="C126" s="11"/>
      <c r="D126" s="12"/>
    </row>
    <row r="127" spans="1:4">
      <c r="A127" s="8" t="s">
        <v>8</v>
      </c>
      <c r="B127" s="11" t="s">
        <v>34</v>
      </c>
      <c r="C127" s="11"/>
      <c r="D127" s="12"/>
    </row>
    <row r="128" spans="1:4" ht="12.75" customHeight="1">
      <c r="A128" s="87" t="s">
        <v>56</v>
      </c>
      <c r="B128" s="87"/>
      <c r="C128" s="87"/>
      <c r="D128" s="13">
        <f>SUM(D124:D127)</f>
        <v>4.53</v>
      </c>
    </row>
    <row r="131" spans="1:4">
      <c r="A131" s="90" t="s">
        <v>95</v>
      </c>
      <c r="B131" s="90"/>
      <c r="C131" s="90"/>
      <c r="D131" s="90"/>
    </row>
    <row r="133" spans="1:4">
      <c r="A133" s="10">
        <v>6</v>
      </c>
      <c r="B133" s="26" t="s">
        <v>96</v>
      </c>
      <c r="C133" s="10" t="s">
        <v>45</v>
      </c>
      <c r="D133" s="10" t="s">
        <v>26</v>
      </c>
    </row>
    <row r="134" spans="1:4">
      <c r="A134" s="8" t="s">
        <v>2</v>
      </c>
      <c r="B134" s="11" t="s">
        <v>97</v>
      </c>
      <c r="C134" s="18">
        <v>0.05</v>
      </c>
      <c r="D134" s="21">
        <f>D154*C134</f>
        <v>322.32825000000003</v>
      </c>
    </row>
    <row r="135" spans="1:4">
      <c r="A135" s="8" t="s">
        <v>4</v>
      </c>
      <c r="B135" s="11" t="s">
        <v>98</v>
      </c>
      <c r="C135" s="18">
        <v>0.06</v>
      </c>
      <c r="D135" s="12">
        <f>(D154+D134)*C135</f>
        <v>406.13359499999996</v>
      </c>
    </row>
    <row r="136" spans="1:4">
      <c r="A136" s="8" t="s">
        <v>6</v>
      </c>
      <c r="B136" s="11" t="s">
        <v>99</v>
      </c>
      <c r="C136" s="15">
        <f>SUM(C137:C142)</f>
        <v>8.6499999999999994E-2</v>
      </c>
      <c r="D136" s="12">
        <f>(D154+D134+D135)*C136/(1-C136)</f>
        <v>679.40867224137924</v>
      </c>
    </row>
    <row r="137" spans="1:4">
      <c r="A137" s="8"/>
      <c r="B137" s="11" t="s">
        <v>100</v>
      </c>
      <c r="C137" s="18"/>
      <c r="D137" s="21">
        <f t="shared" ref="D137:D142" si="2">$D$156*C137</f>
        <v>0</v>
      </c>
    </row>
    <row r="138" spans="1:4">
      <c r="A138" s="8"/>
      <c r="B138" s="11" t="s">
        <v>101</v>
      </c>
      <c r="C138" s="18">
        <v>6.4999999999999997E-3</v>
      </c>
      <c r="D138" s="21">
        <f t="shared" si="2"/>
        <v>51.053830862068963</v>
      </c>
    </row>
    <row r="139" spans="1:4">
      <c r="A139" s="8"/>
      <c r="B139" s="11" t="s">
        <v>102</v>
      </c>
      <c r="C139" s="18">
        <v>0.03</v>
      </c>
      <c r="D139" s="21">
        <f t="shared" si="2"/>
        <v>235.63306551724136</v>
      </c>
    </row>
    <row r="140" spans="1:4">
      <c r="A140" s="8"/>
      <c r="B140" s="11" t="s">
        <v>103</v>
      </c>
      <c r="C140" s="8"/>
      <c r="D140" s="21">
        <f t="shared" si="2"/>
        <v>0</v>
      </c>
    </row>
    <row r="141" spans="1:4">
      <c r="A141" s="8"/>
      <c r="B141" s="11" t="s">
        <v>104</v>
      </c>
      <c r="C141" s="18"/>
      <c r="D141" s="21">
        <f t="shared" si="2"/>
        <v>0</v>
      </c>
    </row>
    <row r="142" spans="1:4">
      <c r="A142" s="8"/>
      <c r="B142" s="11" t="s">
        <v>105</v>
      </c>
      <c r="C142" s="18">
        <v>0.05</v>
      </c>
      <c r="D142" s="21">
        <f t="shared" si="2"/>
        <v>392.72177586206897</v>
      </c>
    </row>
    <row r="143" spans="1:4" ht="13.5" customHeight="1">
      <c r="A143" s="89" t="s">
        <v>56</v>
      </c>
      <c r="B143" s="89"/>
      <c r="C143" s="27">
        <f>(1+C135)*(1+C134)/(1-C136)-1</f>
        <v>0.21839080459770144</v>
      </c>
      <c r="D143" s="17">
        <f>SUM(D134:D136)</f>
        <v>1407.8705172413793</v>
      </c>
    </row>
    <row r="146" spans="1:4">
      <c r="A146" s="90" t="s">
        <v>106</v>
      </c>
      <c r="B146" s="90"/>
      <c r="C146" s="90"/>
      <c r="D146" s="90"/>
    </row>
    <row r="148" spans="1:4" ht="12.75" customHeight="1">
      <c r="A148" s="10"/>
      <c r="B148" s="87" t="s">
        <v>107</v>
      </c>
      <c r="C148" s="87"/>
      <c r="D148" s="10" t="s">
        <v>26</v>
      </c>
    </row>
    <row r="149" spans="1:4" ht="12.75" customHeight="1">
      <c r="A149" s="10" t="s">
        <v>2</v>
      </c>
      <c r="B149" s="88" t="s">
        <v>24</v>
      </c>
      <c r="C149" s="88"/>
      <c r="D149" s="28">
        <f>D33</f>
        <v>3285.75</v>
      </c>
    </row>
    <row r="150" spans="1:4" ht="12.75" customHeight="1">
      <c r="A150" s="10" t="s">
        <v>4</v>
      </c>
      <c r="B150" s="88" t="s">
        <v>36</v>
      </c>
      <c r="C150" s="88"/>
      <c r="D150" s="28">
        <f>D76</f>
        <v>2828.4549999999999</v>
      </c>
    </row>
    <row r="151" spans="1:4" ht="12.75" customHeight="1">
      <c r="A151" s="10" t="s">
        <v>6</v>
      </c>
      <c r="B151" s="88" t="s">
        <v>65</v>
      </c>
      <c r="C151" s="88"/>
      <c r="D151" s="28">
        <f>D88</f>
        <v>202.36</v>
      </c>
    </row>
    <row r="152" spans="1:4" ht="12.75" customHeight="1">
      <c r="A152" s="10" t="s">
        <v>8</v>
      </c>
      <c r="B152" s="88" t="s">
        <v>73</v>
      </c>
      <c r="C152" s="88"/>
      <c r="D152" s="28">
        <f>D118</f>
        <v>125.47</v>
      </c>
    </row>
    <row r="153" spans="1:4" ht="12.75" customHeight="1">
      <c r="A153" s="10" t="s">
        <v>31</v>
      </c>
      <c r="B153" s="88" t="s">
        <v>89</v>
      </c>
      <c r="C153" s="88"/>
      <c r="D153" s="28">
        <f>D128</f>
        <v>4.53</v>
      </c>
    </row>
    <row r="154" spans="1:4" ht="12.75" customHeight="1">
      <c r="A154" s="87" t="s">
        <v>108</v>
      </c>
      <c r="B154" s="87"/>
      <c r="C154" s="87"/>
      <c r="D154" s="29">
        <f>SUM(D149:D153)</f>
        <v>6446.5649999999996</v>
      </c>
    </row>
    <row r="155" spans="1:4" ht="12.75" customHeight="1">
      <c r="A155" s="10" t="s">
        <v>51</v>
      </c>
      <c r="B155" s="88" t="s">
        <v>109</v>
      </c>
      <c r="C155" s="88"/>
      <c r="D155" s="30">
        <f>D143</f>
        <v>1407.8705172413793</v>
      </c>
    </row>
    <row r="156" spans="1:4" ht="12.75" customHeight="1">
      <c r="A156" s="87" t="s">
        <v>110</v>
      </c>
      <c r="B156" s="87"/>
      <c r="C156" s="87"/>
      <c r="D156" s="29">
        <f>SUM(D154:D155)</f>
        <v>7854.4355172413789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firstPageNumber="0" fitToHeight="0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31" zoomScale="115" zoomScaleNormal="115" workbookViewId="0">
      <selection activeCell="A13" sqref="A13:B13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97" t="s">
        <v>0</v>
      </c>
      <c r="B1" s="97"/>
      <c r="C1" s="97"/>
      <c r="D1" s="97"/>
    </row>
    <row r="2" spans="1:4" ht="15.75">
      <c r="A2" s="2"/>
      <c r="B2" s="2"/>
      <c r="C2" s="2"/>
      <c r="D2" s="2"/>
    </row>
    <row r="3" spans="1:4">
      <c r="A3" s="90" t="s">
        <v>1</v>
      </c>
      <c r="B3" s="90"/>
      <c r="C3" s="90"/>
      <c r="D3" s="90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90" t="s">
        <v>10</v>
      </c>
      <c r="B10" s="90"/>
      <c r="C10" s="90"/>
      <c r="D10" s="90"/>
    </row>
    <row r="11" spans="1:4">
      <c r="A11" s="3"/>
      <c r="B11" s="3"/>
      <c r="C11" s="3"/>
      <c r="D11" s="3"/>
    </row>
    <row r="12" spans="1:4" ht="38.25" customHeight="1">
      <c r="A12" s="98" t="s">
        <v>11</v>
      </c>
      <c r="B12" s="98"/>
      <c r="C12" s="8" t="s">
        <v>12</v>
      </c>
      <c r="D12" s="9" t="s">
        <v>13</v>
      </c>
    </row>
    <row r="13" spans="1:4" ht="30" customHeight="1">
      <c r="A13" s="99" t="s">
        <v>125</v>
      </c>
      <c r="B13" s="99"/>
      <c r="C13" s="7" t="s">
        <v>15</v>
      </c>
      <c r="D13" s="7">
        <v>1</v>
      </c>
    </row>
    <row r="15" spans="1:4">
      <c r="A15" s="90" t="s">
        <v>16</v>
      </c>
      <c r="B15" s="90"/>
      <c r="C15" s="90"/>
      <c r="D15" s="90"/>
    </row>
    <row r="16" spans="1:4">
      <c r="A16" s="3"/>
      <c r="B16" s="3"/>
      <c r="C16" s="3"/>
      <c r="D16" s="3"/>
    </row>
    <row r="17" spans="1:4">
      <c r="A17" s="4">
        <v>1</v>
      </c>
      <c r="B17" s="4" t="s">
        <v>17</v>
      </c>
      <c r="C17" s="95" t="s">
        <v>116</v>
      </c>
      <c r="D17" s="95"/>
    </row>
    <row r="18" spans="1:4">
      <c r="A18" s="4">
        <v>2</v>
      </c>
      <c r="B18" s="4" t="s">
        <v>19</v>
      </c>
      <c r="C18" s="95" t="s">
        <v>117</v>
      </c>
      <c r="D18" s="95"/>
    </row>
    <row r="19" spans="1:4">
      <c r="A19" s="4">
        <v>3</v>
      </c>
      <c r="B19" s="4" t="s">
        <v>21</v>
      </c>
      <c r="C19" s="96">
        <v>1100</v>
      </c>
      <c r="D19" s="96"/>
    </row>
    <row r="20" spans="1:4">
      <c r="A20" s="4">
        <v>4</v>
      </c>
      <c r="B20" s="4" t="s">
        <v>22</v>
      </c>
      <c r="C20" s="95"/>
      <c r="D20" s="95"/>
    </row>
    <row r="21" spans="1:4">
      <c r="A21" s="4">
        <v>5</v>
      </c>
      <c r="B21" s="4" t="s">
        <v>23</v>
      </c>
      <c r="C21" s="95"/>
      <c r="D21" s="95"/>
    </row>
    <row r="23" spans="1:4">
      <c r="A23" s="90" t="s">
        <v>24</v>
      </c>
      <c r="B23" s="90"/>
      <c r="C23" s="90"/>
      <c r="D23" s="90"/>
    </row>
    <row r="25" spans="1:4" ht="12.75" customHeight="1">
      <c r="A25" s="10">
        <v>1</v>
      </c>
      <c r="B25" s="87" t="s">
        <v>25</v>
      </c>
      <c r="C25" s="87"/>
      <c r="D25" s="10" t="s">
        <v>26</v>
      </c>
    </row>
    <row r="26" spans="1:4" ht="12.75" customHeight="1">
      <c r="A26" s="8" t="s">
        <v>2</v>
      </c>
      <c r="B26" s="88" t="s">
        <v>27</v>
      </c>
      <c r="C26" s="88"/>
      <c r="D26" s="12">
        <v>3285.75</v>
      </c>
    </row>
    <row r="27" spans="1:4" ht="12.75" customHeight="1">
      <c r="A27" s="8" t="s">
        <v>4</v>
      </c>
      <c r="B27" s="88" t="s">
        <v>28</v>
      </c>
      <c r="C27" s="88"/>
      <c r="D27" s="12"/>
    </row>
    <row r="28" spans="1:4" ht="12.75" customHeight="1">
      <c r="A28" s="8" t="s">
        <v>6</v>
      </c>
      <c r="B28" s="88" t="s">
        <v>29</v>
      </c>
      <c r="C28" s="88"/>
      <c r="D28" s="12"/>
    </row>
    <row r="29" spans="1:4" ht="12.75" customHeight="1">
      <c r="A29" s="8" t="s">
        <v>8</v>
      </c>
      <c r="B29" s="88" t="s">
        <v>30</v>
      </c>
      <c r="C29" s="88"/>
      <c r="D29" s="12"/>
    </row>
    <row r="30" spans="1:4" ht="12.75" customHeight="1">
      <c r="A30" s="8" t="s">
        <v>31</v>
      </c>
      <c r="B30" s="88" t="s">
        <v>32</v>
      </c>
      <c r="C30" s="88"/>
      <c r="D30" s="12"/>
    </row>
    <row r="31" spans="1:4">
      <c r="A31" s="8"/>
      <c r="B31" s="88"/>
      <c r="C31" s="88"/>
      <c r="D31" s="12"/>
    </row>
    <row r="32" spans="1:4" ht="12.75" customHeight="1">
      <c r="A32" s="8" t="s">
        <v>33</v>
      </c>
      <c r="B32" s="88" t="s">
        <v>34</v>
      </c>
      <c r="C32" s="88"/>
      <c r="D32" s="12"/>
    </row>
    <row r="33" spans="1:4" ht="12.75" customHeight="1">
      <c r="A33" s="87" t="s">
        <v>35</v>
      </c>
      <c r="B33" s="87"/>
      <c r="C33" s="87"/>
      <c r="D33" s="13">
        <f>SUM(D26:D32)</f>
        <v>3285.75</v>
      </c>
    </row>
    <row r="36" spans="1:4">
      <c r="A36" s="90" t="s">
        <v>36</v>
      </c>
      <c r="B36" s="90"/>
      <c r="C36" s="90"/>
      <c r="D36" s="90"/>
    </row>
    <row r="37" spans="1:4">
      <c r="A37" s="14"/>
    </row>
    <row r="38" spans="1:4">
      <c r="A38" s="92" t="s">
        <v>37</v>
      </c>
      <c r="B38" s="92"/>
      <c r="C38" s="92"/>
      <c r="D38" s="92"/>
    </row>
    <row r="40" spans="1:4" ht="12.75" customHeight="1">
      <c r="A40" s="10" t="s">
        <v>38</v>
      </c>
      <c r="B40" s="87" t="s">
        <v>39</v>
      </c>
      <c r="C40" s="87"/>
      <c r="D40" s="10" t="s">
        <v>26</v>
      </c>
    </row>
    <row r="41" spans="1:4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273.7</v>
      </c>
    </row>
    <row r="42" spans="1:4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365.04</v>
      </c>
    </row>
    <row r="43" spans="1:4" ht="12.75" customHeight="1">
      <c r="A43" s="87" t="s">
        <v>35</v>
      </c>
      <c r="B43" s="87"/>
      <c r="C43" s="16">
        <f>SUM(C41:C42)</f>
        <v>0.19440000000000002</v>
      </c>
      <c r="D43" s="17">
        <f>SUM(D41:D42)</f>
        <v>638.74</v>
      </c>
    </row>
    <row r="46" spans="1:4" ht="12.75" customHeight="1">
      <c r="A46" s="94" t="s">
        <v>42</v>
      </c>
      <c r="B46" s="94"/>
      <c r="C46" s="94"/>
      <c r="D46" s="94"/>
    </row>
    <row r="48" spans="1:4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784.89</v>
      </c>
    </row>
    <row r="50" spans="1:4">
      <c r="A50" s="8" t="s">
        <v>4</v>
      </c>
      <c r="B50" s="11" t="s">
        <v>47</v>
      </c>
      <c r="C50" s="18">
        <v>2.5000000000000001E-2</v>
      </c>
      <c r="D50" s="12">
        <f t="shared" si="0"/>
        <v>98.11</v>
      </c>
    </row>
    <row r="51" spans="1:4">
      <c r="A51" s="8" t="s">
        <v>6</v>
      </c>
      <c r="B51" s="11" t="s">
        <v>48</v>
      </c>
      <c r="C51" s="19">
        <v>0.03</v>
      </c>
      <c r="D51" s="12">
        <f t="shared" si="0"/>
        <v>117.73</v>
      </c>
    </row>
    <row r="52" spans="1:4">
      <c r="A52" s="8" t="s">
        <v>8</v>
      </c>
      <c r="B52" s="11" t="s">
        <v>49</v>
      </c>
      <c r="C52" s="18">
        <v>1.4999999999999999E-2</v>
      </c>
      <c r="D52" s="12">
        <f t="shared" si="0"/>
        <v>58.86</v>
      </c>
    </row>
    <row r="53" spans="1:4">
      <c r="A53" s="8" t="s">
        <v>31</v>
      </c>
      <c r="B53" s="11" t="s">
        <v>50</v>
      </c>
      <c r="C53" s="18">
        <v>0.01</v>
      </c>
      <c r="D53" s="12">
        <f t="shared" si="0"/>
        <v>39.24</v>
      </c>
    </row>
    <row r="54" spans="1:4">
      <c r="A54" s="8" t="s">
        <v>51</v>
      </c>
      <c r="B54" s="11" t="s">
        <v>52</v>
      </c>
      <c r="C54" s="18">
        <v>6.0000000000000001E-3</v>
      </c>
      <c r="D54" s="12">
        <f t="shared" si="0"/>
        <v>23.54</v>
      </c>
    </row>
    <row r="55" spans="1:4">
      <c r="A55" s="8" t="s">
        <v>33</v>
      </c>
      <c r="B55" s="11" t="s">
        <v>53</v>
      </c>
      <c r="C55" s="18">
        <v>2E-3</v>
      </c>
      <c r="D55" s="12">
        <f t="shared" si="0"/>
        <v>7.84</v>
      </c>
    </row>
    <row r="56" spans="1:4">
      <c r="A56" s="8" t="s">
        <v>54</v>
      </c>
      <c r="B56" s="11" t="s">
        <v>55</v>
      </c>
      <c r="C56" s="18">
        <v>0.08</v>
      </c>
      <c r="D56" s="12">
        <f t="shared" si="0"/>
        <v>313.95</v>
      </c>
    </row>
    <row r="57" spans="1:4" ht="12.75" customHeight="1">
      <c r="A57" s="87" t="s">
        <v>56</v>
      </c>
      <c r="B57" s="87"/>
      <c r="C57" s="20">
        <f>SUM(C49:C56)</f>
        <v>0.36800000000000005</v>
      </c>
      <c r="D57" s="17">
        <f>SUM(D49:D56)</f>
        <v>1444.1599999999999</v>
      </c>
    </row>
    <row r="60" spans="1:4">
      <c r="A60" s="92" t="s">
        <v>57</v>
      </c>
      <c r="B60" s="92"/>
      <c r="C60" s="92"/>
      <c r="D60" s="92"/>
    </row>
    <row r="62" spans="1:4" ht="12.75" customHeight="1">
      <c r="A62" s="10" t="s">
        <v>58</v>
      </c>
      <c r="B62" s="93" t="s">
        <v>59</v>
      </c>
      <c r="C62" s="93"/>
      <c r="D62" s="10" t="s">
        <v>26</v>
      </c>
    </row>
    <row r="63" spans="1:4" ht="12.75" customHeight="1">
      <c r="A63" s="8" t="s">
        <v>2</v>
      </c>
      <c r="B63" s="88" t="s">
        <v>60</v>
      </c>
      <c r="C63" s="88"/>
      <c r="D63" s="12">
        <f>IF((23*2*4.4)-(D26*0.06)&lt;0,0,(23*2*4.4)-(D26*0.06))</f>
        <v>5.2550000000000239</v>
      </c>
    </row>
    <row r="64" spans="1:4" ht="12.75" customHeight="1">
      <c r="A64" s="8" t="s">
        <v>4</v>
      </c>
      <c r="B64" s="88" t="s">
        <v>61</v>
      </c>
      <c r="C64" s="88"/>
      <c r="D64" s="12">
        <f>23*(29-2.9)</f>
        <v>600.30000000000007</v>
      </c>
    </row>
    <row r="65" spans="1:5" ht="12.75" customHeight="1">
      <c r="A65" s="8" t="s">
        <v>6</v>
      </c>
      <c r="B65" s="88" t="s">
        <v>62</v>
      </c>
      <c r="C65" s="88"/>
      <c r="D65" s="12">
        <f>200*0.7</f>
        <v>140</v>
      </c>
    </row>
    <row r="66" spans="1:5" ht="12.75" customHeight="1">
      <c r="A66" s="8" t="s">
        <v>8</v>
      </c>
      <c r="B66" s="88" t="s">
        <v>34</v>
      </c>
      <c r="C66" s="88"/>
      <c r="D66" s="12"/>
    </row>
    <row r="67" spans="1:5" ht="12.75" customHeight="1">
      <c r="A67" s="87" t="s">
        <v>35</v>
      </c>
      <c r="B67" s="87"/>
      <c r="C67" s="87"/>
      <c r="D67" s="17">
        <f>SUM(D63:D66)</f>
        <v>745.55500000000006</v>
      </c>
    </row>
    <row r="70" spans="1:5">
      <c r="A70" s="92" t="s">
        <v>63</v>
      </c>
      <c r="B70" s="92"/>
      <c r="C70" s="92"/>
      <c r="D70" s="92"/>
    </row>
    <row r="72" spans="1:5" ht="12.75" customHeight="1">
      <c r="A72" s="10">
        <v>2</v>
      </c>
      <c r="B72" s="93" t="s">
        <v>64</v>
      </c>
      <c r="C72" s="93"/>
      <c r="D72" s="10" t="s">
        <v>26</v>
      </c>
    </row>
    <row r="73" spans="1:5" ht="12.75" customHeight="1">
      <c r="A73" s="8" t="s">
        <v>38</v>
      </c>
      <c r="B73" s="88" t="s">
        <v>39</v>
      </c>
      <c r="C73" s="88"/>
      <c r="D73" s="21">
        <f>D43</f>
        <v>638.74</v>
      </c>
    </row>
    <row r="74" spans="1:5" ht="12.75" customHeight="1">
      <c r="A74" s="8" t="s">
        <v>43</v>
      </c>
      <c r="B74" s="88" t="s">
        <v>44</v>
      </c>
      <c r="C74" s="88"/>
      <c r="D74" s="21">
        <f>D57</f>
        <v>1444.1599999999999</v>
      </c>
    </row>
    <row r="75" spans="1:5" ht="12.75" customHeight="1">
      <c r="A75" s="8" t="s">
        <v>58</v>
      </c>
      <c r="B75" s="88" t="s">
        <v>59</v>
      </c>
      <c r="C75" s="88"/>
      <c r="D75" s="21">
        <f>D67</f>
        <v>745.55500000000006</v>
      </c>
    </row>
    <row r="76" spans="1:5" ht="12.75" customHeight="1">
      <c r="A76" s="87" t="s">
        <v>35</v>
      </c>
      <c r="B76" s="87"/>
      <c r="C76" s="87"/>
      <c r="D76" s="17">
        <f>SUM(D73:D75)</f>
        <v>2828.4549999999999</v>
      </c>
    </row>
    <row r="77" spans="1:5">
      <c r="A77" s="22"/>
      <c r="E77" s="23"/>
    </row>
    <row r="79" spans="1:5">
      <c r="A79" s="90" t="s">
        <v>65</v>
      </c>
      <c r="B79" s="90"/>
      <c r="C79" s="90"/>
      <c r="D79" s="90"/>
      <c r="E79" s="24"/>
    </row>
    <row r="80" spans="1:5" ht="12.75" customHeight="1">
      <c r="E80" s="23"/>
    </row>
    <row r="81" spans="1:4" ht="12.75" customHeight="1">
      <c r="A81" s="10">
        <v>3</v>
      </c>
      <c r="B81" s="93" t="s">
        <v>66</v>
      </c>
      <c r="C81" s="93"/>
      <c r="D81" s="10" t="s">
        <v>26</v>
      </c>
    </row>
    <row r="82" spans="1:4">
      <c r="A82" s="8" t="s">
        <v>2</v>
      </c>
      <c r="B82" s="25" t="s">
        <v>67</v>
      </c>
      <c r="C82" s="18">
        <f>TRUNC(((1/12)*5%),4)</f>
        <v>4.1000000000000003E-3</v>
      </c>
      <c r="D82" s="12">
        <f>TRUNC($D$33*C82,2)</f>
        <v>13.47</v>
      </c>
    </row>
    <row r="83" spans="1:4">
      <c r="A83" s="8" t="s">
        <v>4</v>
      </c>
      <c r="B83" s="25" t="s">
        <v>68</v>
      </c>
      <c r="C83" s="18">
        <v>0.08</v>
      </c>
      <c r="D83" s="12">
        <f>TRUNC(D82*C83,2)</f>
        <v>1.07</v>
      </c>
    </row>
    <row r="84" spans="1:4">
      <c r="A84" s="8" t="s">
        <v>6</v>
      </c>
      <c r="B84" s="25" t="s">
        <v>69</v>
      </c>
      <c r="C84" s="18">
        <f>TRUNC(8%*5%*40%,4)</f>
        <v>1.6000000000000001E-3</v>
      </c>
      <c r="D84" s="12">
        <f>TRUNC($D$33*C84,2)</f>
        <v>5.25</v>
      </c>
    </row>
    <row r="85" spans="1:4">
      <c r="A85" s="8" t="s">
        <v>8</v>
      </c>
      <c r="B85" s="25" t="s">
        <v>70</v>
      </c>
      <c r="C85" s="18">
        <f>TRUNC(((7/30)/12)*95%,4)</f>
        <v>1.84E-2</v>
      </c>
      <c r="D85" s="12">
        <f>TRUNC($D$33*C85,2)</f>
        <v>60.45</v>
      </c>
    </row>
    <row r="86" spans="1:4" ht="25.5">
      <c r="A86" s="8" t="s">
        <v>31</v>
      </c>
      <c r="B86" s="25" t="s">
        <v>71</v>
      </c>
      <c r="C86" s="18">
        <f>C57</f>
        <v>0.36800000000000005</v>
      </c>
      <c r="D86" s="12">
        <f>TRUNC(D85*C86,2)</f>
        <v>22.24</v>
      </c>
    </row>
    <row r="87" spans="1:4">
      <c r="A87" s="8" t="s">
        <v>51</v>
      </c>
      <c r="B87" s="25" t="s">
        <v>72</v>
      </c>
      <c r="C87" s="18">
        <f>TRUNC(8%*95%*40%,4)</f>
        <v>3.04E-2</v>
      </c>
      <c r="D87" s="12">
        <f>TRUNC($D$33*C87,2)</f>
        <v>99.88</v>
      </c>
    </row>
    <row r="88" spans="1:4" ht="12.75" customHeight="1">
      <c r="A88" s="87" t="s">
        <v>35</v>
      </c>
      <c r="B88" s="87"/>
      <c r="C88" s="87"/>
      <c r="D88" s="17">
        <f>SUM(D82:D87)</f>
        <v>202.36</v>
      </c>
    </row>
    <row r="91" spans="1:4">
      <c r="A91" s="90" t="s">
        <v>73</v>
      </c>
      <c r="B91" s="90"/>
      <c r="C91" s="90"/>
      <c r="D91" s="90"/>
    </row>
    <row r="94" spans="1:4">
      <c r="A94" s="92" t="s">
        <v>74</v>
      </c>
      <c r="B94" s="92"/>
      <c r="C94" s="92"/>
      <c r="D94" s="92"/>
    </row>
    <row r="95" spans="1:4">
      <c r="A95" s="14"/>
    </row>
    <row r="96" spans="1:4" ht="12.75" customHeight="1">
      <c r="A96" s="10" t="s">
        <v>75</v>
      </c>
      <c r="B96" s="93" t="s">
        <v>76</v>
      </c>
      <c r="C96" s="93"/>
      <c r="D96" s="10" t="s">
        <v>26</v>
      </c>
    </row>
    <row r="97" spans="1:6">
      <c r="A97" s="8" t="s">
        <v>2</v>
      </c>
      <c r="B97" s="11" t="s">
        <v>77</v>
      </c>
      <c r="C97" s="18">
        <f>TRUNC(((1+1/3)/12)/12,4)</f>
        <v>9.1999999999999998E-3</v>
      </c>
      <c r="D97" s="12">
        <f t="shared" ref="D97:D102" si="1">TRUNC(($D$33+$D$76+$D$88)*C97,2)</f>
        <v>58.11</v>
      </c>
    </row>
    <row r="98" spans="1:6">
      <c r="A98" s="8" t="s">
        <v>4</v>
      </c>
      <c r="B98" s="11" t="s">
        <v>78</v>
      </c>
      <c r="C98" s="18">
        <f>TRUNC(((2/30)/12),4)</f>
        <v>5.4999999999999997E-3</v>
      </c>
      <c r="D98" s="12">
        <f t="shared" si="1"/>
        <v>34.74</v>
      </c>
    </row>
    <row r="99" spans="1:6">
      <c r="A99" s="8" t="s">
        <v>6</v>
      </c>
      <c r="B99" s="11" t="s">
        <v>79</v>
      </c>
      <c r="C99" s="18">
        <f>TRUNC(((5/30)/12)*2%,4)</f>
        <v>2.0000000000000001E-4</v>
      </c>
      <c r="D99" s="12">
        <f t="shared" si="1"/>
        <v>1.26</v>
      </c>
    </row>
    <row r="100" spans="1:6">
      <c r="A100" s="8" t="s">
        <v>8</v>
      </c>
      <c r="B100" s="11" t="s">
        <v>80</v>
      </c>
      <c r="C100" s="18">
        <f>TRUNC(((15/30)/12)*8%,4)</f>
        <v>3.3E-3</v>
      </c>
      <c r="D100" s="12">
        <f t="shared" si="1"/>
        <v>20.84</v>
      </c>
    </row>
    <row r="101" spans="1:6">
      <c r="A101" s="8" t="s">
        <v>31</v>
      </c>
      <c r="B101" s="11" t="s">
        <v>81</v>
      </c>
      <c r="C101" s="18">
        <f>((1+1/3)/12)*3%*(6/12)</f>
        <v>1.6666666666666666E-3</v>
      </c>
      <c r="D101" s="12">
        <f t="shared" si="1"/>
        <v>10.52</v>
      </c>
    </row>
    <row r="102" spans="1:6">
      <c r="A102" s="8" t="s">
        <v>51</v>
      </c>
      <c r="B102" s="11" t="s">
        <v>82</v>
      </c>
      <c r="C102" s="18"/>
      <c r="D102" s="12">
        <f t="shared" si="1"/>
        <v>0</v>
      </c>
    </row>
    <row r="103" spans="1:6" ht="12.75" customHeight="1">
      <c r="A103" s="87" t="s">
        <v>56</v>
      </c>
      <c r="B103" s="87"/>
      <c r="C103" s="87"/>
      <c r="D103" s="17">
        <f>SUM(D97:D102)</f>
        <v>125.47</v>
      </c>
      <c r="E103" s="24"/>
      <c r="F103" s="24"/>
    </row>
    <row r="106" spans="1:6">
      <c r="A106" s="92" t="s">
        <v>83</v>
      </c>
      <c r="B106" s="92"/>
      <c r="C106" s="92"/>
      <c r="D106" s="92"/>
    </row>
    <row r="107" spans="1:6">
      <c r="A107" s="14"/>
    </row>
    <row r="108" spans="1:6" ht="12.75" customHeight="1">
      <c r="A108" s="10" t="s">
        <v>84</v>
      </c>
      <c r="B108" s="93" t="s">
        <v>85</v>
      </c>
      <c r="C108" s="93"/>
      <c r="D108" s="10" t="s">
        <v>26</v>
      </c>
    </row>
    <row r="109" spans="1:6" ht="12.75" customHeight="1">
      <c r="A109" s="8" t="s">
        <v>2</v>
      </c>
      <c r="B109" s="88" t="s">
        <v>86</v>
      </c>
      <c r="C109" s="88"/>
      <c r="D109" s="12">
        <f>((D33+D76+D88)/220)*22*0</f>
        <v>0</v>
      </c>
    </row>
    <row r="110" spans="1:6" ht="12.75" customHeight="1">
      <c r="A110" s="87" t="s">
        <v>35</v>
      </c>
      <c r="B110" s="87"/>
      <c r="C110" s="87"/>
      <c r="D110" s="17">
        <f>SUM(D109)</f>
        <v>0</v>
      </c>
    </row>
    <row r="113" spans="1:4">
      <c r="A113" s="92" t="s">
        <v>87</v>
      </c>
      <c r="B113" s="92"/>
      <c r="C113" s="92"/>
      <c r="D113" s="92"/>
    </row>
    <row r="114" spans="1:4">
      <c r="A114" s="14"/>
    </row>
    <row r="115" spans="1:4" ht="12.75" customHeight="1">
      <c r="A115" s="10">
        <v>4</v>
      </c>
      <c r="B115" s="87" t="s">
        <v>88</v>
      </c>
      <c r="C115" s="87"/>
      <c r="D115" s="10" t="s">
        <v>26</v>
      </c>
    </row>
    <row r="116" spans="1:4" ht="12.75" customHeight="1">
      <c r="A116" s="8" t="s">
        <v>75</v>
      </c>
      <c r="B116" s="88" t="s">
        <v>76</v>
      </c>
      <c r="C116" s="88"/>
      <c r="D116" s="21">
        <f>D103</f>
        <v>125.47</v>
      </c>
    </row>
    <row r="117" spans="1:4" ht="12.75" customHeight="1">
      <c r="A117" s="8" t="s">
        <v>84</v>
      </c>
      <c r="B117" s="88" t="s">
        <v>85</v>
      </c>
      <c r="C117" s="88"/>
      <c r="D117" s="21">
        <f>D110</f>
        <v>0</v>
      </c>
    </row>
    <row r="118" spans="1:4" ht="12.75" customHeight="1">
      <c r="A118" s="87" t="s">
        <v>35</v>
      </c>
      <c r="B118" s="87"/>
      <c r="C118" s="87"/>
      <c r="D118" s="17">
        <f>SUM(D116:D117)</f>
        <v>125.47</v>
      </c>
    </row>
    <row r="121" spans="1:4">
      <c r="A121" s="90" t="s">
        <v>89</v>
      </c>
      <c r="B121" s="90"/>
      <c r="C121" s="90"/>
      <c r="D121" s="90"/>
    </row>
    <row r="123" spans="1:4" ht="12.75" customHeight="1">
      <c r="A123" s="10">
        <v>5</v>
      </c>
      <c r="B123" s="91" t="s">
        <v>90</v>
      </c>
      <c r="C123" s="91"/>
      <c r="D123" s="10" t="s">
        <v>26</v>
      </c>
    </row>
    <row r="124" spans="1:4">
      <c r="A124" s="8" t="s">
        <v>2</v>
      </c>
      <c r="B124" s="11" t="s">
        <v>91</v>
      </c>
      <c r="C124" s="11"/>
      <c r="D124" s="12">
        <v>4.53</v>
      </c>
    </row>
    <row r="125" spans="1:4">
      <c r="A125" s="8" t="s">
        <v>4</v>
      </c>
      <c r="B125" s="11" t="s">
        <v>92</v>
      </c>
      <c r="C125" s="11"/>
      <c r="D125" s="12"/>
    </row>
    <row r="126" spans="1:4">
      <c r="A126" s="8" t="s">
        <v>6</v>
      </c>
      <c r="B126" s="11" t="s">
        <v>93</v>
      </c>
      <c r="C126" s="11"/>
      <c r="D126" s="12"/>
    </row>
    <row r="127" spans="1:4">
      <c r="A127" s="8" t="s">
        <v>8</v>
      </c>
      <c r="B127" s="11" t="s">
        <v>34</v>
      </c>
      <c r="C127" s="11"/>
      <c r="D127" s="12"/>
    </row>
    <row r="128" spans="1:4" ht="12.75" customHeight="1">
      <c r="A128" s="87" t="s">
        <v>56</v>
      </c>
      <c r="B128" s="87"/>
      <c r="C128" s="87"/>
      <c r="D128" s="13">
        <f>SUM(D124:D127)</f>
        <v>4.53</v>
      </c>
    </row>
    <row r="131" spans="1:4">
      <c r="A131" s="90" t="s">
        <v>95</v>
      </c>
      <c r="B131" s="90"/>
      <c r="C131" s="90"/>
      <c r="D131" s="90"/>
    </row>
    <row r="133" spans="1:4">
      <c r="A133" s="10">
        <v>6</v>
      </c>
      <c r="B133" s="26" t="s">
        <v>96</v>
      </c>
      <c r="C133" s="10" t="s">
        <v>45</v>
      </c>
      <c r="D133" s="10" t="s">
        <v>26</v>
      </c>
    </row>
    <row r="134" spans="1:4">
      <c r="A134" s="8" t="s">
        <v>2</v>
      </c>
      <c r="B134" s="11" t="s">
        <v>97</v>
      </c>
      <c r="C134" s="18">
        <v>0.05</v>
      </c>
      <c r="D134" s="21">
        <f>D154*C134</f>
        <v>322.32825000000003</v>
      </c>
    </row>
    <row r="135" spans="1:4">
      <c r="A135" s="8" t="s">
        <v>4</v>
      </c>
      <c r="B135" s="11" t="s">
        <v>98</v>
      </c>
      <c r="C135" s="18">
        <v>0.06</v>
      </c>
      <c r="D135" s="12">
        <f>(D154+D134)*C135</f>
        <v>406.13359499999996</v>
      </c>
    </row>
    <row r="136" spans="1:4">
      <c r="A136" s="8" t="s">
        <v>6</v>
      </c>
      <c r="B136" s="11" t="s">
        <v>99</v>
      </c>
      <c r="C136" s="15">
        <f>SUM(C137:C142)</f>
        <v>8.6499999999999994E-2</v>
      </c>
      <c r="D136" s="12">
        <f>(D154+D134+D135)*C136/(1-C136)</f>
        <v>679.40867224137924</v>
      </c>
    </row>
    <row r="137" spans="1:4">
      <c r="A137" s="8"/>
      <c r="B137" s="11" t="s">
        <v>100</v>
      </c>
      <c r="C137" s="18"/>
      <c r="D137" s="21">
        <f t="shared" ref="D137:D142" si="2">$D$156*C137</f>
        <v>0</v>
      </c>
    </row>
    <row r="138" spans="1:4">
      <c r="A138" s="8"/>
      <c r="B138" s="11" t="s">
        <v>101</v>
      </c>
      <c r="C138" s="18">
        <v>6.4999999999999997E-3</v>
      </c>
      <c r="D138" s="21">
        <f t="shared" si="2"/>
        <v>51.053830862068963</v>
      </c>
    </row>
    <row r="139" spans="1:4">
      <c r="A139" s="8"/>
      <c r="B139" s="11" t="s">
        <v>102</v>
      </c>
      <c r="C139" s="18">
        <v>0.03</v>
      </c>
      <c r="D139" s="21">
        <f t="shared" si="2"/>
        <v>235.63306551724136</v>
      </c>
    </row>
    <row r="140" spans="1:4">
      <c r="A140" s="8"/>
      <c r="B140" s="11" t="s">
        <v>103</v>
      </c>
      <c r="C140" s="8"/>
      <c r="D140" s="21">
        <f t="shared" si="2"/>
        <v>0</v>
      </c>
    </row>
    <row r="141" spans="1:4">
      <c r="A141" s="8"/>
      <c r="B141" s="11" t="s">
        <v>104</v>
      </c>
      <c r="C141" s="18"/>
      <c r="D141" s="21">
        <f t="shared" si="2"/>
        <v>0</v>
      </c>
    </row>
    <row r="142" spans="1:4">
      <c r="A142" s="8"/>
      <c r="B142" s="11" t="s">
        <v>105</v>
      </c>
      <c r="C142" s="18">
        <v>0.05</v>
      </c>
      <c r="D142" s="21">
        <f t="shared" si="2"/>
        <v>392.72177586206897</v>
      </c>
    </row>
    <row r="143" spans="1:4" ht="13.5" customHeight="1">
      <c r="A143" s="89" t="s">
        <v>56</v>
      </c>
      <c r="B143" s="89"/>
      <c r="C143" s="27">
        <f>(1+C135)*(1+C134)/(1-C136)-1</f>
        <v>0.21839080459770144</v>
      </c>
      <c r="D143" s="17">
        <f>SUM(D134:D136)</f>
        <v>1407.8705172413793</v>
      </c>
    </row>
    <row r="146" spans="1:4">
      <c r="A146" s="90" t="s">
        <v>106</v>
      </c>
      <c r="B146" s="90"/>
      <c r="C146" s="90"/>
      <c r="D146" s="90"/>
    </row>
    <row r="148" spans="1:4" ht="12.75" customHeight="1">
      <c r="A148" s="10"/>
      <c r="B148" s="87" t="s">
        <v>107</v>
      </c>
      <c r="C148" s="87"/>
      <c r="D148" s="10" t="s">
        <v>26</v>
      </c>
    </row>
    <row r="149" spans="1:4" ht="12.75" customHeight="1">
      <c r="A149" s="10" t="s">
        <v>2</v>
      </c>
      <c r="B149" s="88" t="s">
        <v>24</v>
      </c>
      <c r="C149" s="88"/>
      <c r="D149" s="28">
        <f>D33</f>
        <v>3285.75</v>
      </c>
    </row>
    <row r="150" spans="1:4" ht="12.75" customHeight="1">
      <c r="A150" s="10" t="s">
        <v>4</v>
      </c>
      <c r="B150" s="88" t="s">
        <v>36</v>
      </c>
      <c r="C150" s="88"/>
      <c r="D150" s="28">
        <f>D76</f>
        <v>2828.4549999999999</v>
      </c>
    </row>
    <row r="151" spans="1:4" ht="12.75" customHeight="1">
      <c r="A151" s="10" t="s">
        <v>6</v>
      </c>
      <c r="B151" s="88" t="s">
        <v>65</v>
      </c>
      <c r="C151" s="88"/>
      <c r="D151" s="28">
        <f>D88</f>
        <v>202.36</v>
      </c>
    </row>
    <row r="152" spans="1:4" ht="12.75" customHeight="1">
      <c r="A152" s="10" t="s">
        <v>8</v>
      </c>
      <c r="B152" s="88" t="s">
        <v>73</v>
      </c>
      <c r="C152" s="88"/>
      <c r="D152" s="28">
        <f>D118</f>
        <v>125.47</v>
      </c>
    </row>
    <row r="153" spans="1:4" ht="12.75" customHeight="1">
      <c r="A153" s="10" t="s">
        <v>31</v>
      </c>
      <c r="B153" s="88" t="s">
        <v>89</v>
      </c>
      <c r="C153" s="88"/>
      <c r="D153" s="28">
        <f>D128</f>
        <v>4.53</v>
      </c>
    </row>
    <row r="154" spans="1:4" ht="12.75" customHeight="1">
      <c r="A154" s="87" t="s">
        <v>108</v>
      </c>
      <c r="B154" s="87"/>
      <c r="C154" s="87"/>
      <c r="D154" s="29">
        <f>SUM(D149:D153)</f>
        <v>6446.5649999999996</v>
      </c>
    </row>
    <row r="155" spans="1:4" ht="12.75" customHeight="1">
      <c r="A155" s="10" t="s">
        <v>51</v>
      </c>
      <c r="B155" s="88" t="s">
        <v>109</v>
      </c>
      <c r="C155" s="88"/>
      <c r="D155" s="30">
        <f>D143</f>
        <v>1407.8705172413793</v>
      </c>
    </row>
    <row r="156" spans="1:4" ht="12.75" customHeight="1">
      <c r="A156" s="87" t="s">
        <v>110</v>
      </c>
      <c r="B156" s="87"/>
      <c r="C156" s="87"/>
      <c r="D156" s="29">
        <f>SUM(D154:D155)</f>
        <v>7854.4355172413789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firstPageNumber="0" fitToHeight="0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39" zoomScale="115" zoomScaleNormal="115" workbookViewId="0">
      <selection activeCell="A13" sqref="A13:B13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97" t="s">
        <v>0</v>
      </c>
      <c r="B1" s="97"/>
      <c r="C1" s="97"/>
      <c r="D1" s="97"/>
    </row>
    <row r="2" spans="1:4" ht="15.75">
      <c r="A2" s="2"/>
      <c r="B2" s="2"/>
      <c r="C2" s="2"/>
      <c r="D2" s="2"/>
    </row>
    <row r="3" spans="1:4">
      <c r="A3" s="90" t="s">
        <v>1</v>
      </c>
      <c r="B3" s="90"/>
      <c r="C3" s="90"/>
      <c r="D3" s="90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90" t="s">
        <v>10</v>
      </c>
      <c r="B10" s="90"/>
      <c r="C10" s="90"/>
      <c r="D10" s="90"/>
    </row>
    <row r="11" spans="1:4">
      <c r="A11" s="3"/>
      <c r="B11" s="3"/>
      <c r="C11" s="3"/>
      <c r="D11" s="3"/>
    </row>
    <row r="12" spans="1:4" ht="38.25" customHeight="1">
      <c r="A12" s="98" t="s">
        <v>11</v>
      </c>
      <c r="B12" s="98"/>
      <c r="C12" s="8" t="s">
        <v>12</v>
      </c>
      <c r="D12" s="9" t="s">
        <v>13</v>
      </c>
    </row>
    <row r="13" spans="1:4" ht="30.75" customHeight="1">
      <c r="A13" s="99" t="s">
        <v>126</v>
      </c>
      <c r="B13" s="99"/>
      <c r="C13" s="7" t="s">
        <v>15</v>
      </c>
      <c r="D13" s="7">
        <v>1</v>
      </c>
    </row>
    <row r="15" spans="1:4">
      <c r="A15" s="90" t="s">
        <v>16</v>
      </c>
      <c r="B15" s="90"/>
      <c r="C15" s="90"/>
      <c r="D15" s="90"/>
    </row>
    <row r="16" spans="1:4">
      <c r="A16" s="3"/>
      <c r="B16" s="3"/>
      <c r="C16" s="3"/>
      <c r="D16" s="3"/>
    </row>
    <row r="17" spans="1:4">
      <c r="A17" s="4">
        <v>1</v>
      </c>
      <c r="B17" s="4" t="s">
        <v>17</v>
      </c>
      <c r="C17" s="95" t="s">
        <v>116</v>
      </c>
      <c r="D17" s="95"/>
    </row>
    <row r="18" spans="1:4">
      <c r="A18" s="4">
        <v>2</v>
      </c>
      <c r="B18" s="4" t="s">
        <v>19</v>
      </c>
      <c r="C18" s="95" t="s">
        <v>117</v>
      </c>
      <c r="D18" s="95"/>
    </row>
    <row r="19" spans="1:4">
      <c r="A19" s="4">
        <v>3</v>
      </c>
      <c r="B19" s="4" t="s">
        <v>21</v>
      </c>
      <c r="C19" s="96">
        <v>1100</v>
      </c>
      <c r="D19" s="96"/>
    </row>
    <row r="20" spans="1:4">
      <c r="A20" s="4">
        <v>4</v>
      </c>
      <c r="B20" s="4" t="s">
        <v>22</v>
      </c>
      <c r="C20" s="95"/>
      <c r="D20" s="95"/>
    </row>
    <row r="21" spans="1:4">
      <c r="A21" s="4">
        <v>5</v>
      </c>
      <c r="B21" s="4" t="s">
        <v>23</v>
      </c>
      <c r="C21" s="95"/>
      <c r="D21" s="95"/>
    </row>
    <row r="23" spans="1:4">
      <c r="A23" s="90" t="s">
        <v>24</v>
      </c>
      <c r="B23" s="90"/>
      <c r="C23" s="90"/>
      <c r="D23" s="90"/>
    </row>
    <row r="25" spans="1:4" ht="12.75" customHeight="1">
      <c r="A25" s="10">
        <v>1</v>
      </c>
      <c r="B25" s="87" t="s">
        <v>25</v>
      </c>
      <c r="C25" s="87"/>
      <c r="D25" s="10" t="s">
        <v>26</v>
      </c>
    </row>
    <row r="26" spans="1:4" ht="12.75" customHeight="1">
      <c r="A26" s="8" t="s">
        <v>2</v>
      </c>
      <c r="B26" s="88" t="s">
        <v>27</v>
      </c>
      <c r="C26" s="88"/>
      <c r="D26" s="12">
        <v>3480.53</v>
      </c>
    </row>
    <row r="27" spans="1:4" ht="12.75" customHeight="1">
      <c r="A27" s="8" t="s">
        <v>4</v>
      </c>
      <c r="B27" s="88" t="s">
        <v>28</v>
      </c>
      <c r="C27" s="88"/>
      <c r="D27" s="12"/>
    </row>
    <row r="28" spans="1:4" ht="12.75" customHeight="1">
      <c r="A28" s="8" t="s">
        <v>6</v>
      </c>
      <c r="B28" s="88" t="s">
        <v>29</v>
      </c>
      <c r="C28" s="88"/>
      <c r="D28" s="12"/>
    </row>
    <row r="29" spans="1:4" ht="12.75" customHeight="1">
      <c r="A29" s="8" t="s">
        <v>8</v>
      </c>
      <c r="B29" s="88" t="s">
        <v>30</v>
      </c>
      <c r="C29" s="88"/>
      <c r="D29" s="12"/>
    </row>
    <row r="30" spans="1:4" ht="12.75" customHeight="1">
      <c r="A30" s="8" t="s">
        <v>31</v>
      </c>
      <c r="B30" s="88" t="s">
        <v>32</v>
      </c>
      <c r="C30" s="88"/>
      <c r="D30" s="12"/>
    </row>
    <row r="31" spans="1:4">
      <c r="A31" s="8"/>
      <c r="B31" s="88"/>
      <c r="C31" s="88"/>
      <c r="D31" s="12"/>
    </row>
    <row r="32" spans="1:4" ht="12.75" customHeight="1">
      <c r="A32" s="8" t="s">
        <v>33</v>
      </c>
      <c r="B32" s="88" t="s">
        <v>34</v>
      </c>
      <c r="C32" s="88"/>
      <c r="D32" s="12"/>
    </row>
    <row r="33" spans="1:4" ht="12.75" customHeight="1">
      <c r="A33" s="87" t="s">
        <v>35</v>
      </c>
      <c r="B33" s="87"/>
      <c r="C33" s="87"/>
      <c r="D33" s="13">
        <f>SUM(D26:D32)</f>
        <v>3480.53</v>
      </c>
    </row>
    <row r="36" spans="1:4">
      <c r="A36" s="90" t="s">
        <v>36</v>
      </c>
      <c r="B36" s="90"/>
      <c r="C36" s="90"/>
      <c r="D36" s="90"/>
    </row>
    <row r="37" spans="1:4">
      <c r="A37" s="14"/>
    </row>
    <row r="38" spans="1:4">
      <c r="A38" s="92" t="s">
        <v>37</v>
      </c>
      <c r="B38" s="92"/>
      <c r="C38" s="92"/>
      <c r="D38" s="92"/>
    </row>
    <row r="40" spans="1:4" ht="12.75" customHeight="1">
      <c r="A40" s="10" t="s">
        <v>38</v>
      </c>
      <c r="B40" s="87" t="s">
        <v>39</v>
      </c>
      <c r="C40" s="87"/>
      <c r="D40" s="10" t="s">
        <v>26</v>
      </c>
    </row>
    <row r="41" spans="1:4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289.92</v>
      </c>
    </row>
    <row r="42" spans="1:4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386.68</v>
      </c>
    </row>
    <row r="43" spans="1:4" ht="12.75" customHeight="1">
      <c r="A43" s="87" t="s">
        <v>35</v>
      </c>
      <c r="B43" s="87"/>
      <c r="C43" s="16">
        <f>SUM(C41:C42)</f>
        <v>0.19440000000000002</v>
      </c>
      <c r="D43" s="17">
        <f>SUM(D41:D42)</f>
        <v>676.6</v>
      </c>
    </row>
    <row r="46" spans="1:4" ht="12.75" customHeight="1">
      <c r="A46" s="94" t="s">
        <v>42</v>
      </c>
      <c r="B46" s="94"/>
      <c r="C46" s="94"/>
      <c r="D46" s="94"/>
    </row>
    <row r="48" spans="1:4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831.42</v>
      </c>
    </row>
    <row r="50" spans="1:4">
      <c r="A50" s="8" t="s">
        <v>4</v>
      </c>
      <c r="B50" s="11" t="s">
        <v>47</v>
      </c>
      <c r="C50" s="18">
        <v>2.5000000000000001E-2</v>
      </c>
      <c r="D50" s="12">
        <f t="shared" si="0"/>
        <v>103.92</v>
      </c>
    </row>
    <row r="51" spans="1:4">
      <c r="A51" s="8" t="s">
        <v>6</v>
      </c>
      <c r="B51" s="11" t="s">
        <v>48</v>
      </c>
      <c r="C51" s="19">
        <v>0.03</v>
      </c>
      <c r="D51" s="12">
        <f t="shared" si="0"/>
        <v>124.71</v>
      </c>
    </row>
    <row r="52" spans="1:4">
      <c r="A52" s="8" t="s">
        <v>8</v>
      </c>
      <c r="B52" s="11" t="s">
        <v>49</v>
      </c>
      <c r="C52" s="18">
        <v>1.4999999999999999E-2</v>
      </c>
      <c r="D52" s="12">
        <f t="shared" si="0"/>
        <v>62.35</v>
      </c>
    </row>
    <row r="53" spans="1:4">
      <c r="A53" s="8" t="s">
        <v>31</v>
      </c>
      <c r="B53" s="11" t="s">
        <v>50</v>
      </c>
      <c r="C53" s="18">
        <v>0.01</v>
      </c>
      <c r="D53" s="12">
        <f t="shared" si="0"/>
        <v>41.57</v>
      </c>
    </row>
    <row r="54" spans="1:4">
      <c r="A54" s="8" t="s">
        <v>51</v>
      </c>
      <c r="B54" s="11" t="s">
        <v>52</v>
      </c>
      <c r="C54" s="18">
        <v>6.0000000000000001E-3</v>
      </c>
      <c r="D54" s="12">
        <f t="shared" si="0"/>
        <v>24.94</v>
      </c>
    </row>
    <row r="55" spans="1:4">
      <c r="A55" s="8" t="s">
        <v>33</v>
      </c>
      <c r="B55" s="11" t="s">
        <v>53</v>
      </c>
      <c r="C55" s="18">
        <v>2E-3</v>
      </c>
      <c r="D55" s="12">
        <f t="shared" si="0"/>
        <v>8.31</v>
      </c>
    </row>
    <row r="56" spans="1:4">
      <c r="A56" s="8" t="s">
        <v>54</v>
      </c>
      <c r="B56" s="11" t="s">
        <v>55</v>
      </c>
      <c r="C56" s="18">
        <v>0.08</v>
      </c>
      <c r="D56" s="12">
        <f t="shared" si="0"/>
        <v>332.57</v>
      </c>
    </row>
    <row r="57" spans="1:4" ht="12.75" customHeight="1">
      <c r="A57" s="87" t="s">
        <v>56</v>
      </c>
      <c r="B57" s="87"/>
      <c r="C57" s="20">
        <f>SUM(C49:C56)</f>
        <v>0.36800000000000005</v>
      </c>
      <c r="D57" s="17">
        <f>SUM(D49:D56)</f>
        <v>1529.7899999999997</v>
      </c>
    </row>
    <row r="60" spans="1:4">
      <c r="A60" s="92" t="s">
        <v>57</v>
      </c>
      <c r="B60" s="92"/>
      <c r="C60" s="92"/>
      <c r="D60" s="92"/>
    </row>
    <row r="62" spans="1:4" ht="12.75" customHeight="1">
      <c r="A62" s="10" t="s">
        <v>58</v>
      </c>
      <c r="B62" s="93" t="s">
        <v>59</v>
      </c>
      <c r="C62" s="93"/>
      <c r="D62" s="10" t="s">
        <v>26</v>
      </c>
    </row>
    <row r="63" spans="1:4" ht="12.75" customHeight="1">
      <c r="A63" s="8" t="s">
        <v>2</v>
      </c>
      <c r="B63" s="88" t="s">
        <v>60</v>
      </c>
      <c r="C63" s="88"/>
      <c r="D63" s="12">
        <f>IF((23*2*4.4)-(D26*0.06)&lt;0,0,(23*2*4.4)-(D26*0.06))</f>
        <v>0</v>
      </c>
    </row>
    <row r="64" spans="1:4" ht="12.75" customHeight="1">
      <c r="A64" s="8" t="s">
        <v>4</v>
      </c>
      <c r="B64" s="88" t="s">
        <v>61</v>
      </c>
      <c r="C64" s="88"/>
      <c r="D64" s="12">
        <f>23*(29-2.9)</f>
        <v>600.30000000000007</v>
      </c>
    </row>
    <row r="65" spans="1:5" ht="12.75" customHeight="1">
      <c r="A65" s="8" t="s">
        <v>6</v>
      </c>
      <c r="B65" s="88" t="s">
        <v>62</v>
      </c>
      <c r="C65" s="88"/>
      <c r="D65" s="12">
        <f>200*0.7</f>
        <v>140</v>
      </c>
    </row>
    <row r="66" spans="1:5" ht="12.75" customHeight="1">
      <c r="A66" s="8" t="s">
        <v>8</v>
      </c>
      <c r="B66" s="88" t="s">
        <v>34</v>
      </c>
      <c r="C66" s="88"/>
      <c r="D66" s="12"/>
    </row>
    <row r="67" spans="1:5" ht="12.75" customHeight="1">
      <c r="A67" s="87" t="s">
        <v>35</v>
      </c>
      <c r="B67" s="87"/>
      <c r="C67" s="87"/>
      <c r="D67" s="17">
        <f>SUM(D63:D66)</f>
        <v>740.30000000000007</v>
      </c>
    </row>
    <row r="70" spans="1:5">
      <c r="A70" s="92" t="s">
        <v>63</v>
      </c>
      <c r="B70" s="92"/>
      <c r="C70" s="92"/>
      <c r="D70" s="92"/>
    </row>
    <row r="72" spans="1:5" ht="12.75" customHeight="1">
      <c r="A72" s="10">
        <v>2</v>
      </c>
      <c r="B72" s="93" t="s">
        <v>64</v>
      </c>
      <c r="C72" s="93"/>
      <c r="D72" s="10" t="s">
        <v>26</v>
      </c>
    </row>
    <row r="73" spans="1:5" ht="12.75" customHeight="1">
      <c r="A73" s="8" t="s">
        <v>38</v>
      </c>
      <c r="B73" s="88" t="s">
        <v>39</v>
      </c>
      <c r="C73" s="88"/>
      <c r="D73" s="21">
        <f>D43</f>
        <v>676.6</v>
      </c>
    </row>
    <row r="74" spans="1:5" ht="12.75" customHeight="1">
      <c r="A74" s="8" t="s">
        <v>43</v>
      </c>
      <c r="B74" s="88" t="s">
        <v>44</v>
      </c>
      <c r="C74" s="88"/>
      <c r="D74" s="21">
        <f>D57</f>
        <v>1529.7899999999997</v>
      </c>
    </row>
    <row r="75" spans="1:5" ht="12.75" customHeight="1">
      <c r="A75" s="8" t="s">
        <v>58</v>
      </c>
      <c r="B75" s="88" t="s">
        <v>59</v>
      </c>
      <c r="C75" s="88"/>
      <c r="D75" s="21">
        <f>D67</f>
        <v>740.30000000000007</v>
      </c>
    </row>
    <row r="76" spans="1:5" ht="12.75" customHeight="1">
      <c r="A76" s="87" t="s">
        <v>35</v>
      </c>
      <c r="B76" s="87"/>
      <c r="C76" s="87"/>
      <c r="D76" s="17">
        <f>SUM(D73:D75)</f>
        <v>2946.69</v>
      </c>
    </row>
    <row r="77" spans="1:5">
      <c r="A77" s="22"/>
      <c r="E77" s="23"/>
    </row>
    <row r="79" spans="1:5">
      <c r="A79" s="90" t="s">
        <v>65</v>
      </c>
      <c r="B79" s="90"/>
      <c r="C79" s="90"/>
      <c r="D79" s="90"/>
      <c r="E79" s="24"/>
    </row>
    <row r="80" spans="1:5" ht="12.75" customHeight="1">
      <c r="E80" s="23"/>
    </row>
    <row r="81" spans="1:4" ht="12.75" customHeight="1">
      <c r="A81" s="10">
        <v>3</v>
      </c>
      <c r="B81" s="93" t="s">
        <v>66</v>
      </c>
      <c r="C81" s="93"/>
      <c r="D81" s="10" t="s">
        <v>26</v>
      </c>
    </row>
    <row r="82" spans="1:4">
      <c r="A82" s="8" t="s">
        <v>2</v>
      </c>
      <c r="B82" s="25" t="s">
        <v>67</v>
      </c>
      <c r="C82" s="18">
        <f>TRUNC(((1/12)*5%),4)</f>
        <v>4.1000000000000003E-3</v>
      </c>
      <c r="D82" s="12">
        <f>TRUNC($D$33*C82,2)</f>
        <v>14.27</v>
      </c>
    </row>
    <row r="83" spans="1:4">
      <c r="A83" s="8" t="s">
        <v>4</v>
      </c>
      <c r="B83" s="25" t="s">
        <v>68</v>
      </c>
      <c r="C83" s="18">
        <v>0.08</v>
      </c>
      <c r="D83" s="12">
        <f>TRUNC(D82*C83,2)</f>
        <v>1.1399999999999999</v>
      </c>
    </row>
    <row r="84" spans="1:4">
      <c r="A84" s="8" t="s">
        <v>6</v>
      </c>
      <c r="B84" s="25" t="s">
        <v>69</v>
      </c>
      <c r="C84" s="18">
        <f>TRUNC(8%*5%*40%,4)</f>
        <v>1.6000000000000001E-3</v>
      </c>
      <c r="D84" s="12">
        <f>TRUNC($D$33*C84,2)</f>
        <v>5.56</v>
      </c>
    </row>
    <row r="85" spans="1:4">
      <c r="A85" s="8" t="s">
        <v>8</v>
      </c>
      <c r="B85" s="25" t="s">
        <v>70</v>
      </c>
      <c r="C85" s="18">
        <f>TRUNC(((7/30)/12)*95%,4)</f>
        <v>1.84E-2</v>
      </c>
      <c r="D85" s="12">
        <f>TRUNC($D$33*C85,2)</f>
        <v>64.040000000000006</v>
      </c>
    </row>
    <row r="86" spans="1:4" ht="25.5">
      <c r="A86" s="8" t="s">
        <v>31</v>
      </c>
      <c r="B86" s="25" t="s">
        <v>71</v>
      </c>
      <c r="C86" s="18">
        <f>C57</f>
        <v>0.36800000000000005</v>
      </c>
      <c r="D86" s="12">
        <f>TRUNC(D85*C86,2)</f>
        <v>23.56</v>
      </c>
    </row>
    <row r="87" spans="1:4">
      <c r="A87" s="8" t="s">
        <v>51</v>
      </c>
      <c r="B87" s="25" t="s">
        <v>72</v>
      </c>
      <c r="C87" s="18">
        <f>TRUNC(8%*95%*40%,4)</f>
        <v>3.04E-2</v>
      </c>
      <c r="D87" s="12">
        <f>TRUNC($D$33*C87,2)</f>
        <v>105.8</v>
      </c>
    </row>
    <row r="88" spans="1:4" ht="12.75" customHeight="1">
      <c r="A88" s="87" t="s">
        <v>35</v>
      </c>
      <c r="B88" s="87"/>
      <c r="C88" s="87"/>
      <c r="D88" s="17">
        <f>SUM(D82:D87)</f>
        <v>214.37</v>
      </c>
    </row>
    <row r="91" spans="1:4">
      <c r="A91" s="90" t="s">
        <v>73</v>
      </c>
      <c r="B91" s="90"/>
      <c r="C91" s="90"/>
      <c r="D91" s="90"/>
    </row>
    <row r="94" spans="1:4">
      <c r="A94" s="92" t="s">
        <v>74</v>
      </c>
      <c r="B94" s="92"/>
      <c r="C94" s="92"/>
      <c r="D94" s="92"/>
    </row>
    <row r="95" spans="1:4">
      <c r="A95" s="14"/>
    </row>
    <row r="96" spans="1:4" ht="12.75" customHeight="1">
      <c r="A96" s="10" t="s">
        <v>75</v>
      </c>
      <c r="B96" s="93" t="s">
        <v>76</v>
      </c>
      <c r="C96" s="93"/>
      <c r="D96" s="10" t="s">
        <v>26</v>
      </c>
    </row>
    <row r="97" spans="1:6">
      <c r="A97" s="8" t="s">
        <v>2</v>
      </c>
      <c r="B97" s="11" t="s">
        <v>77</v>
      </c>
      <c r="C97" s="18">
        <f>TRUNC(((1+1/3)/12)/12,4)</f>
        <v>9.1999999999999998E-3</v>
      </c>
      <c r="D97" s="12">
        <f t="shared" ref="D97:D102" si="1">TRUNC(($D$33+$D$76+$D$88)*C97,2)</f>
        <v>61.1</v>
      </c>
    </row>
    <row r="98" spans="1:6">
      <c r="A98" s="8" t="s">
        <v>4</v>
      </c>
      <c r="B98" s="11" t="s">
        <v>78</v>
      </c>
      <c r="C98" s="18">
        <f>TRUNC(((2/30)/12),4)</f>
        <v>5.4999999999999997E-3</v>
      </c>
      <c r="D98" s="12">
        <f t="shared" si="1"/>
        <v>36.520000000000003</v>
      </c>
    </row>
    <row r="99" spans="1:6">
      <c r="A99" s="8" t="s">
        <v>6</v>
      </c>
      <c r="B99" s="11" t="s">
        <v>79</v>
      </c>
      <c r="C99" s="18">
        <f>TRUNC(((5/30)/12)*2%,4)</f>
        <v>2.0000000000000001E-4</v>
      </c>
      <c r="D99" s="12">
        <f t="shared" si="1"/>
        <v>1.32</v>
      </c>
    </row>
    <row r="100" spans="1:6">
      <c r="A100" s="8" t="s">
        <v>8</v>
      </c>
      <c r="B100" s="11" t="s">
        <v>80</v>
      </c>
      <c r="C100" s="18">
        <f>TRUNC(((15/30)/12)*8%,4)</f>
        <v>3.3E-3</v>
      </c>
      <c r="D100" s="12">
        <f t="shared" si="1"/>
        <v>21.91</v>
      </c>
    </row>
    <row r="101" spans="1:6">
      <c r="A101" s="8" t="s">
        <v>31</v>
      </c>
      <c r="B101" s="11" t="s">
        <v>81</v>
      </c>
      <c r="C101" s="18">
        <f>((1+1/3)/12)*3%*(6/12)</f>
        <v>1.6666666666666666E-3</v>
      </c>
      <c r="D101" s="12">
        <f t="shared" si="1"/>
        <v>11.06</v>
      </c>
    </row>
    <row r="102" spans="1:6">
      <c r="A102" s="8" t="s">
        <v>51</v>
      </c>
      <c r="B102" s="11" t="s">
        <v>82</v>
      </c>
      <c r="C102" s="18"/>
      <c r="D102" s="12">
        <f t="shared" si="1"/>
        <v>0</v>
      </c>
    </row>
    <row r="103" spans="1:6" ht="12.75" customHeight="1">
      <c r="A103" s="87" t="s">
        <v>56</v>
      </c>
      <c r="B103" s="87"/>
      <c r="C103" s="87"/>
      <c r="D103" s="17">
        <f>SUM(D97:D102)</f>
        <v>131.91</v>
      </c>
      <c r="E103" s="24"/>
      <c r="F103" s="24"/>
    </row>
    <row r="106" spans="1:6">
      <c r="A106" s="92" t="s">
        <v>83</v>
      </c>
      <c r="B106" s="92"/>
      <c r="C106" s="92"/>
      <c r="D106" s="92"/>
    </row>
    <row r="107" spans="1:6">
      <c r="A107" s="14"/>
    </row>
    <row r="108" spans="1:6" ht="12.75" customHeight="1">
      <c r="A108" s="10" t="s">
        <v>84</v>
      </c>
      <c r="B108" s="93" t="s">
        <v>85</v>
      </c>
      <c r="C108" s="93"/>
      <c r="D108" s="10" t="s">
        <v>26</v>
      </c>
    </row>
    <row r="109" spans="1:6" ht="12.75" customHeight="1">
      <c r="A109" s="8" t="s">
        <v>2</v>
      </c>
      <c r="B109" s="88" t="s">
        <v>86</v>
      </c>
      <c r="C109" s="88"/>
      <c r="D109" s="12">
        <f>((D33+D76+D88)/220)*22*0</f>
        <v>0</v>
      </c>
    </row>
    <row r="110" spans="1:6" ht="12.75" customHeight="1">
      <c r="A110" s="87" t="s">
        <v>35</v>
      </c>
      <c r="B110" s="87"/>
      <c r="C110" s="87"/>
      <c r="D110" s="17">
        <f>SUM(D109)</f>
        <v>0</v>
      </c>
    </row>
    <row r="113" spans="1:4">
      <c r="A113" s="92" t="s">
        <v>87</v>
      </c>
      <c r="B113" s="92"/>
      <c r="C113" s="92"/>
      <c r="D113" s="92"/>
    </row>
    <row r="114" spans="1:4">
      <c r="A114" s="14"/>
    </row>
    <row r="115" spans="1:4" ht="12.75" customHeight="1">
      <c r="A115" s="10">
        <v>4</v>
      </c>
      <c r="B115" s="87" t="s">
        <v>88</v>
      </c>
      <c r="C115" s="87"/>
      <c r="D115" s="10" t="s">
        <v>26</v>
      </c>
    </row>
    <row r="116" spans="1:4" ht="12.75" customHeight="1">
      <c r="A116" s="8" t="s">
        <v>75</v>
      </c>
      <c r="B116" s="88" t="s">
        <v>76</v>
      </c>
      <c r="C116" s="88"/>
      <c r="D116" s="21">
        <f>D103</f>
        <v>131.91</v>
      </c>
    </row>
    <row r="117" spans="1:4" ht="12.75" customHeight="1">
      <c r="A117" s="8" t="s">
        <v>84</v>
      </c>
      <c r="B117" s="88" t="s">
        <v>85</v>
      </c>
      <c r="C117" s="88"/>
      <c r="D117" s="21">
        <f>D110</f>
        <v>0</v>
      </c>
    </row>
    <row r="118" spans="1:4" ht="12.75" customHeight="1">
      <c r="A118" s="87" t="s">
        <v>35</v>
      </c>
      <c r="B118" s="87"/>
      <c r="C118" s="87"/>
      <c r="D118" s="17">
        <f>SUM(D116:D117)</f>
        <v>131.91</v>
      </c>
    </row>
    <row r="121" spans="1:4">
      <c r="A121" s="90" t="s">
        <v>89</v>
      </c>
      <c r="B121" s="90"/>
      <c r="C121" s="90"/>
      <c r="D121" s="90"/>
    </row>
    <row r="123" spans="1:4" ht="12.75" customHeight="1">
      <c r="A123" s="10">
        <v>5</v>
      </c>
      <c r="B123" s="91" t="s">
        <v>90</v>
      </c>
      <c r="C123" s="91"/>
      <c r="D123" s="10" t="s">
        <v>26</v>
      </c>
    </row>
    <row r="124" spans="1:4">
      <c r="A124" s="8" t="s">
        <v>2</v>
      </c>
      <c r="B124" s="11" t="s">
        <v>91</v>
      </c>
      <c r="C124" s="11"/>
      <c r="D124" s="12">
        <v>4.53</v>
      </c>
    </row>
    <row r="125" spans="1:4">
      <c r="A125" s="8" t="s">
        <v>4</v>
      </c>
      <c r="B125" s="11" t="s">
        <v>92</v>
      </c>
      <c r="C125" s="11"/>
      <c r="D125" s="12"/>
    </row>
    <row r="126" spans="1:4">
      <c r="A126" s="8" t="s">
        <v>6</v>
      </c>
      <c r="B126" s="11" t="s">
        <v>93</v>
      </c>
      <c r="C126" s="11"/>
      <c r="D126" s="12"/>
    </row>
    <row r="127" spans="1:4">
      <c r="A127" s="8" t="s">
        <v>8</v>
      </c>
      <c r="B127" s="11" t="s">
        <v>34</v>
      </c>
      <c r="C127" s="11"/>
      <c r="D127" s="12"/>
    </row>
    <row r="128" spans="1:4" ht="12.75" customHeight="1">
      <c r="A128" s="87" t="s">
        <v>56</v>
      </c>
      <c r="B128" s="87"/>
      <c r="C128" s="87"/>
      <c r="D128" s="13">
        <f>SUM(D124:D127)</f>
        <v>4.53</v>
      </c>
    </row>
    <row r="131" spans="1:4">
      <c r="A131" s="90" t="s">
        <v>95</v>
      </c>
      <c r="B131" s="90"/>
      <c r="C131" s="90"/>
      <c r="D131" s="90"/>
    </row>
    <row r="133" spans="1:4">
      <c r="A133" s="10">
        <v>6</v>
      </c>
      <c r="B133" s="26" t="s">
        <v>96</v>
      </c>
      <c r="C133" s="10" t="s">
        <v>45</v>
      </c>
      <c r="D133" s="10" t="s">
        <v>26</v>
      </c>
    </row>
    <row r="134" spans="1:4">
      <c r="A134" s="8" t="s">
        <v>2</v>
      </c>
      <c r="B134" s="11" t="s">
        <v>97</v>
      </c>
      <c r="C134" s="18">
        <v>0.05</v>
      </c>
      <c r="D134" s="21">
        <f>D154*C134</f>
        <v>338.9015</v>
      </c>
    </row>
    <row r="135" spans="1:4">
      <c r="A135" s="8" t="s">
        <v>4</v>
      </c>
      <c r="B135" s="11" t="s">
        <v>98</v>
      </c>
      <c r="C135" s="18">
        <v>0.06</v>
      </c>
      <c r="D135" s="12">
        <f>(D154+D134)*C135</f>
        <v>427.01588999999996</v>
      </c>
    </row>
    <row r="136" spans="1:4">
      <c r="A136" s="8" t="s">
        <v>6</v>
      </c>
      <c r="B136" s="11" t="s">
        <v>99</v>
      </c>
      <c r="C136" s="15">
        <f>SUM(C137:C142)</f>
        <v>8.6499999999999994E-2</v>
      </c>
      <c r="D136" s="12">
        <f>(D154+D134+D135)*C136/(1-C136)</f>
        <v>714.34203528735634</v>
      </c>
    </row>
    <row r="137" spans="1:4">
      <c r="A137" s="8"/>
      <c r="B137" s="11" t="s">
        <v>100</v>
      </c>
      <c r="C137" s="18"/>
      <c r="D137" s="21">
        <f t="shared" ref="D137:D142" si="2">$D$156*C137</f>
        <v>0</v>
      </c>
    </row>
    <row r="138" spans="1:4">
      <c r="A138" s="8"/>
      <c r="B138" s="11" t="s">
        <v>101</v>
      </c>
      <c r="C138" s="18">
        <v>6.4999999999999997E-3</v>
      </c>
      <c r="D138" s="21">
        <f t="shared" si="2"/>
        <v>53.67888126436781</v>
      </c>
    </row>
    <row r="139" spans="1:4">
      <c r="A139" s="8"/>
      <c r="B139" s="11" t="s">
        <v>102</v>
      </c>
      <c r="C139" s="18">
        <v>0.03</v>
      </c>
      <c r="D139" s="21">
        <f t="shared" si="2"/>
        <v>247.74868275862067</v>
      </c>
    </row>
    <row r="140" spans="1:4">
      <c r="A140" s="8"/>
      <c r="B140" s="11" t="s">
        <v>103</v>
      </c>
      <c r="C140" s="8"/>
      <c r="D140" s="21">
        <f t="shared" si="2"/>
        <v>0</v>
      </c>
    </row>
    <row r="141" spans="1:4">
      <c r="A141" s="8"/>
      <c r="B141" s="11" t="s">
        <v>104</v>
      </c>
      <c r="C141" s="18"/>
      <c r="D141" s="21">
        <f t="shared" si="2"/>
        <v>0</v>
      </c>
    </row>
    <row r="142" spans="1:4">
      <c r="A142" s="8"/>
      <c r="B142" s="11" t="s">
        <v>105</v>
      </c>
      <c r="C142" s="18">
        <v>0.05</v>
      </c>
      <c r="D142" s="21">
        <f t="shared" si="2"/>
        <v>412.91447126436782</v>
      </c>
    </row>
    <row r="143" spans="1:4" ht="13.5" customHeight="1">
      <c r="A143" s="89" t="s">
        <v>56</v>
      </c>
      <c r="B143" s="89"/>
      <c r="C143" s="27">
        <f>(1+C135)*(1+C134)/(1-C136)-1</f>
        <v>0.21839080459770144</v>
      </c>
      <c r="D143" s="17">
        <f>SUM(D134:D136)</f>
        <v>1480.2594252873564</v>
      </c>
    </row>
    <row r="146" spans="1:4">
      <c r="A146" s="90" t="s">
        <v>106</v>
      </c>
      <c r="B146" s="90"/>
      <c r="C146" s="90"/>
      <c r="D146" s="90"/>
    </row>
    <row r="148" spans="1:4" ht="12.75" customHeight="1">
      <c r="A148" s="10"/>
      <c r="B148" s="87" t="s">
        <v>107</v>
      </c>
      <c r="C148" s="87"/>
      <c r="D148" s="10" t="s">
        <v>26</v>
      </c>
    </row>
    <row r="149" spans="1:4" ht="12.75" customHeight="1">
      <c r="A149" s="10" t="s">
        <v>2</v>
      </c>
      <c r="B149" s="88" t="s">
        <v>24</v>
      </c>
      <c r="C149" s="88"/>
      <c r="D149" s="28">
        <f>D33</f>
        <v>3480.53</v>
      </c>
    </row>
    <row r="150" spans="1:4" ht="12.75" customHeight="1">
      <c r="A150" s="10" t="s">
        <v>4</v>
      </c>
      <c r="B150" s="88" t="s">
        <v>36</v>
      </c>
      <c r="C150" s="88"/>
      <c r="D150" s="28">
        <f>D76</f>
        <v>2946.69</v>
      </c>
    </row>
    <row r="151" spans="1:4" ht="12.75" customHeight="1">
      <c r="A151" s="10" t="s">
        <v>6</v>
      </c>
      <c r="B151" s="88" t="s">
        <v>65</v>
      </c>
      <c r="C151" s="88"/>
      <c r="D151" s="28">
        <f>D88</f>
        <v>214.37</v>
      </c>
    </row>
    <row r="152" spans="1:4" ht="12.75" customHeight="1">
      <c r="A152" s="10" t="s">
        <v>8</v>
      </c>
      <c r="B152" s="88" t="s">
        <v>73</v>
      </c>
      <c r="C152" s="88"/>
      <c r="D152" s="28">
        <f>D118</f>
        <v>131.91</v>
      </c>
    </row>
    <row r="153" spans="1:4" ht="12.75" customHeight="1">
      <c r="A153" s="10" t="s">
        <v>31</v>
      </c>
      <c r="B153" s="88" t="s">
        <v>89</v>
      </c>
      <c r="C153" s="88"/>
      <c r="D153" s="28">
        <f>D128</f>
        <v>4.53</v>
      </c>
    </row>
    <row r="154" spans="1:4" ht="12.75" customHeight="1">
      <c r="A154" s="87" t="s">
        <v>108</v>
      </c>
      <c r="B154" s="87"/>
      <c r="C154" s="87"/>
      <c r="D154" s="29">
        <f>SUM(D149:D153)</f>
        <v>6778.03</v>
      </c>
    </row>
    <row r="155" spans="1:4" ht="12.75" customHeight="1">
      <c r="A155" s="10" t="s">
        <v>51</v>
      </c>
      <c r="B155" s="88" t="s">
        <v>109</v>
      </c>
      <c r="C155" s="88"/>
      <c r="D155" s="30">
        <f>D143</f>
        <v>1480.2594252873564</v>
      </c>
    </row>
    <row r="156" spans="1:4" ht="12.75" customHeight="1">
      <c r="A156" s="87" t="s">
        <v>110</v>
      </c>
      <c r="B156" s="87"/>
      <c r="C156" s="87"/>
      <c r="D156" s="29">
        <f>SUM(D154:D155)</f>
        <v>8258.2894252873557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firstPageNumber="0" fitToHeight="0" orientation="portrait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36" zoomScale="115" zoomScaleNormal="115" workbookViewId="0">
      <selection activeCell="D156" sqref="D156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97" t="s">
        <v>0</v>
      </c>
      <c r="B1" s="97"/>
      <c r="C1" s="97"/>
      <c r="D1" s="97"/>
    </row>
    <row r="2" spans="1:4" ht="15.75">
      <c r="A2" s="2"/>
      <c r="B2" s="2"/>
      <c r="C2" s="2"/>
      <c r="D2" s="2"/>
    </row>
    <row r="3" spans="1:4">
      <c r="A3" s="90" t="s">
        <v>1</v>
      </c>
      <c r="B3" s="90"/>
      <c r="C3" s="90"/>
      <c r="D3" s="90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90" t="s">
        <v>10</v>
      </c>
      <c r="B10" s="90"/>
      <c r="C10" s="90"/>
      <c r="D10" s="90"/>
    </row>
    <row r="11" spans="1:4">
      <c r="A11" s="3"/>
      <c r="B11" s="3"/>
      <c r="C11" s="3"/>
      <c r="D11" s="3"/>
    </row>
    <row r="12" spans="1:4" ht="38.25" customHeight="1">
      <c r="A12" s="98" t="s">
        <v>11</v>
      </c>
      <c r="B12" s="98"/>
      <c r="C12" s="8" t="s">
        <v>12</v>
      </c>
      <c r="D12" s="9" t="s">
        <v>13</v>
      </c>
    </row>
    <row r="13" spans="1:4">
      <c r="A13" s="95" t="s">
        <v>127</v>
      </c>
      <c r="B13" s="95"/>
      <c r="C13" s="7" t="s">
        <v>15</v>
      </c>
      <c r="D13" s="7">
        <v>2</v>
      </c>
    </row>
    <row r="15" spans="1:4">
      <c r="A15" s="90" t="s">
        <v>16</v>
      </c>
      <c r="B15" s="90"/>
      <c r="C15" s="90"/>
      <c r="D15" s="90"/>
    </row>
    <row r="16" spans="1:4">
      <c r="A16" s="3"/>
      <c r="B16" s="3"/>
      <c r="C16" s="3"/>
      <c r="D16" s="3"/>
    </row>
    <row r="17" spans="1:4">
      <c r="A17" s="4">
        <v>1</v>
      </c>
      <c r="B17" s="4" t="s">
        <v>17</v>
      </c>
      <c r="C17" s="95" t="s">
        <v>112</v>
      </c>
      <c r="D17" s="95"/>
    </row>
    <row r="18" spans="1:4">
      <c r="A18" s="4">
        <v>2</v>
      </c>
      <c r="B18" s="4" t="s">
        <v>19</v>
      </c>
      <c r="C18" s="95" t="s">
        <v>128</v>
      </c>
      <c r="D18" s="95"/>
    </row>
    <row r="19" spans="1:4">
      <c r="A19" s="4">
        <v>3</v>
      </c>
      <c r="B19" s="4" t="s">
        <v>21</v>
      </c>
      <c r="C19" s="96">
        <v>1100</v>
      </c>
      <c r="D19" s="96"/>
    </row>
    <row r="20" spans="1:4">
      <c r="A20" s="4">
        <v>4</v>
      </c>
      <c r="B20" s="4" t="s">
        <v>22</v>
      </c>
      <c r="C20" s="95"/>
      <c r="D20" s="95"/>
    </row>
    <row r="21" spans="1:4">
      <c r="A21" s="4">
        <v>5</v>
      </c>
      <c r="B21" s="4" t="s">
        <v>23</v>
      </c>
      <c r="C21" s="95"/>
      <c r="D21" s="95"/>
    </row>
    <row r="23" spans="1:4">
      <c r="A23" s="90" t="s">
        <v>24</v>
      </c>
      <c r="B23" s="90"/>
      <c r="C23" s="90"/>
      <c r="D23" s="90"/>
    </row>
    <row r="25" spans="1:4" ht="12.75" customHeight="1">
      <c r="A25" s="10">
        <v>1</v>
      </c>
      <c r="B25" s="87" t="s">
        <v>25</v>
      </c>
      <c r="C25" s="87"/>
      <c r="D25" s="10" t="s">
        <v>26</v>
      </c>
    </row>
    <row r="26" spans="1:4" ht="12.75" customHeight="1">
      <c r="A26" s="8" t="s">
        <v>2</v>
      </c>
      <c r="B26" s="88" t="s">
        <v>27</v>
      </c>
      <c r="C26" s="88"/>
      <c r="D26" s="12">
        <v>4160</v>
      </c>
    </row>
    <row r="27" spans="1:4" ht="12.75" customHeight="1">
      <c r="A27" s="8" t="s">
        <v>4</v>
      </c>
      <c r="B27" s="88" t="s">
        <v>28</v>
      </c>
      <c r="C27" s="88"/>
      <c r="D27" s="12"/>
    </row>
    <row r="28" spans="1:4" ht="12.75" customHeight="1">
      <c r="A28" s="8" t="s">
        <v>6</v>
      </c>
      <c r="B28" s="88" t="s">
        <v>29</v>
      </c>
      <c r="C28" s="88"/>
      <c r="D28" s="12"/>
    </row>
    <row r="29" spans="1:4" ht="12.75" customHeight="1">
      <c r="A29" s="8" t="s">
        <v>8</v>
      </c>
      <c r="B29" s="88" t="s">
        <v>30</v>
      </c>
      <c r="C29" s="88"/>
      <c r="D29" s="12"/>
    </row>
    <row r="30" spans="1:4" ht="12.75" customHeight="1">
      <c r="A30" s="8" t="s">
        <v>31</v>
      </c>
      <c r="B30" s="88" t="s">
        <v>32</v>
      </c>
      <c r="C30" s="88"/>
      <c r="D30" s="12"/>
    </row>
    <row r="31" spans="1:4">
      <c r="A31" s="8"/>
      <c r="B31" s="88"/>
      <c r="C31" s="88"/>
      <c r="D31" s="12"/>
    </row>
    <row r="32" spans="1:4" ht="12.75" customHeight="1">
      <c r="A32" s="8" t="s">
        <v>33</v>
      </c>
      <c r="B32" s="88" t="s">
        <v>34</v>
      </c>
      <c r="C32" s="88"/>
      <c r="D32" s="12"/>
    </row>
    <row r="33" spans="1:4" ht="12.75" customHeight="1">
      <c r="A33" s="87" t="s">
        <v>35</v>
      </c>
      <c r="B33" s="87"/>
      <c r="C33" s="87"/>
      <c r="D33" s="13">
        <f>SUM(D26:D32)</f>
        <v>4160</v>
      </c>
    </row>
    <row r="36" spans="1:4">
      <c r="A36" s="90" t="s">
        <v>36</v>
      </c>
      <c r="B36" s="90"/>
      <c r="C36" s="90"/>
      <c r="D36" s="90"/>
    </row>
    <row r="37" spans="1:4">
      <c r="A37" s="14"/>
    </row>
    <row r="38" spans="1:4">
      <c r="A38" s="92" t="s">
        <v>37</v>
      </c>
      <c r="B38" s="92"/>
      <c r="C38" s="92"/>
      <c r="D38" s="92"/>
    </row>
    <row r="40" spans="1:4" ht="12.75" customHeight="1">
      <c r="A40" s="10" t="s">
        <v>38</v>
      </c>
      <c r="B40" s="87" t="s">
        <v>39</v>
      </c>
      <c r="C40" s="87"/>
      <c r="D40" s="10" t="s">
        <v>26</v>
      </c>
    </row>
    <row r="41" spans="1:4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346.52</v>
      </c>
    </row>
    <row r="42" spans="1:4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462.17</v>
      </c>
    </row>
    <row r="43" spans="1:4" ht="12.75" customHeight="1">
      <c r="A43" s="87" t="s">
        <v>35</v>
      </c>
      <c r="B43" s="87"/>
      <c r="C43" s="16">
        <f>SUM(C41:C42)</f>
        <v>0.19440000000000002</v>
      </c>
      <c r="D43" s="17">
        <f>SUM(D41:D42)</f>
        <v>808.69</v>
      </c>
    </row>
    <row r="46" spans="1:4" ht="12.75" customHeight="1">
      <c r="A46" s="94" t="s">
        <v>42</v>
      </c>
      <c r="B46" s="94"/>
      <c r="C46" s="94"/>
      <c r="D46" s="94"/>
    </row>
    <row r="48" spans="1:4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993.73</v>
      </c>
    </row>
    <row r="50" spans="1:4">
      <c r="A50" s="8" t="s">
        <v>4</v>
      </c>
      <c r="B50" s="11" t="s">
        <v>47</v>
      </c>
      <c r="C50" s="18">
        <v>2.5000000000000001E-2</v>
      </c>
      <c r="D50" s="12">
        <f t="shared" si="0"/>
        <v>124.21</v>
      </c>
    </row>
    <row r="51" spans="1:4">
      <c r="A51" s="8" t="s">
        <v>6</v>
      </c>
      <c r="B51" s="11" t="s">
        <v>48</v>
      </c>
      <c r="C51" s="19">
        <v>0.03</v>
      </c>
      <c r="D51" s="12">
        <f t="shared" si="0"/>
        <v>149.06</v>
      </c>
    </row>
    <row r="52" spans="1:4">
      <c r="A52" s="8" t="s">
        <v>8</v>
      </c>
      <c r="B52" s="11" t="s">
        <v>49</v>
      </c>
      <c r="C52" s="18">
        <v>1.4999999999999999E-2</v>
      </c>
      <c r="D52" s="12">
        <f t="shared" si="0"/>
        <v>74.53</v>
      </c>
    </row>
    <row r="53" spans="1:4">
      <c r="A53" s="8" t="s">
        <v>31</v>
      </c>
      <c r="B53" s="11" t="s">
        <v>50</v>
      </c>
      <c r="C53" s="18">
        <v>0.01</v>
      </c>
      <c r="D53" s="12">
        <f t="shared" si="0"/>
        <v>49.68</v>
      </c>
    </row>
    <row r="54" spans="1:4">
      <c r="A54" s="8" t="s">
        <v>51</v>
      </c>
      <c r="B54" s="11" t="s">
        <v>52</v>
      </c>
      <c r="C54" s="18">
        <v>6.0000000000000001E-3</v>
      </c>
      <c r="D54" s="12">
        <f t="shared" si="0"/>
        <v>29.81</v>
      </c>
    </row>
    <row r="55" spans="1:4">
      <c r="A55" s="8" t="s">
        <v>33</v>
      </c>
      <c r="B55" s="11" t="s">
        <v>53</v>
      </c>
      <c r="C55" s="18">
        <v>2E-3</v>
      </c>
      <c r="D55" s="12">
        <f t="shared" si="0"/>
        <v>9.93</v>
      </c>
    </row>
    <row r="56" spans="1:4">
      <c r="A56" s="8" t="s">
        <v>54</v>
      </c>
      <c r="B56" s="11" t="s">
        <v>55</v>
      </c>
      <c r="C56" s="18">
        <v>0.08</v>
      </c>
      <c r="D56" s="12">
        <f t="shared" si="0"/>
        <v>397.49</v>
      </c>
    </row>
    <row r="57" spans="1:4" ht="12.75" customHeight="1">
      <c r="A57" s="87" t="s">
        <v>56</v>
      </c>
      <c r="B57" s="87"/>
      <c r="C57" s="20">
        <f>SUM(C49:C56)</f>
        <v>0.36800000000000005</v>
      </c>
      <c r="D57" s="17">
        <f>SUM(D49:D56)</f>
        <v>1828.44</v>
      </c>
    </row>
    <row r="60" spans="1:4">
      <c r="A60" s="92" t="s">
        <v>57</v>
      </c>
      <c r="B60" s="92"/>
      <c r="C60" s="92"/>
      <c r="D60" s="92"/>
    </row>
    <row r="62" spans="1:4" ht="12.75" customHeight="1">
      <c r="A62" s="10" t="s">
        <v>58</v>
      </c>
      <c r="B62" s="93" t="s">
        <v>59</v>
      </c>
      <c r="C62" s="93"/>
      <c r="D62" s="10" t="s">
        <v>26</v>
      </c>
    </row>
    <row r="63" spans="1:4" ht="12.75" customHeight="1">
      <c r="A63" s="8" t="s">
        <v>2</v>
      </c>
      <c r="B63" s="88" t="s">
        <v>60</v>
      </c>
      <c r="C63" s="88"/>
      <c r="D63" s="12">
        <f>IF((23*2*4.4)-(D26*0.06)&lt;0,0,(23*2*4.4)-(D26*0.06))</f>
        <v>0</v>
      </c>
    </row>
    <row r="64" spans="1:4" ht="12.75" customHeight="1">
      <c r="A64" s="8" t="s">
        <v>4</v>
      </c>
      <c r="B64" s="88" t="s">
        <v>61</v>
      </c>
      <c r="C64" s="88"/>
      <c r="D64" s="12">
        <f>23*(29-2.9)</f>
        <v>600.30000000000007</v>
      </c>
    </row>
    <row r="65" spans="1:5" ht="12.75" customHeight="1">
      <c r="A65" s="8" t="s">
        <v>6</v>
      </c>
      <c r="B65" s="88" t="s">
        <v>62</v>
      </c>
      <c r="C65" s="88"/>
      <c r="D65" s="12">
        <f>200*0.7</f>
        <v>140</v>
      </c>
    </row>
    <row r="66" spans="1:5" ht="12.75" customHeight="1">
      <c r="A66" s="8" t="s">
        <v>8</v>
      </c>
      <c r="B66" s="88" t="s">
        <v>34</v>
      </c>
      <c r="C66" s="88"/>
      <c r="D66" s="12"/>
    </row>
    <row r="67" spans="1:5" ht="12.75" customHeight="1">
      <c r="A67" s="87" t="s">
        <v>35</v>
      </c>
      <c r="B67" s="87"/>
      <c r="C67" s="87"/>
      <c r="D67" s="17">
        <f>SUM(D63:D66)</f>
        <v>740.30000000000007</v>
      </c>
    </row>
    <row r="70" spans="1:5">
      <c r="A70" s="92" t="s">
        <v>63</v>
      </c>
      <c r="B70" s="92"/>
      <c r="C70" s="92"/>
      <c r="D70" s="92"/>
    </row>
    <row r="72" spans="1:5" ht="12.75" customHeight="1">
      <c r="A72" s="10">
        <v>2</v>
      </c>
      <c r="B72" s="93" t="s">
        <v>64</v>
      </c>
      <c r="C72" s="93"/>
      <c r="D72" s="10" t="s">
        <v>26</v>
      </c>
    </row>
    <row r="73" spans="1:5" ht="12.75" customHeight="1">
      <c r="A73" s="8" t="s">
        <v>38</v>
      </c>
      <c r="B73" s="88" t="s">
        <v>39</v>
      </c>
      <c r="C73" s="88"/>
      <c r="D73" s="21">
        <f>D43</f>
        <v>808.69</v>
      </c>
    </row>
    <row r="74" spans="1:5" ht="12.75" customHeight="1">
      <c r="A74" s="8" t="s">
        <v>43</v>
      </c>
      <c r="B74" s="88" t="s">
        <v>44</v>
      </c>
      <c r="C74" s="88"/>
      <c r="D74" s="21">
        <f>D57</f>
        <v>1828.44</v>
      </c>
    </row>
    <row r="75" spans="1:5" ht="12.75" customHeight="1">
      <c r="A75" s="8" t="s">
        <v>58</v>
      </c>
      <c r="B75" s="88" t="s">
        <v>59</v>
      </c>
      <c r="C75" s="88"/>
      <c r="D75" s="21">
        <f>D67</f>
        <v>740.30000000000007</v>
      </c>
    </row>
    <row r="76" spans="1:5" ht="12.75" customHeight="1">
      <c r="A76" s="87" t="s">
        <v>35</v>
      </c>
      <c r="B76" s="87"/>
      <c r="C76" s="87"/>
      <c r="D76" s="17">
        <f>SUM(D73:D75)</f>
        <v>3377.4300000000003</v>
      </c>
    </row>
    <row r="77" spans="1:5">
      <c r="A77" s="22"/>
      <c r="E77" s="23"/>
    </row>
    <row r="79" spans="1:5">
      <c r="A79" s="90" t="s">
        <v>65</v>
      </c>
      <c r="B79" s="90"/>
      <c r="C79" s="90"/>
      <c r="D79" s="90"/>
      <c r="E79" s="24"/>
    </row>
    <row r="80" spans="1:5" ht="12.75" customHeight="1">
      <c r="E80" s="23"/>
    </row>
    <row r="81" spans="1:4" ht="12.75" customHeight="1">
      <c r="A81" s="10">
        <v>3</v>
      </c>
      <c r="B81" s="93" t="s">
        <v>66</v>
      </c>
      <c r="C81" s="93"/>
      <c r="D81" s="10" t="s">
        <v>26</v>
      </c>
    </row>
    <row r="82" spans="1:4">
      <c r="A82" s="8" t="s">
        <v>2</v>
      </c>
      <c r="B82" s="25" t="s">
        <v>67</v>
      </c>
      <c r="C82" s="18">
        <f>TRUNC(((1/12)*5%),4)</f>
        <v>4.1000000000000003E-3</v>
      </c>
      <c r="D82" s="12">
        <f>TRUNC($D$33*C82,2)</f>
        <v>17.05</v>
      </c>
    </row>
    <row r="83" spans="1:4">
      <c r="A83" s="8" t="s">
        <v>4</v>
      </c>
      <c r="B83" s="25" t="s">
        <v>68</v>
      </c>
      <c r="C83" s="18">
        <v>0.08</v>
      </c>
      <c r="D83" s="12">
        <f>TRUNC(D82*C83,2)</f>
        <v>1.36</v>
      </c>
    </row>
    <row r="84" spans="1:4">
      <c r="A84" s="8" t="s">
        <v>6</v>
      </c>
      <c r="B84" s="25" t="s">
        <v>69</v>
      </c>
      <c r="C84" s="18">
        <f>TRUNC(8%*5%*40%,4)</f>
        <v>1.6000000000000001E-3</v>
      </c>
      <c r="D84" s="12">
        <f>TRUNC($D$33*C84,2)</f>
        <v>6.65</v>
      </c>
    </row>
    <row r="85" spans="1:4">
      <c r="A85" s="8" t="s">
        <v>8</v>
      </c>
      <c r="B85" s="25" t="s">
        <v>70</v>
      </c>
      <c r="C85" s="18">
        <f>TRUNC(((7/30)/12)*95%,4)</f>
        <v>1.84E-2</v>
      </c>
      <c r="D85" s="12">
        <f>TRUNC($D$33*C85,2)</f>
        <v>76.540000000000006</v>
      </c>
    </row>
    <row r="86" spans="1:4" ht="25.5">
      <c r="A86" s="8" t="s">
        <v>31</v>
      </c>
      <c r="B86" s="25" t="s">
        <v>71</v>
      </c>
      <c r="C86" s="18">
        <f>C57</f>
        <v>0.36800000000000005</v>
      </c>
      <c r="D86" s="12">
        <f>TRUNC(D85*C86,2)</f>
        <v>28.16</v>
      </c>
    </row>
    <row r="87" spans="1:4">
      <c r="A87" s="8" t="s">
        <v>51</v>
      </c>
      <c r="B87" s="25" t="s">
        <v>72</v>
      </c>
      <c r="C87" s="18">
        <f>TRUNC(8%*95%*40%,4)</f>
        <v>3.04E-2</v>
      </c>
      <c r="D87" s="12">
        <f>TRUNC($D$33*C87,2)</f>
        <v>126.46</v>
      </c>
    </row>
    <row r="88" spans="1:4" ht="12.75" customHeight="1">
      <c r="A88" s="87" t="s">
        <v>35</v>
      </c>
      <c r="B88" s="87"/>
      <c r="C88" s="87"/>
      <c r="D88" s="17">
        <f>SUM(D82:D87)</f>
        <v>256.22000000000003</v>
      </c>
    </row>
    <row r="91" spans="1:4">
      <c r="A91" s="90" t="s">
        <v>73</v>
      </c>
      <c r="B91" s="90"/>
      <c r="C91" s="90"/>
      <c r="D91" s="90"/>
    </row>
    <row r="94" spans="1:4">
      <c r="A94" s="92" t="s">
        <v>74</v>
      </c>
      <c r="B94" s="92"/>
      <c r="C94" s="92"/>
      <c r="D94" s="92"/>
    </row>
    <row r="95" spans="1:4">
      <c r="A95" s="14"/>
    </row>
    <row r="96" spans="1:4" ht="12.75" customHeight="1">
      <c r="A96" s="10" t="s">
        <v>75</v>
      </c>
      <c r="B96" s="93" t="s">
        <v>76</v>
      </c>
      <c r="C96" s="93"/>
      <c r="D96" s="10" t="s">
        <v>26</v>
      </c>
    </row>
    <row r="97" spans="1:6">
      <c r="A97" s="8" t="s">
        <v>2</v>
      </c>
      <c r="B97" s="11" t="s">
        <v>77</v>
      </c>
      <c r="C97" s="18">
        <f>TRUNC(((1+1/3)/12)/12,4)</f>
        <v>9.1999999999999998E-3</v>
      </c>
      <c r="D97" s="12">
        <f t="shared" ref="D97:D102" si="1">TRUNC(($D$33+$D$76+$D$88)*C97,2)</f>
        <v>71.7</v>
      </c>
    </row>
    <row r="98" spans="1:6">
      <c r="A98" s="8" t="s">
        <v>4</v>
      </c>
      <c r="B98" s="11" t="s">
        <v>78</v>
      </c>
      <c r="C98" s="18">
        <f>TRUNC(((2/30)/12),4)</f>
        <v>5.4999999999999997E-3</v>
      </c>
      <c r="D98" s="12">
        <f t="shared" si="1"/>
        <v>42.86</v>
      </c>
    </row>
    <row r="99" spans="1:6">
      <c r="A99" s="8" t="s">
        <v>6</v>
      </c>
      <c r="B99" s="11" t="s">
        <v>79</v>
      </c>
      <c r="C99" s="18">
        <f>TRUNC(((5/30)/12)*2%,4)</f>
        <v>2.0000000000000001E-4</v>
      </c>
      <c r="D99" s="12">
        <f t="shared" si="1"/>
        <v>1.55</v>
      </c>
    </row>
    <row r="100" spans="1:6">
      <c r="A100" s="8" t="s">
        <v>8</v>
      </c>
      <c r="B100" s="11" t="s">
        <v>80</v>
      </c>
      <c r="C100" s="18">
        <f>TRUNC(((15/30)/12)*8%,4)</f>
        <v>3.3E-3</v>
      </c>
      <c r="D100" s="12">
        <f t="shared" si="1"/>
        <v>25.71</v>
      </c>
    </row>
    <row r="101" spans="1:6">
      <c r="A101" s="8" t="s">
        <v>31</v>
      </c>
      <c r="B101" s="11" t="s">
        <v>81</v>
      </c>
      <c r="C101" s="18">
        <f>((1+1/3)/12)*3%*(6/12)</f>
        <v>1.6666666666666666E-3</v>
      </c>
      <c r="D101" s="12">
        <f t="shared" si="1"/>
        <v>12.98</v>
      </c>
    </row>
    <row r="102" spans="1:6">
      <c r="A102" s="8" t="s">
        <v>51</v>
      </c>
      <c r="B102" s="11" t="s">
        <v>82</v>
      </c>
      <c r="C102" s="18"/>
      <c r="D102" s="12">
        <f t="shared" si="1"/>
        <v>0</v>
      </c>
    </row>
    <row r="103" spans="1:6" ht="12.75" customHeight="1">
      <c r="A103" s="87" t="s">
        <v>56</v>
      </c>
      <c r="B103" s="87"/>
      <c r="C103" s="87"/>
      <c r="D103" s="17">
        <f>SUM(D97:D102)</f>
        <v>154.79999999999998</v>
      </c>
      <c r="E103" s="24"/>
      <c r="F103" s="24"/>
    </row>
    <row r="106" spans="1:6">
      <c r="A106" s="92" t="s">
        <v>83</v>
      </c>
      <c r="B106" s="92"/>
      <c r="C106" s="92"/>
      <c r="D106" s="92"/>
    </row>
    <row r="107" spans="1:6">
      <c r="A107" s="14"/>
    </row>
    <row r="108" spans="1:6" ht="12.75" customHeight="1">
      <c r="A108" s="10" t="s">
        <v>84</v>
      </c>
      <c r="B108" s="93" t="s">
        <v>85</v>
      </c>
      <c r="C108" s="93"/>
      <c r="D108" s="10" t="s">
        <v>26</v>
      </c>
    </row>
    <row r="109" spans="1:6" ht="12.75" customHeight="1">
      <c r="A109" s="8" t="s">
        <v>2</v>
      </c>
      <c r="B109" s="88" t="s">
        <v>86</v>
      </c>
      <c r="C109" s="88"/>
      <c r="D109" s="12">
        <f>((D33+D76+D88)/220)*22*0</f>
        <v>0</v>
      </c>
    </row>
    <row r="110" spans="1:6" ht="12.75" customHeight="1">
      <c r="A110" s="87" t="s">
        <v>35</v>
      </c>
      <c r="B110" s="87"/>
      <c r="C110" s="87"/>
      <c r="D110" s="17">
        <f>SUM(D109)</f>
        <v>0</v>
      </c>
    </row>
    <row r="113" spans="1:4">
      <c r="A113" s="92" t="s">
        <v>87</v>
      </c>
      <c r="B113" s="92"/>
      <c r="C113" s="92"/>
      <c r="D113" s="92"/>
    </row>
    <row r="114" spans="1:4">
      <c r="A114" s="14"/>
    </row>
    <row r="115" spans="1:4" ht="12.75" customHeight="1">
      <c r="A115" s="10">
        <v>4</v>
      </c>
      <c r="B115" s="87" t="s">
        <v>88</v>
      </c>
      <c r="C115" s="87"/>
      <c r="D115" s="10" t="s">
        <v>26</v>
      </c>
    </row>
    <row r="116" spans="1:4" ht="12.75" customHeight="1">
      <c r="A116" s="8" t="s">
        <v>75</v>
      </c>
      <c r="B116" s="88" t="s">
        <v>76</v>
      </c>
      <c r="C116" s="88"/>
      <c r="D116" s="21">
        <f>D103</f>
        <v>154.79999999999998</v>
      </c>
    </row>
    <row r="117" spans="1:4" ht="12.75" customHeight="1">
      <c r="A117" s="8" t="s">
        <v>84</v>
      </c>
      <c r="B117" s="88" t="s">
        <v>85</v>
      </c>
      <c r="C117" s="88"/>
      <c r="D117" s="21">
        <f>D110</f>
        <v>0</v>
      </c>
    </row>
    <row r="118" spans="1:4" ht="12.75" customHeight="1">
      <c r="A118" s="87" t="s">
        <v>35</v>
      </c>
      <c r="B118" s="87"/>
      <c r="C118" s="87"/>
      <c r="D118" s="17">
        <f>SUM(D116:D117)</f>
        <v>154.79999999999998</v>
      </c>
    </row>
    <row r="121" spans="1:4">
      <c r="A121" s="90" t="s">
        <v>89</v>
      </c>
      <c r="B121" s="90"/>
      <c r="C121" s="90"/>
      <c r="D121" s="90"/>
    </row>
    <row r="123" spans="1:4" ht="12.75" customHeight="1">
      <c r="A123" s="10">
        <v>5</v>
      </c>
      <c r="B123" s="91" t="s">
        <v>90</v>
      </c>
      <c r="C123" s="91"/>
      <c r="D123" s="10" t="s">
        <v>26</v>
      </c>
    </row>
    <row r="124" spans="1:4">
      <c r="A124" s="8" t="s">
        <v>2</v>
      </c>
      <c r="B124" s="11" t="s">
        <v>91</v>
      </c>
      <c r="C124" s="11"/>
      <c r="D124" s="12">
        <v>4.53</v>
      </c>
    </row>
    <row r="125" spans="1:4">
      <c r="A125" s="8" t="s">
        <v>4</v>
      </c>
      <c r="B125" s="11" t="s">
        <v>92</v>
      </c>
      <c r="C125" s="11"/>
      <c r="D125" s="12"/>
    </row>
    <row r="126" spans="1:4">
      <c r="A126" s="8" t="s">
        <v>6</v>
      </c>
      <c r="B126" s="11" t="s">
        <v>93</v>
      </c>
      <c r="C126" s="11"/>
      <c r="D126" s="12"/>
    </row>
    <row r="127" spans="1:4">
      <c r="A127" s="8" t="s">
        <v>8</v>
      </c>
      <c r="B127" s="11" t="s">
        <v>34</v>
      </c>
      <c r="C127" s="11"/>
      <c r="D127" s="12"/>
    </row>
    <row r="128" spans="1:4" ht="12.75" customHeight="1">
      <c r="A128" s="87" t="s">
        <v>56</v>
      </c>
      <c r="B128" s="87"/>
      <c r="C128" s="87"/>
      <c r="D128" s="13">
        <f>SUM(D124:D127)</f>
        <v>4.53</v>
      </c>
    </row>
    <row r="131" spans="1:4">
      <c r="A131" s="90" t="s">
        <v>95</v>
      </c>
      <c r="B131" s="90"/>
      <c r="C131" s="90"/>
      <c r="D131" s="90"/>
    </row>
    <row r="133" spans="1:4">
      <c r="A133" s="10">
        <v>6</v>
      </c>
      <c r="B133" s="26" t="s">
        <v>96</v>
      </c>
      <c r="C133" s="10" t="s">
        <v>45</v>
      </c>
      <c r="D133" s="10" t="s">
        <v>26</v>
      </c>
    </row>
    <row r="134" spans="1:4">
      <c r="A134" s="8" t="s">
        <v>2</v>
      </c>
      <c r="B134" s="11" t="s">
        <v>97</v>
      </c>
      <c r="C134" s="18">
        <v>0.05</v>
      </c>
      <c r="D134" s="21">
        <f>D154*C134</f>
        <v>397.64900000000006</v>
      </c>
    </row>
    <row r="135" spans="1:4">
      <c r="A135" s="8" t="s">
        <v>4</v>
      </c>
      <c r="B135" s="11" t="s">
        <v>98</v>
      </c>
      <c r="C135" s="18">
        <v>0.06</v>
      </c>
      <c r="D135" s="12">
        <f>(D154+D134)*C135</f>
        <v>501.03774000000004</v>
      </c>
    </row>
    <row r="136" spans="1:4">
      <c r="A136" s="8" t="s">
        <v>6</v>
      </c>
      <c r="B136" s="11" t="s">
        <v>99</v>
      </c>
      <c r="C136" s="15">
        <f>SUM(C137:C142)</f>
        <v>8.6499999999999994E-2</v>
      </c>
      <c r="D136" s="12">
        <f>(D154+D134+D135)*C136/(1-C136)</f>
        <v>838.17096114942535</v>
      </c>
    </row>
    <row r="137" spans="1:4">
      <c r="A137" s="8"/>
      <c r="B137" s="11" t="s">
        <v>100</v>
      </c>
      <c r="C137" s="18"/>
      <c r="D137" s="21">
        <f t="shared" ref="D137:D142" si="2">$D$156*C137</f>
        <v>0</v>
      </c>
    </row>
    <row r="138" spans="1:4">
      <c r="A138" s="8"/>
      <c r="B138" s="11" t="s">
        <v>101</v>
      </c>
      <c r="C138" s="18">
        <v>6.4999999999999997E-3</v>
      </c>
      <c r="D138" s="21">
        <f t="shared" si="2"/>
        <v>62.983959999999996</v>
      </c>
    </row>
    <row r="139" spans="1:4">
      <c r="A139" s="8"/>
      <c r="B139" s="11" t="s">
        <v>102</v>
      </c>
      <c r="C139" s="18">
        <v>0.03</v>
      </c>
      <c r="D139" s="21">
        <f t="shared" si="2"/>
        <v>290.6952</v>
      </c>
    </row>
    <row r="140" spans="1:4">
      <c r="A140" s="8"/>
      <c r="B140" s="11" t="s">
        <v>103</v>
      </c>
      <c r="C140" s="8"/>
      <c r="D140" s="21">
        <f t="shared" si="2"/>
        <v>0</v>
      </c>
    </row>
    <row r="141" spans="1:4">
      <c r="A141" s="8"/>
      <c r="B141" s="11" t="s">
        <v>104</v>
      </c>
      <c r="C141" s="18"/>
      <c r="D141" s="21">
        <f t="shared" si="2"/>
        <v>0</v>
      </c>
    </row>
    <row r="142" spans="1:4">
      <c r="A142" s="8"/>
      <c r="B142" s="11" t="s">
        <v>105</v>
      </c>
      <c r="C142" s="18">
        <v>0.05</v>
      </c>
      <c r="D142" s="21">
        <f t="shared" si="2"/>
        <v>484.49200000000002</v>
      </c>
    </row>
    <row r="143" spans="1:4" ht="13.5" customHeight="1">
      <c r="A143" s="89" t="s">
        <v>56</v>
      </c>
      <c r="B143" s="89"/>
      <c r="C143" s="27">
        <f>(1+C135)*(1+C134)/(1-C136)-1</f>
        <v>0.21839080459770144</v>
      </c>
      <c r="D143" s="17">
        <f>SUM(D134:D136)</f>
        <v>1736.8577011494253</v>
      </c>
    </row>
    <row r="146" spans="1:4">
      <c r="A146" s="90" t="s">
        <v>106</v>
      </c>
      <c r="B146" s="90"/>
      <c r="C146" s="90"/>
      <c r="D146" s="90"/>
    </row>
    <row r="148" spans="1:4" ht="12.75" customHeight="1">
      <c r="A148" s="10"/>
      <c r="B148" s="87" t="s">
        <v>107</v>
      </c>
      <c r="C148" s="87"/>
      <c r="D148" s="10" t="s">
        <v>26</v>
      </c>
    </row>
    <row r="149" spans="1:4" ht="12.75" customHeight="1">
      <c r="A149" s="10" t="s">
        <v>2</v>
      </c>
      <c r="B149" s="88" t="s">
        <v>24</v>
      </c>
      <c r="C149" s="88"/>
      <c r="D149" s="28">
        <f>D33</f>
        <v>4160</v>
      </c>
    </row>
    <row r="150" spans="1:4" ht="12.75" customHeight="1">
      <c r="A150" s="10" t="s">
        <v>4</v>
      </c>
      <c r="B150" s="88" t="s">
        <v>36</v>
      </c>
      <c r="C150" s="88"/>
      <c r="D150" s="28">
        <f>D76</f>
        <v>3377.4300000000003</v>
      </c>
    </row>
    <row r="151" spans="1:4" ht="12.75" customHeight="1">
      <c r="A151" s="10" t="s">
        <v>6</v>
      </c>
      <c r="B151" s="88" t="s">
        <v>65</v>
      </c>
      <c r="C151" s="88"/>
      <c r="D151" s="28">
        <f>D88</f>
        <v>256.22000000000003</v>
      </c>
    </row>
    <row r="152" spans="1:4" ht="12.75" customHeight="1">
      <c r="A152" s="10" t="s">
        <v>8</v>
      </c>
      <c r="B152" s="88" t="s">
        <v>73</v>
      </c>
      <c r="C152" s="88"/>
      <c r="D152" s="28">
        <f>D118</f>
        <v>154.79999999999998</v>
      </c>
    </row>
    <row r="153" spans="1:4" ht="12.75" customHeight="1">
      <c r="A153" s="10" t="s">
        <v>31</v>
      </c>
      <c r="B153" s="88" t="s">
        <v>89</v>
      </c>
      <c r="C153" s="88"/>
      <c r="D153" s="28">
        <f>D128</f>
        <v>4.53</v>
      </c>
    </row>
    <row r="154" spans="1:4" ht="12.75" customHeight="1">
      <c r="A154" s="87" t="s">
        <v>108</v>
      </c>
      <c r="B154" s="87"/>
      <c r="C154" s="87"/>
      <c r="D154" s="29">
        <f>SUM(D149:D153)</f>
        <v>7952.9800000000005</v>
      </c>
    </row>
    <row r="155" spans="1:4" ht="12.75" customHeight="1">
      <c r="A155" s="10" t="s">
        <v>51</v>
      </c>
      <c r="B155" s="88" t="s">
        <v>109</v>
      </c>
      <c r="C155" s="88"/>
      <c r="D155" s="30">
        <f>D143</f>
        <v>1736.8577011494253</v>
      </c>
    </row>
    <row r="156" spans="1:4" ht="12.75" customHeight="1">
      <c r="A156" s="87" t="s">
        <v>110</v>
      </c>
      <c r="B156" s="87"/>
      <c r="C156" s="87"/>
      <c r="D156" s="29">
        <f>ROUND(SUM(D154:D155),2)</f>
        <v>9689.84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27" zoomScale="115" zoomScaleNormal="115" workbookViewId="0">
      <selection activeCell="A13" sqref="A13:B13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97" t="s">
        <v>0</v>
      </c>
      <c r="B1" s="97"/>
      <c r="C1" s="97"/>
      <c r="D1" s="97"/>
    </row>
    <row r="2" spans="1:4" ht="15.75">
      <c r="A2" s="2"/>
      <c r="B2" s="2"/>
      <c r="C2" s="2"/>
      <c r="D2" s="2"/>
    </row>
    <row r="3" spans="1:4">
      <c r="A3" s="90" t="s">
        <v>1</v>
      </c>
      <c r="B3" s="90"/>
      <c r="C3" s="90"/>
      <c r="D3" s="90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90" t="s">
        <v>10</v>
      </c>
      <c r="B10" s="90"/>
      <c r="C10" s="90"/>
      <c r="D10" s="90"/>
    </row>
    <row r="11" spans="1:4">
      <c r="A11" s="3"/>
      <c r="B11" s="3"/>
      <c r="C11" s="3"/>
      <c r="D11" s="3"/>
    </row>
    <row r="12" spans="1:4" ht="38.25" customHeight="1">
      <c r="A12" s="98" t="s">
        <v>11</v>
      </c>
      <c r="B12" s="98"/>
      <c r="C12" s="8" t="s">
        <v>12</v>
      </c>
      <c r="D12" s="9" t="s">
        <v>13</v>
      </c>
    </row>
    <row r="13" spans="1:4" ht="30" customHeight="1">
      <c r="A13" s="99" t="s">
        <v>129</v>
      </c>
      <c r="B13" s="99"/>
      <c r="C13" s="7" t="s">
        <v>15</v>
      </c>
      <c r="D13" s="7">
        <v>1</v>
      </c>
    </row>
    <row r="15" spans="1:4">
      <c r="A15" s="90" t="s">
        <v>16</v>
      </c>
      <c r="B15" s="90"/>
      <c r="C15" s="90"/>
      <c r="D15" s="90"/>
    </row>
    <row r="16" spans="1:4">
      <c r="A16" s="3"/>
      <c r="B16" s="3"/>
      <c r="C16" s="3"/>
      <c r="D16" s="3"/>
    </row>
    <row r="17" spans="1:4">
      <c r="A17" s="4">
        <v>1</v>
      </c>
      <c r="B17" s="4" t="s">
        <v>17</v>
      </c>
      <c r="C17" s="95" t="s">
        <v>116</v>
      </c>
      <c r="D17" s="95"/>
    </row>
    <row r="18" spans="1:4">
      <c r="A18" s="4">
        <v>2</v>
      </c>
      <c r="B18" s="4" t="s">
        <v>19</v>
      </c>
      <c r="C18" s="95" t="s">
        <v>120</v>
      </c>
      <c r="D18" s="95"/>
    </row>
    <row r="19" spans="1:4">
      <c r="A19" s="4">
        <v>3</v>
      </c>
      <c r="B19" s="4" t="s">
        <v>21</v>
      </c>
      <c r="C19" s="96">
        <v>1100</v>
      </c>
      <c r="D19" s="96"/>
    </row>
    <row r="20" spans="1:4">
      <c r="A20" s="4">
        <v>4</v>
      </c>
      <c r="B20" s="4" t="s">
        <v>22</v>
      </c>
      <c r="C20" s="95"/>
      <c r="D20" s="95"/>
    </row>
    <row r="21" spans="1:4">
      <c r="A21" s="4">
        <v>5</v>
      </c>
      <c r="B21" s="4" t="s">
        <v>23</v>
      </c>
      <c r="C21" s="95"/>
      <c r="D21" s="95"/>
    </row>
    <row r="23" spans="1:4">
      <c r="A23" s="90" t="s">
        <v>24</v>
      </c>
      <c r="B23" s="90"/>
      <c r="C23" s="90"/>
      <c r="D23" s="90"/>
    </row>
    <row r="25" spans="1:4" ht="12.75" customHeight="1">
      <c r="A25" s="10">
        <v>1</v>
      </c>
      <c r="B25" s="87" t="s">
        <v>25</v>
      </c>
      <c r="C25" s="87"/>
      <c r="D25" s="10" t="s">
        <v>26</v>
      </c>
    </row>
    <row r="26" spans="1:4" ht="12.75" customHeight="1">
      <c r="A26" s="8" t="s">
        <v>2</v>
      </c>
      <c r="B26" s="88" t="s">
        <v>27</v>
      </c>
      <c r="C26" s="88"/>
      <c r="D26" s="12">
        <v>2909.44</v>
      </c>
    </row>
    <row r="27" spans="1:4" ht="12.75" customHeight="1">
      <c r="A27" s="8" t="s">
        <v>4</v>
      </c>
      <c r="B27" s="88" t="s">
        <v>28</v>
      </c>
      <c r="C27" s="88"/>
      <c r="D27" s="12"/>
    </row>
    <row r="28" spans="1:4" ht="12.75" customHeight="1">
      <c r="A28" s="8" t="s">
        <v>6</v>
      </c>
      <c r="B28" s="88" t="s">
        <v>29</v>
      </c>
      <c r="C28" s="88"/>
      <c r="D28" s="12"/>
    </row>
    <row r="29" spans="1:4" ht="12.75" customHeight="1">
      <c r="A29" s="8" t="s">
        <v>8</v>
      </c>
      <c r="B29" s="88" t="s">
        <v>30</v>
      </c>
      <c r="C29" s="88"/>
      <c r="D29" s="12"/>
    </row>
    <row r="30" spans="1:4" ht="12.75" customHeight="1">
      <c r="A30" s="8" t="s">
        <v>31</v>
      </c>
      <c r="B30" s="88" t="s">
        <v>32</v>
      </c>
      <c r="C30" s="88"/>
      <c r="D30" s="12"/>
    </row>
    <row r="31" spans="1:4">
      <c r="A31" s="8"/>
      <c r="B31" s="88"/>
      <c r="C31" s="88"/>
      <c r="D31" s="12"/>
    </row>
    <row r="32" spans="1:4" ht="12.75" customHeight="1">
      <c r="A32" s="8" t="s">
        <v>33</v>
      </c>
      <c r="B32" s="88" t="s">
        <v>34</v>
      </c>
      <c r="C32" s="88"/>
      <c r="D32" s="12"/>
    </row>
    <row r="33" spans="1:4" ht="12.75" customHeight="1">
      <c r="A33" s="87" t="s">
        <v>35</v>
      </c>
      <c r="B33" s="87"/>
      <c r="C33" s="87"/>
      <c r="D33" s="13">
        <f>SUM(D26:D32)</f>
        <v>2909.44</v>
      </c>
    </row>
    <row r="36" spans="1:4">
      <c r="A36" s="90" t="s">
        <v>36</v>
      </c>
      <c r="B36" s="90"/>
      <c r="C36" s="90"/>
      <c r="D36" s="90"/>
    </row>
    <row r="37" spans="1:4">
      <c r="A37" s="14"/>
    </row>
    <row r="38" spans="1:4">
      <c r="A38" s="92" t="s">
        <v>37</v>
      </c>
      <c r="B38" s="92"/>
      <c r="C38" s="92"/>
      <c r="D38" s="92"/>
    </row>
    <row r="40" spans="1:4" ht="12.75" customHeight="1">
      <c r="A40" s="10" t="s">
        <v>38</v>
      </c>
      <c r="B40" s="87" t="s">
        <v>39</v>
      </c>
      <c r="C40" s="87"/>
      <c r="D40" s="10" t="s">
        <v>26</v>
      </c>
    </row>
    <row r="41" spans="1:4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242.35</v>
      </c>
    </row>
    <row r="42" spans="1:4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323.23</v>
      </c>
    </row>
    <row r="43" spans="1:4" ht="12.75" customHeight="1">
      <c r="A43" s="87" t="s">
        <v>35</v>
      </c>
      <c r="B43" s="87"/>
      <c r="C43" s="16">
        <f>SUM(C41:C42)</f>
        <v>0.19440000000000002</v>
      </c>
      <c r="D43" s="17">
        <f>SUM(D41:D42)</f>
        <v>565.58000000000004</v>
      </c>
    </row>
    <row r="46" spans="1:4" ht="12.75" customHeight="1">
      <c r="A46" s="94" t="s">
        <v>42</v>
      </c>
      <c r="B46" s="94"/>
      <c r="C46" s="94"/>
      <c r="D46" s="94"/>
    </row>
    <row r="48" spans="1:4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695</v>
      </c>
    </row>
    <row r="50" spans="1:4">
      <c r="A50" s="8" t="s">
        <v>4</v>
      </c>
      <c r="B50" s="11" t="s">
        <v>47</v>
      </c>
      <c r="C50" s="18">
        <v>2.5000000000000001E-2</v>
      </c>
      <c r="D50" s="12">
        <f t="shared" si="0"/>
        <v>86.87</v>
      </c>
    </row>
    <row r="51" spans="1:4">
      <c r="A51" s="8" t="s">
        <v>6</v>
      </c>
      <c r="B51" s="11" t="s">
        <v>48</v>
      </c>
      <c r="C51" s="19">
        <v>0.03</v>
      </c>
      <c r="D51" s="12">
        <f t="shared" si="0"/>
        <v>104.25</v>
      </c>
    </row>
    <row r="52" spans="1:4">
      <c r="A52" s="8" t="s">
        <v>8</v>
      </c>
      <c r="B52" s="11" t="s">
        <v>49</v>
      </c>
      <c r="C52" s="18">
        <v>1.4999999999999999E-2</v>
      </c>
      <c r="D52" s="12">
        <f t="shared" si="0"/>
        <v>52.12</v>
      </c>
    </row>
    <row r="53" spans="1:4">
      <c r="A53" s="8" t="s">
        <v>31</v>
      </c>
      <c r="B53" s="11" t="s">
        <v>50</v>
      </c>
      <c r="C53" s="18">
        <v>0.01</v>
      </c>
      <c r="D53" s="12">
        <f t="shared" si="0"/>
        <v>34.75</v>
      </c>
    </row>
    <row r="54" spans="1:4">
      <c r="A54" s="8" t="s">
        <v>51</v>
      </c>
      <c r="B54" s="11" t="s">
        <v>52</v>
      </c>
      <c r="C54" s="18">
        <v>6.0000000000000001E-3</v>
      </c>
      <c r="D54" s="12">
        <f t="shared" si="0"/>
        <v>20.85</v>
      </c>
    </row>
    <row r="55" spans="1:4">
      <c r="A55" s="8" t="s">
        <v>33</v>
      </c>
      <c r="B55" s="11" t="s">
        <v>53</v>
      </c>
      <c r="C55" s="18">
        <v>2E-3</v>
      </c>
      <c r="D55" s="12">
        <f t="shared" si="0"/>
        <v>6.95</v>
      </c>
    </row>
    <row r="56" spans="1:4">
      <c r="A56" s="8" t="s">
        <v>54</v>
      </c>
      <c r="B56" s="11" t="s">
        <v>55</v>
      </c>
      <c r="C56" s="18">
        <v>0.08</v>
      </c>
      <c r="D56" s="12">
        <f t="shared" si="0"/>
        <v>278</v>
      </c>
    </row>
    <row r="57" spans="1:4" ht="12.75" customHeight="1">
      <c r="A57" s="87" t="s">
        <v>56</v>
      </c>
      <c r="B57" s="87"/>
      <c r="C57" s="20">
        <f>SUM(C49:C56)</f>
        <v>0.36800000000000005</v>
      </c>
      <c r="D57" s="17">
        <f>SUM(D49:D56)</f>
        <v>1278.79</v>
      </c>
    </row>
    <row r="60" spans="1:4">
      <c r="A60" s="92" t="s">
        <v>57</v>
      </c>
      <c r="B60" s="92"/>
      <c r="C60" s="92"/>
      <c r="D60" s="92"/>
    </row>
    <row r="62" spans="1:4" ht="12.75" customHeight="1">
      <c r="A62" s="10" t="s">
        <v>58</v>
      </c>
      <c r="B62" s="93" t="s">
        <v>59</v>
      </c>
      <c r="C62" s="93"/>
      <c r="D62" s="10" t="s">
        <v>26</v>
      </c>
    </row>
    <row r="63" spans="1:4" ht="12.75" customHeight="1">
      <c r="A63" s="8" t="s">
        <v>2</v>
      </c>
      <c r="B63" s="88" t="s">
        <v>60</v>
      </c>
      <c r="C63" s="88"/>
      <c r="D63" s="12">
        <f>IF((23*2*4.4)-(D26*0.06)&lt;0,0,(23*2*4.4)-(D26*0.06))</f>
        <v>27.833600000000018</v>
      </c>
    </row>
    <row r="64" spans="1:4" ht="12.75" customHeight="1">
      <c r="A64" s="8" t="s">
        <v>4</v>
      </c>
      <c r="B64" s="88" t="s">
        <v>61</v>
      </c>
      <c r="C64" s="88"/>
      <c r="D64" s="12">
        <f>23*(29-2.9)</f>
        <v>600.30000000000007</v>
      </c>
    </row>
    <row r="65" spans="1:5" ht="12.75" customHeight="1">
      <c r="A65" s="8" t="s">
        <v>6</v>
      </c>
      <c r="B65" s="88" t="s">
        <v>62</v>
      </c>
      <c r="C65" s="88"/>
      <c r="D65" s="12">
        <f>200*0.7</f>
        <v>140</v>
      </c>
    </row>
    <row r="66" spans="1:5" ht="12.75" customHeight="1">
      <c r="A66" s="8" t="s">
        <v>8</v>
      </c>
      <c r="B66" s="88" t="s">
        <v>34</v>
      </c>
      <c r="C66" s="88"/>
      <c r="D66" s="12"/>
    </row>
    <row r="67" spans="1:5" ht="12.75" customHeight="1">
      <c r="A67" s="87" t="s">
        <v>35</v>
      </c>
      <c r="B67" s="87"/>
      <c r="C67" s="87"/>
      <c r="D67" s="17">
        <f>SUM(D63:D66)</f>
        <v>768.13360000000011</v>
      </c>
    </row>
    <row r="70" spans="1:5">
      <c r="A70" s="92" t="s">
        <v>63</v>
      </c>
      <c r="B70" s="92"/>
      <c r="C70" s="92"/>
      <c r="D70" s="92"/>
    </row>
    <row r="72" spans="1:5" ht="12.75" customHeight="1">
      <c r="A72" s="10">
        <v>2</v>
      </c>
      <c r="B72" s="93" t="s">
        <v>64</v>
      </c>
      <c r="C72" s="93"/>
      <c r="D72" s="10" t="s">
        <v>26</v>
      </c>
    </row>
    <row r="73" spans="1:5" ht="12.75" customHeight="1">
      <c r="A73" s="8" t="s">
        <v>38</v>
      </c>
      <c r="B73" s="88" t="s">
        <v>39</v>
      </c>
      <c r="C73" s="88"/>
      <c r="D73" s="21">
        <f>D43</f>
        <v>565.58000000000004</v>
      </c>
    </row>
    <row r="74" spans="1:5" ht="12.75" customHeight="1">
      <c r="A74" s="8" t="s">
        <v>43</v>
      </c>
      <c r="B74" s="88" t="s">
        <v>44</v>
      </c>
      <c r="C74" s="88"/>
      <c r="D74" s="21">
        <f>D57</f>
        <v>1278.79</v>
      </c>
    </row>
    <row r="75" spans="1:5" ht="12.75" customHeight="1">
      <c r="A75" s="8" t="s">
        <v>58</v>
      </c>
      <c r="B75" s="88" t="s">
        <v>59</v>
      </c>
      <c r="C75" s="88"/>
      <c r="D75" s="21">
        <f>D67</f>
        <v>768.13360000000011</v>
      </c>
    </row>
    <row r="76" spans="1:5" ht="12.75" customHeight="1">
      <c r="A76" s="87" t="s">
        <v>35</v>
      </c>
      <c r="B76" s="87"/>
      <c r="C76" s="87"/>
      <c r="D76" s="17">
        <f>SUM(D73:D75)</f>
        <v>2612.5036</v>
      </c>
    </row>
    <row r="77" spans="1:5">
      <c r="A77" s="22"/>
      <c r="E77" s="23"/>
    </row>
    <row r="79" spans="1:5">
      <c r="A79" s="90" t="s">
        <v>65</v>
      </c>
      <c r="B79" s="90"/>
      <c r="C79" s="90"/>
      <c r="D79" s="90"/>
      <c r="E79" s="24"/>
    </row>
    <row r="80" spans="1:5" ht="12.75" customHeight="1">
      <c r="E80" s="23"/>
    </row>
    <row r="81" spans="1:4" ht="12.75" customHeight="1">
      <c r="A81" s="10">
        <v>3</v>
      </c>
      <c r="B81" s="93" t="s">
        <v>66</v>
      </c>
      <c r="C81" s="93"/>
      <c r="D81" s="10" t="s">
        <v>26</v>
      </c>
    </row>
    <row r="82" spans="1:4">
      <c r="A82" s="8" t="s">
        <v>2</v>
      </c>
      <c r="B82" s="25" t="s">
        <v>67</v>
      </c>
      <c r="C82" s="18">
        <f>TRUNC(((1/12)*5%),4)</f>
        <v>4.1000000000000003E-3</v>
      </c>
      <c r="D82" s="12">
        <f>TRUNC($D$33*C82,2)</f>
        <v>11.92</v>
      </c>
    </row>
    <row r="83" spans="1:4">
      <c r="A83" s="8" t="s">
        <v>4</v>
      </c>
      <c r="B83" s="25" t="s">
        <v>68</v>
      </c>
      <c r="C83" s="18">
        <v>0.08</v>
      </c>
      <c r="D83" s="12">
        <f>TRUNC(D82*C83,2)</f>
        <v>0.95</v>
      </c>
    </row>
    <row r="84" spans="1:4">
      <c r="A84" s="8" t="s">
        <v>6</v>
      </c>
      <c r="B84" s="25" t="s">
        <v>69</v>
      </c>
      <c r="C84" s="18">
        <f>TRUNC(8%*5%*40%,4)</f>
        <v>1.6000000000000001E-3</v>
      </c>
      <c r="D84" s="12">
        <f>TRUNC($D$33*C84,2)</f>
        <v>4.6500000000000004</v>
      </c>
    </row>
    <row r="85" spans="1:4">
      <c r="A85" s="8" t="s">
        <v>8</v>
      </c>
      <c r="B85" s="25" t="s">
        <v>70</v>
      </c>
      <c r="C85" s="18">
        <f>TRUNC(((7/30)/12)*95%,4)</f>
        <v>1.84E-2</v>
      </c>
      <c r="D85" s="12">
        <f>TRUNC($D$33*C85,2)</f>
        <v>53.53</v>
      </c>
    </row>
    <row r="86" spans="1:4" ht="25.5">
      <c r="A86" s="8" t="s">
        <v>31</v>
      </c>
      <c r="B86" s="25" t="s">
        <v>71</v>
      </c>
      <c r="C86" s="18">
        <f>C57</f>
        <v>0.36800000000000005</v>
      </c>
      <c r="D86" s="12">
        <f>TRUNC(D85*C86,2)</f>
        <v>19.690000000000001</v>
      </c>
    </row>
    <row r="87" spans="1:4">
      <c r="A87" s="8" t="s">
        <v>51</v>
      </c>
      <c r="B87" s="25" t="s">
        <v>72</v>
      </c>
      <c r="C87" s="18">
        <f>TRUNC(8%*95%*40%,4)</f>
        <v>3.04E-2</v>
      </c>
      <c r="D87" s="12">
        <f>TRUNC($D$33*C87,2)</f>
        <v>88.44</v>
      </c>
    </row>
    <row r="88" spans="1:4" ht="12.75" customHeight="1">
      <c r="A88" s="87" t="s">
        <v>35</v>
      </c>
      <c r="B88" s="87"/>
      <c r="C88" s="87"/>
      <c r="D88" s="17">
        <f>SUM(D82:D87)</f>
        <v>179.18</v>
      </c>
    </row>
    <row r="91" spans="1:4">
      <c r="A91" s="90" t="s">
        <v>73</v>
      </c>
      <c r="B91" s="90"/>
      <c r="C91" s="90"/>
      <c r="D91" s="90"/>
    </row>
    <row r="94" spans="1:4">
      <c r="A94" s="92" t="s">
        <v>74</v>
      </c>
      <c r="B94" s="92"/>
      <c r="C94" s="92"/>
      <c r="D94" s="92"/>
    </row>
    <row r="95" spans="1:4">
      <c r="A95" s="14"/>
    </row>
    <row r="96" spans="1:4" ht="12.75" customHeight="1">
      <c r="A96" s="10" t="s">
        <v>75</v>
      </c>
      <c r="B96" s="93" t="s">
        <v>76</v>
      </c>
      <c r="C96" s="93"/>
      <c r="D96" s="10" t="s">
        <v>26</v>
      </c>
    </row>
    <row r="97" spans="1:6">
      <c r="A97" s="8" t="s">
        <v>2</v>
      </c>
      <c r="B97" s="11" t="s">
        <v>77</v>
      </c>
      <c r="C97" s="18">
        <f>TRUNC(((1+1/3)/12)/12,4)</f>
        <v>9.1999999999999998E-3</v>
      </c>
      <c r="D97" s="12">
        <f t="shared" ref="D97:D102" si="1">TRUNC(($D$33+$D$76+$D$88)*C97,2)</f>
        <v>52.45</v>
      </c>
    </row>
    <row r="98" spans="1:6">
      <c r="A98" s="8" t="s">
        <v>4</v>
      </c>
      <c r="B98" s="11" t="s">
        <v>78</v>
      </c>
      <c r="C98" s="18">
        <f>TRUNC(((2/30)/12),4)</f>
        <v>5.4999999999999997E-3</v>
      </c>
      <c r="D98" s="12">
        <f t="shared" si="1"/>
        <v>31.35</v>
      </c>
    </row>
    <row r="99" spans="1:6">
      <c r="A99" s="8" t="s">
        <v>6</v>
      </c>
      <c r="B99" s="11" t="s">
        <v>79</v>
      </c>
      <c r="C99" s="18">
        <f>TRUNC(((5/30)/12)*2%,4)</f>
        <v>2.0000000000000001E-4</v>
      </c>
      <c r="D99" s="12">
        <f t="shared" si="1"/>
        <v>1.1399999999999999</v>
      </c>
    </row>
    <row r="100" spans="1:6">
      <c r="A100" s="8" t="s">
        <v>8</v>
      </c>
      <c r="B100" s="11" t="s">
        <v>80</v>
      </c>
      <c r="C100" s="18">
        <f>TRUNC(((15/30)/12)*8%,4)</f>
        <v>3.3E-3</v>
      </c>
      <c r="D100" s="12">
        <f t="shared" si="1"/>
        <v>18.809999999999999</v>
      </c>
    </row>
    <row r="101" spans="1:6">
      <c r="A101" s="8" t="s">
        <v>31</v>
      </c>
      <c r="B101" s="11" t="s">
        <v>81</v>
      </c>
      <c r="C101" s="18">
        <f>((1+1/3)/12)*3%*(6/12)</f>
        <v>1.6666666666666666E-3</v>
      </c>
      <c r="D101" s="12">
        <f t="shared" si="1"/>
        <v>9.5</v>
      </c>
    </row>
    <row r="102" spans="1:6">
      <c r="A102" s="8" t="s">
        <v>51</v>
      </c>
      <c r="B102" s="11" t="s">
        <v>82</v>
      </c>
      <c r="C102" s="18"/>
      <c r="D102" s="12">
        <f t="shared" si="1"/>
        <v>0</v>
      </c>
    </row>
    <row r="103" spans="1:6" ht="12.75" customHeight="1">
      <c r="A103" s="87" t="s">
        <v>56</v>
      </c>
      <c r="B103" s="87"/>
      <c r="C103" s="87"/>
      <c r="D103" s="17">
        <f>SUM(D97:D102)</f>
        <v>113.25000000000001</v>
      </c>
      <c r="E103" s="24"/>
      <c r="F103" s="24"/>
    </row>
    <row r="106" spans="1:6">
      <c r="A106" s="92" t="s">
        <v>83</v>
      </c>
      <c r="B106" s="92"/>
      <c r="C106" s="92"/>
      <c r="D106" s="92"/>
    </row>
    <row r="107" spans="1:6">
      <c r="A107" s="14"/>
    </row>
    <row r="108" spans="1:6" ht="12.75" customHeight="1">
      <c r="A108" s="10" t="s">
        <v>84</v>
      </c>
      <c r="B108" s="93" t="s">
        <v>85</v>
      </c>
      <c r="C108" s="93"/>
      <c r="D108" s="10" t="s">
        <v>26</v>
      </c>
    </row>
    <row r="109" spans="1:6" ht="12.75" customHeight="1">
      <c r="A109" s="8" t="s">
        <v>2</v>
      </c>
      <c r="B109" s="88" t="s">
        <v>86</v>
      </c>
      <c r="C109" s="88"/>
      <c r="D109" s="12">
        <f>((D33+D76+D88)/220)*22*0</f>
        <v>0</v>
      </c>
    </row>
    <row r="110" spans="1:6" ht="12.75" customHeight="1">
      <c r="A110" s="87" t="s">
        <v>35</v>
      </c>
      <c r="B110" s="87"/>
      <c r="C110" s="87"/>
      <c r="D110" s="17">
        <f>SUM(D109)</f>
        <v>0</v>
      </c>
    </row>
    <row r="113" spans="1:4">
      <c r="A113" s="92" t="s">
        <v>87</v>
      </c>
      <c r="B113" s="92"/>
      <c r="C113" s="92"/>
      <c r="D113" s="92"/>
    </row>
    <row r="114" spans="1:4">
      <c r="A114" s="14"/>
    </row>
    <row r="115" spans="1:4" ht="12.75" customHeight="1">
      <c r="A115" s="10">
        <v>4</v>
      </c>
      <c r="B115" s="87" t="s">
        <v>88</v>
      </c>
      <c r="C115" s="87"/>
      <c r="D115" s="10" t="s">
        <v>26</v>
      </c>
    </row>
    <row r="116" spans="1:4" ht="12.75" customHeight="1">
      <c r="A116" s="8" t="s">
        <v>75</v>
      </c>
      <c r="B116" s="88" t="s">
        <v>76</v>
      </c>
      <c r="C116" s="88"/>
      <c r="D116" s="21">
        <f>D103</f>
        <v>113.25000000000001</v>
      </c>
    </row>
    <row r="117" spans="1:4" ht="12.75" customHeight="1">
      <c r="A117" s="8" t="s">
        <v>84</v>
      </c>
      <c r="B117" s="88" t="s">
        <v>85</v>
      </c>
      <c r="C117" s="88"/>
      <c r="D117" s="21">
        <f>D110</f>
        <v>0</v>
      </c>
    </row>
    <row r="118" spans="1:4" ht="12.75" customHeight="1">
      <c r="A118" s="87" t="s">
        <v>35</v>
      </c>
      <c r="B118" s="87"/>
      <c r="C118" s="87"/>
      <c r="D118" s="17">
        <f>SUM(D116:D117)</f>
        <v>113.25000000000001</v>
      </c>
    </row>
    <row r="121" spans="1:4">
      <c r="A121" s="90" t="s">
        <v>89</v>
      </c>
      <c r="B121" s="90"/>
      <c r="C121" s="90"/>
      <c r="D121" s="90"/>
    </row>
    <row r="123" spans="1:4" ht="12.75" customHeight="1">
      <c r="A123" s="10">
        <v>5</v>
      </c>
      <c r="B123" s="91" t="s">
        <v>90</v>
      </c>
      <c r="C123" s="91"/>
      <c r="D123" s="10" t="s">
        <v>26</v>
      </c>
    </row>
    <row r="124" spans="1:4">
      <c r="A124" s="8" t="s">
        <v>2</v>
      </c>
      <c r="B124" s="11" t="s">
        <v>91</v>
      </c>
      <c r="C124" s="11"/>
      <c r="D124" s="12">
        <v>0.39</v>
      </c>
    </row>
    <row r="125" spans="1:4">
      <c r="A125" s="8" t="s">
        <v>4</v>
      </c>
      <c r="B125" s="11" t="s">
        <v>92</v>
      </c>
      <c r="C125" s="11"/>
      <c r="D125" s="12"/>
    </row>
    <row r="126" spans="1:4">
      <c r="A126" s="8" t="s">
        <v>6</v>
      </c>
      <c r="B126" s="11" t="s">
        <v>93</v>
      </c>
      <c r="C126" s="11"/>
      <c r="D126" s="12"/>
    </row>
    <row r="127" spans="1:4">
      <c r="A127" s="8" t="s">
        <v>8</v>
      </c>
      <c r="B127" s="11" t="s">
        <v>34</v>
      </c>
      <c r="C127" s="11"/>
      <c r="D127" s="12"/>
    </row>
    <row r="128" spans="1:4" ht="12.75" customHeight="1">
      <c r="A128" s="87" t="s">
        <v>56</v>
      </c>
      <c r="B128" s="87"/>
      <c r="C128" s="87"/>
      <c r="D128" s="13">
        <f>SUM(D124:D127)</f>
        <v>0.39</v>
      </c>
    </row>
    <row r="131" spans="1:4">
      <c r="A131" s="90" t="s">
        <v>95</v>
      </c>
      <c r="B131" s="90"/>
      <c r="C131" s="90"/>
      <c r="D131" s="90"/>
    </row>
    <row r="133" spans="1:4">
      <c r="A133" s="10">
        <v>6</v>
      </c>
      <c r="B133" s="26" t="s">
        <v>96</v>
      </c>
      <c r="C133" s="10" t="s">
        <v>45</v>
      </c>
      <c r="D133" s="10" t="s">
        <v>26</v>
      </c>
    </row>
    <row r="134" spans="1:4">
      <c r="A134" s="8" t="s">
        <v>2</v>
      </c>
      <c r="B134" s="11" t="s">
        <v>97</v>
      </c>
      <c r="C134" s="18">
        <v>0.05</v>
      </c>
      <c r="D134" s="21">
        <f>D154*C134</f>
        <v>290.73818000000006</v>
      </c>
    </row>
    <row r="135" spans="1:4">
      <c r="A135" s="8" t="s">
        <v>4</v>
      </c>
      <c r="B135" s="11" t="s">
        <v>98</v>
      </c>
      <c r="C135" s="18">
        <v>0.06</v>
      </c>
      <c r="D135" s="12">
        <f>(D154+D134)*C135</f>
        <v>366.33010680000007</v>
      </c>
    </row>
    <row r="136" spans="1:4">
      <c r="A136" s="8" t="s">
        <v>6</v>
      </c>
      <c r="B136" s="11" t="s">
        <v>99</v>
      </c>
      <c r="C136" s="15">
        <f>SUM(C137:C142)</f>
        <v>8.6499999999999994E-2</v>
      </c>
      <c r="D136" s="12">
        <f>(D154+D134+D135)*C136/(1-C136)</f>
        <v>612.82261434942541</v>
      </c>
    </row>
    <row r="137" spans="1:4">
      <c r="A137" s="8"/>
      <c r="B137" s="11" t="s">
        <v>100</v>
      </c>
      <c r="C137" s="18"/>
      <c r="D137" s="21">
        <f t="shared" ref="D137:D142" si="2">$D$156*C137</f>
        <v>0</v>
      </c>
    </row>
    <row r="138" spans="1:4">
      <c r="A138" s="8"/>
      <c r="B138" s="11" t="s">
        <v>101</v>
      </c>
      <c r="C138" s="18">
        <v>6.4999999999999997E-3</v>
      </c>
      <c r="D138" s="21">
        <f t="shared" si="2"/>
        <v>46.050254257471273</v>
      </c>
    </row>
    <row r="139" spans="1:4">
      <c r="A139" s="8"/>
      <c r="B139" s="11" t="s">
        <v>102</v>
      </c>
      <c r="C139" s="18">
        <v>0.03</v>
      </c>
      <c r="D139" s="21">
        <f t="shared" si="2"/>
        <v>212.53963503448281</v>
      </c>
    </row>
    <row r="140" spans="1:4">
      <c r="A140" s="8"/>
      <c r="B140" s="11" t="s">
        <v>103</v>
      </c>
      <c r="C140" s="8"/>
      <c r="D140" s="21">
        <f t="shared" si="2"/>
        <v>0</v>
      </c>
    </row>
    <row r="141" spans="1:4">
      <c r="A141" s="8"/>
      <c r="B141" s="11" t="s">
        <v>104</v>
      </c>
      <c r="C141" s="18"/>
      <c r="D141" s="21">
        <f t="shared" si="2"/>
        <v>0</v>
      </c>
    </row>
    <row r="142" spans="1:4">
      <c r="A142" s="8"/>
      <c r="B142" s="11" t="s">
        <v>105</v>
      </c>
      <c r="C142" s="18">
        <v>0.05</v>
      </c>
      <c r="D142" s="21">
        <f t="shared" si="2"/>
        <v>354.23272505747138</v>
      </c>
    </row>
    <row r="143" spans="1:4" ht="13.5" customHeight="1">
      <c r="A143" s="89" t="s">
        <v>56</v>
      </c>
      <c r="B143" s="89"/>
      <c r="C143" s="27">
        <f>(1+C135)*(1+C134)/(1-C136)-1</f>
        <v>0.21839080459770144</v>
      </c>
      <c r="D143" s="17">
        <f>SUM(D134:D136)</f>
        <v>1269.8909011494256</v>
      </c>
    </row>
    <row r="146" spans="1:4">
      <c r="A146" s="90" t="s">
        <v>106</v>
      </c>
      <c r="B146" s="90"/>
      <c r="C146" s="90"/>
      <c r="D146" s="90"/>
    </row>
    <row r="148" spans="1:4" ht="12.75" customHeight="1">
      <c r="A148" s="10"/>
      <c r="B148" s="87" t="s">
        <v>107</v>
      </c>
      <c r="C148" s="87"/>
      <c r="D148" s="10" t="s">
        <v>26</v>
      </c>
    </row>
    <row r="149" spans="1:4" ht="12.75" customHeight="1">
      <c r="A149" s="10" t="s">
        <v>2</v>
      </c>
      <c r="B149" s="88" t="s">
        <v>24</v>
      </c>
      <c r="C149" s="88"/>
      <c r="D149" s="28">
        <f>D33</f>
        <v>2909.44</v>
      </c>
    </row>
    <row r="150" spans="1:4" ht="12.75" customHeight="1">
      <c r="A150" s="10" t="s">
        <v>4</v>
      </c>
      <c r="B150" s="88" t="s">
        <v>36</v>
      </c>
      <c r="C150" s="88"/>
      <c r="D150" s="28">
        <f>D76</f>
        <v>2612.5036</v>
      </c>
    </row>
    <row r="151" spans="1:4" ht="12.75" customHeight="1">
      <c r="A151" s="10" t="s">
        <v>6</v>
      </c>
      <c r="B151" s="88" t="s">
        <v>65</v>
      </c>
      <c r="C151" s="88"/>
      <c r="D151" s="28">
        <f>D88</f>
        <v>179.18</v>
      </c>
    </row>
    <row r="152" spans="1:4" ht="12.75" customHeight="1">
      <c r="A152" s="10" t="s">
        <v>8</v>
      </c>
      <c r="B152" s="88" t="s">
        <v>73</v>
      </c>
      <c r="C152" s="88"/>
      <c r="D152" s="28">
        <f>D118</f>
        <v>113.25000000000001</v>
      </c>
    </row>
    <row r="153" spans="1:4" ht="12.75" customHeight="1">
      <c r="A153" s="10" t="s">
        <v>31</v>
      </c>
      <c r="B153" s="88" t="s">
        <v>89</v>
      </c>
      <c r="C153" s="88"/>
      <c r="D153" s="28">
        <f>D128</f>
        <v>0.39</v>
      </c>
    </row>
    <row r="154" spans="1:4" ht="12.75" customHeight="1">
      <c r="A154" s="87" t="s">
        <v>108</v>
      </c>
      <c r="B154" s="87"/>
      <c r="C154" s="87"/>
      <c r="D154" s="29">
        <f>SUM(D149:D153)</f>
        <v>5814.7636000000011</v>
      </c>
    </row>
    <row r="155" spans="1:4" ht="12.75" customHeight="1">
      <c r="A155" s="10" t="s">
        <v>51</v>
      </c>
      <c r="B155" s="88" t="s">
        <v>109</v>
      </c>
      <c r="C155" s="88"/>
      <c r="D155" s="30">
        <f>D143</f>
        <v>1269.8909011494256</v>
      </c>
    </row>
    <row r="156" spans="1:4" ht="12.75" customHeight="1">
      <c r="A156" s="87" t="s">
        <v>110</v>
      </c>
      <c r="B156" s="87"/>
      <c r="C156" s="87"/>
      <c r="D156" s="29">
        <f>SUM(D154:D155)</f>
        <v>7084.6545011494272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firstPageNumber="0" fitToHeight="0" orientation="portrait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27"/>
  <sheetViews>
    <sheetView tabSelected="1" view="pageBreakPreview" zoomScale="60" zoomScaleNormal="100" workbookViewId="0">
      <selection activeCell="I11" sqref="I11"/>
    </sheetView>
  </sheetViews>
  <sheetFormatPr defaultColWidth="9.140625" defaultRowHeight="15"/>
  <cols>
    <col min="1" max="1" width="13.140625" style="31" customWidth="1"/>
    <col min="2" max="2" width="65.5703125" style="32" customWidth="1"/>
    <col min="3" max="3" width="13.140625" style="32" customWidth="1"/>
    <col min="4" max="5" width="13.140625" style="31" customWidth="1"/>
    <col min="6" max="6" width="15.140625" style="31" bestFit="1" customWidth="1"/>
    <col min="7" max="1023" width="9.140625" style="31"/>
    <col min="1024" max="1024" width="11.5703125" customWidth="1"/>
  </cols>
  <sheetData>
    <row r="1" spans="1:1023">
      <c r="A1" s="117"/>
      <c r="B1" s="117"/>
      <c r="C1" s="117"/>
      <c r="D1" s="117"/>
      <c r="E1" s="117"/>
      <c r="F1" s="117"/>
    </row>
    <row r="2" spans="1:1023">
      <c r="A2" s="117"/>
      <c r="B2" s="117"/>
      <c r="C2" s="117"/>
      <c r="D2" s="117"/>
      <c r="E2" s="117"/>
      <c r="F2" s="117"/>
    </row>
    <row r="3" spans="1:1023">
      <c r="A3" s="117"/>
      <c r="B3" s="117"/>
      <c r="C3" s="117"/>
      <c r="D3" s="117"/>
      <c r="E3" s="117"/>
      <c r="F3" s="117"/>
    </row>
    <row r="4" spans="1:1023">
      <c r="A4" s="117"/>
      <c r="B4" s="117"/>
      <c r="C4" s="117"/>
      <c r="D4" s="117"/>
      <c r="E4" s="117"/>
      <c r="F4" s="117"/>
    </row>
    <row r="5" spans="1:1023">
      <c r="A5" s="117"/>
      <c r="B5" s="117"/>
      <c r="C5" s="117"/>
      <c r="D5" s="117"/>
      <c r="E5" s="117"/>
      <c r="F5" s="117"/>
    </row>
    <row r="6" spans="1:1023">
      <c r="A6" s="115"/>
      <c r="B6" s="115"/>
      <c r="C6" s="115"/>
      <c r="D6" s="115"/>
      <c r="E6" s="115"/>
      <c r="F6" s="115"/>
    </row>
    <row r="7" spans="1:1023">
      <c r="A7" s="115"/>
      <c r="B7" s="115"/>
      <c r="C7" s="115"/>
      <c r="D7" s="115"/>
      <c r="E7" s="115"/>
      <c r="F7" s="115"/>
    </row>
    <row r="8" spans="1:1023">
      <c r="A8" s="115"/>
      <c r="B8" s="115"/>
      <c r="C8" s="115"/>
      <c r="D8" s="115"/>
      <c r="E8" s="115"/>
      <c r="F8" s="115"/>
    </row>
    <row r="9" spans="1:1023">
      <c r="A9" s="116" t="s">
        <v>130</v>
      </c>
      <c r="B9" s="116"/>
      <c r="C9" s="116"/>
      <c r="D9" s="116"/>
      <c r="E9" s="116"/>
      <c r="F9" s="116">
        <f ca="1">TODAY()</f>
        <v>44568</v>
      </c>
    </row>
    <row r="11" spans="1:1023">
      <c r="A11" s="111" t="s">
        <v>149</v>
      </c>
      <c r="B11" s="111"/>
      <c r="C11" s="111"/>
      <c r="D11" s="111"/>
      <c r="E11" s="111"/>
      <c r="F11" s="111"/>
    </row>
    <row r="12" spans="1:1023">
      <c r="A12" s="33"/>
      <c r="B12" s="34"/>
      <c r="C12" s="35"/>
      <c r="D12" s="35"/>
      <c r="E12" s="35"/>
      <c r="F12" s="35"/>
    </row>
    <row r="13" spans="1:1023" ht="42.75" customHeight="1">
      <c r="A13" s="36" t="s">
        <v>150</v>
      </c>
      <c r="B13" s="114" t="s">
        <v>131</v>
      </c>
      <c r="C13" s="114"/>
      <c r="D13" s="36" t="s">
        <v>132</v>
      </c>
      <c r="E13" s="36" t="s">
        <v>133</v>
      </c>
      <c r="F13" s="36" t="s">
        <v>134</v>
      </c>
      <c r="AMI13"/>
    </row>
    <row r="14" spans="1:1023" ht="30" customHeight="1">
      <c r="A14" s="37" t="s">
        <v>151</v>
      </c>
      <c r="B14" s="113" t="str">
        <f>atend_II!A13</f>
        <v>Atendente de Equipe Especializada II – Atendimento Presencial
ao Usuário</v>
      </c>
      <c r="C14" s="113"/>
      <c r="D14" s="40">
        <f>atend_II!D156</f>
        <v>4670.33</v>
      </c>
      <c r="E14" s="38">
        <f>atend_II!D13</f>
        <v>6</v>
      </c>
      <c r="F14" s="39">
        <f>ROUND(D14*E14,2)</f>
        <v>28021.98</v>
      </c>
      <c r="AMI14"/>
    </row>
    <row r="15" spans="1:1023" ht="30" customHeight="1">
      <c r="A15" s="37" t="s">
        <v>152</v>
      </c>
      <c r="B15" s="113" t="str">
        <f>analista_V!A13</f>
        <v>Analista de Suporte em 3° Nível - Equipe especializada V – Redes Locais, Metropolitanas e de Longa Distância</v>
      </c>
      <c r="C15" s="113"/>
      <c r="D15" s="40">
        <f>analista_V!D156</f>
        <v>22551.05</v>
      </c>
      <c r="E15" s="38">
        <f>analista_V!D13</f>
        <v>1</v>
      </c>
      <c r="F15" s="39">
        <f t="shared" ref="F15:F17" si="0">ROUND(D15*E15,2)</f>
        <v>22551.05</v>
      </c>
      <c r="AMI15"/>
    </row>
    <row r="16" spans="1:1023" ht="30" customHeight="1">
      <c r="A16" s="37" t="s">
        <v>152</v>
      </c>
      <c r="B16" s="113" t="str">
        <f>analista_VII!A13</f>
        <v>Analista de Suporte em 3° Nível - Equipe especializada VII – Sistemas Operacionais e Orquestração de Servidores</v>
      </c>
      <c r="C16" s="113"/>
      <c r="D16" s="40">
        <f>analista_VII!D156</f>
        <v>22551.05</v>
      </c>
      <c r="E16" s="38">
        <f>analista_VII!D13</f>
        <v>2</v>
      </c>
      <c r="F16" s="39">
        <f t="shared" si="0"/>
        <v>45102.1</v>
      </c>
      <c r="AMI16"/>
    </row>
    <row r="17" spans="1:1023" ht="30" customHeight="1">
      <c r="A17" s="37" t="s">
        <v>152</v>
      </c>
      <c r="B17" s="113" t="str">
        <f>lider_II_X!A13</f>
        <v>Líder Técnico Equipes II a X</v>
      </c>
      <c r="C17" s="113"/>
      <c r="D17" s="40">
        <f>lider_II_X!D156</f>
        <v>9689.84</v>
      </c>
      <c r="E17" s="38">
        <f>lider_II_X!D13</f>
        <v>2</v>
      </c>
      <c r="F17" s="39">
        <f t="shared" si="0"/>
        <v>19379.68</v>
      </c>
      <c r="AMI17"/>
    </row>
    <row r="18" spans="1:1023">
      <c r="A18" s="35"/>
      <c r="B18" s="35"/>
      <c r="C18" s="35"/>
      <c r="D18" s="35"/>
      <c r="E18" s="41"/>
      <c r="F18" s="42"/>
    </row>
    <row r="19" spans="1:1023">
      <c r="A19" s="111" t="s">
        <v>136</v>
      </c>
      <c r="B19" s="111"/>
      <c r="C19" s="111"/>
      <c r="D19" s="111"/>
      <c r="E19" s="111"/>
      <c r="F19" s="111"/>
    </row>
    <row r="21" spans="1:1023" ht="28.5" customHeight="1">
      <c r="A21" s="36" t="s">
        <v>135</v>
      </c>
      <c r="B21" s="36" t="s">
        <v>137</v>
      </c>
      <c r="C21" s="36" t="s">
        <v>138</v>
      </c>
      <c r="D21" s="36" t="s">
        <v>139</v>
      </c>
      <c r="E21" s="36" t="s">
        <v>134</v>
      </c>
      <c r="F21" s="36" t="s">
        <v>140</v>
      </c>
      <c r="AMI21"/>
    </row>
    <row r="22" spans="1:1023" ht="120" customHeight="1">
      <c r="A22" s="47">
        <v>1</v>
      </c>
      <c r="B22" s="48" t="s">
        <v>141</v>
      </c>
      <c r="C22" s="49" t="s">
        <v>142</v>
      </c>
      <c r="D22" s="50">
        <v>30</v>
      </c>
      <c r="E22" s="51">
        <f>Item1!E3</f>
        <v>52196.55</v>
      </c>
      <c r="F22" s="52">
        <f>D22*E22</f>
        <v>1565896.5</v>
      </c>
      <c r="AMI22"/>
    </row>
    <row r="23" spans="1:1023" ht="150" customHeight="1">
      <c r="A23" s="37">
        <v>2</v>
      </c>
      <c r="B23" s="44" t="s">
        <v>143</v>
      </c>
      <c r="C23" s="43" t="s">
        <v>142</v>
      </c>
      <c r="D23" s="38">
        <v>30</v>
      </c>
      <c r="E23" s="39">
        <f>SUM(F14,F15,F16,F17)</f>
        <v>115054.81</v>
      </c>
      <c r="F23" s="45">
        <f>D23*E23</f>
        <v>3451644.3</v>
      </c>
      <c r="AMI23"/>
    </row>
    <row r="24" spans="1:1023" ht="150" customHeight="1">
      <c r="A24" s="47">
        <v>3</v>
      </c>
      <c r="B24" s="48" t="s">
        <v>144</v>
      </c>
      <c r="C24" s="49" t="s">
        <v>142</v>
      </c>
      <c r="D24" s="50">
        <v>30</v>
      </c>
      <c r="E24" s="51">
        <f>Item3!E3</f>
        <v>53127.73</v>
      </c>
      <c r="F24" s="52">
        <f>D24*E24</f>
        <v>1593831.9000000001</v>
      </c>
      <c r="AMI24"/>
    </row>
    <row r="25" spans="1:1023" ht="30" customHeight="1">
      <c r="A25" s="47">
        <v>4</v>
      </c>
      <c r="B25" s="48" t="s">
        <v>145</v>
      </c>
      <c r="C25" s="49" t="s">
        <v>142</v>
      </c>
      <c r="D25" s="50">
        <v>30</v>
      </c>
      <c r="E25" s="51">
        <f>Item4!E3</f>
        <v>15510.75</v>
      </c>
      <c r="F25" s="52">
        <f>D25*E25</f>
        <v>465322.5</v>
      </c>
      <c r="AMI25"/>
    </row>
    <row r="26" spans="1:1023" ht="45" customHeight="1">
      <c r="A26" s="47">
        <v>5</v>
      </c>
      <c r="B26" s="48" t="s">
        <v>146</v>
      </c>
      <c r="C26" s="49" t="s">
        <v>147</v>
      </c>
      <c r="D26" s="50">
        <v>2400</v>
      </c>
      <c r="E26" s="51">
        <f>Item5!E3</f>
        <v>70.05</v>
      </c>
      <c r="F26" s="52">
        <f>D26*E26</f>
        <v>168120</v>
      </c>
      <c r="AMI26"/>
    </row>
    <row r="27" spans="1:1023">
      <c r="A27" s="112" t="s">
        <v>148</v>
      </c>
      <c r="B27" s="112"/>
      <c r="C27" s="112"/>
      <c r="D27" s="112"/>
      <c r="E27" s="112"/>
      <c r="F27" s="46">
        <f>SUM(F22:F26)</f>
        <v>7244815.2000000002</v>
      </c>
      <c r="AMI27"/>
    </row>
  </sheetData>
  <mergeCells count="17">
    <mergeCell ref="A1:F1"/>
    <mergeCell ref="A2:F2"/>
    <mergeCell ref="A3:F3"/>
    <mergeCell ref="A4:F4"/>
    <mergeCell ref="A5:F5"/>
    <mergeCell ref="B13:C13"/>
    <mergeCell ref="B14:C14"/>
    <mergeCell ref="A6:F6"/>
    <mergeCell ref="A7:F7"/>
    <mergeCell ref="A8:F8"/>
    <mergeCell ref="A9:F9"/>
    <mergeCell ref="A11:F11"/>
    <mergeCell ref="A19:F19"/>
    <mergeCell ref="A27:E27"/>
    <mergeCell ref="B17:C17"/>
    <mergeCell ref="B15:C15"/>
    <mergeCell ref="B16:C16"/>
  </mergeCells>
  <printOptions horizontalCentered="1"/>
  <pageMargins left="0.78740157480314965" right="0.78740157480314965" top="0.78740157480314965" bottom="0.94488188976377963" header="0.51181102362204722" footer="0.78740157480314965"/>
  <pageSetup paperSize="9" scale="96" firstPageNumber="0" fitToHeight="0" orientation="landscape" horizontalDpi="300" verticalDpi="300" r:id="rId1"/>
  <headerFooter>
    <oddFooter>&amp;L&amp;"Times New Roman,Normal"&amp;12Estimativa em &amp;D</oddFooter>
  </headerFooter>
  <rowBreaks count="1" manualBreakCount="1">
    <brk id="18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18" zoomScale="115" zoomScaleNormal="115" workbookViewId="0">
      <selection activeCell="A13" sqref="A13:B13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97" t="s">
        <v>0</v>
      </c>
      <c r="B1" s="97"/>
      <c r="C1" s="97"/>
      <c r="D1" s="97"/>
    </row>
    <row r="2" spans="1:4" ht="15.75">
      <c r="A2" s="2"/>
      <c r="B2" s="2"/>
      <c r="C2" s="2"/>
      <c r="D2" s="2"/>
    </row>
    <row r="3" spans="1:4">
      <c r="A3" s="90" t="s">
        <v>1</v>
      </c>
      <c r="B3" s="90"/>
      <c r="C3" s="90"/>
      <c r="D3" s="90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90" t="s">
        <v>10</v>
      </c>
      <c r="B10" s="90"/>
      <c r="C10" s="90"/>
      <c r="D10" s="90"/>
    </row>
    <row r="11" spans="1:4">
      <c r="A11" s="3"/>
      <c r="B11" s="3"/>
      <c r="C11" s="3"/>
      <c r="D11" s="3"/>
    </row>
    <row r="12" spans="1:4" ht="38.25" customHeight="1">
      <c r="A12" s="98" t="s">
        <v>11</v>
      </c>
      <c r="B12" s="98"/>
      <c r="C12" s="8" t="s">
        <v>12</v>
      </c>
      <c r="D12" s="9" t="s">
        <v>13</v>
      </c>
    </row>
    <row r="13" spans="1:4" ht="30" customHeight="1">
      <c r="A13" s="99" t="s">
        <v>111</v>
      </c>
      <c r="B13" s="99"/>
      <c r="C13" s="7" t="s">
        <v>15</v>
      </c>
      <c r="D13" s="7">
        <v>2</v>
      </c>
    </row>
    <row r="15" spans="1:4">
      <c r="A15" s="90" t="s">
        <v>16</v>
      </c>
      <c r="B15" s="90"/>
      <c r="C15" s="90"/>
      <c r="D15" s="90"/>
    </row>
    <row r="16" spans="1:4">
      <c r="A16" s="3"/>
      <c r="B16" s="3"/>
      <c r="C16" s="3"/>
      <c r="D16" s="3"/>
    </row>
    <row r="17" spans="1:4">
      <c r="A17" s="4">
        <v>1</v>
      </c>
      <c r="B17" s="4" t="s">
        <v>17</v>
      </c>
      <c r="C17" s="95" t="s">
        <v>112</v>
      </c>
      <c r="D17" s="95"/>
    </row>
    <row r="18" spans="1:4">
      <c r="A18" s="4">
        <v>2</v>
      </c>
      <c r="B18" s="4" t="s">
        <v>19</v>
      </c>
      <c r="C18" s="95" t="s">
        <v>113</v>
      </c>
      <c r="D18" s="95"/>
    </row>
    <row r="19" spans="1:4">
      <c r="A19" s="4">
        <v>3</v>
      </c>
      <c r="B19" s="4" t="s">
        <v>21</v>
      </c>
      <c r="C19" s="96">
        <v>1100</v>
      </c>
      <c r="D19" s="96"/>
    </row>
    <row r="20" spans="1:4">
      <c r="A20" s="4">
        <v>4</v>
      </c>
      <c r="B20" s="4" t="s">
        <v>22</v>
      </c>
      <c r="C20" s="95"/>
      <c r="D20" s="95"/>
    </row>
    <row r="21" spans="1:4">
      <c r="A21" s="4">
        <v>5</v>
      </c>
      <c r="B21" s="4" t="s">
        <v>23</v>
      </c>
      <c r="C21" s="95"/>
      <c r="D21" s="95"/>
    </row>
    <row r="23" spans="1:4">
      <c r="A23" s="90" t="s">
        <v>24</v>
      </c>
      <c r="B23" s="90"/>
      <c r="C23" s="90"/>
      <c r="D23" s="90"/>
    </row>
    <row r="25" spans="1:4" ht="12.75" customHeight="1">
      <c r="A25" s="10">
        <v>1</v>
      </c>
      <c r="B25" s="87" t="s">
        <v>25</v>
      </c>
      <c r="C25" s="87"/>
      <c r="D25" s="10" t="s">
        <v>26</v>
      </c>
    </row>
    <row r="26" spans="1:4" ht="12.75" customHeight="1">
      <c r="A26" s="8" t="s">
        <v>2</v>
      </c>
      <c r="B26" s="88" t="s">
        <v>27</v>
      </c>
      <c r="C26" s="88"/>
      <c r="D26" s="12">
        <v>3008.94</v>
      </c>
    </row>
    <row r="27" spans="1:4" ht="12.75" customHeight="1">
      <c r="A27" s="8" t="s">
        <v>4</v>
      </c>
      <c r="B27" s="88" t="s">
        <v>28</v>
      </c>
      <c r="C27" s="88"/>
      <c r="D27" s="12"/>
    </row>
    <row r="28" spans="1:4" ht="12.75" customHeight="1">
      <c r="A28" s="8" t="s">
        <v>6</v>
      </c>
      <c r="B28" s="88" t="s">
        <v>29</v>
      </c>
      <c r="C28" s="88"/>
      <c r="D28" s="12"/>
    </row>
    <row r="29" spans="1:4" ht="12.75" customHeight="1">
      <c r="A29" s="8" t="s">
        <v>8</v>
      </c>
      <c r="B29" s="88" t="s">
        <v>30</v>
      </c>
      <c r="C29" s="88"/>
      <c r="D29" s="12"/>
    </row>
    <row r="30" spans="1:4" ht="12.75" customHeight="1">
      <c r="A30" s="8" t="s">
        <v>31</v>
      </c>
      <c r="B30" s="88" t="s">
        <v>32</v>
      </c>
      <c r="C30" s="88"/>
      <c r="D30" s="12"/>
    </row>
    <row r="31" spans="1:4">
      <c r="A31" s="8"/>
      <c r="B31" s="88"/>
      <c r="C31" s="88"/>
      <c r="D31" s="12"/>
    </row>
    <row r="32" spans="1:4" ht="12.75" customHeight="1">
      <c r="A32" s="8" t="s">
        <v>33</v>
      </c>
      <c r="B32" s="88" t="s">
        <v>34</v>
      </c>
      <c r="C32" s="88"/>
      <c r="D32" s="12"/>
    </row>
    <row r="33" spans="1:4" ht="12.75" customHeight="1">
      <c r="A33" s="87" t="s">
        <v>35</v>
      </c>
      <c r="B33" s="87"/>
      <c r="C33" s="87"/>
      <c r="D33" s="13">
        <f>SUM(D26:D32)</f>
        <v>3008.94</v>
      </c>
    </row>
    <row r="36" spans="1:4">
      <c r="A36" s="90" t="s">
        <v>36</v>
      </c>
      <c r="B36" s="90"/>
      <c r="C36" s="90"/>
      <c r="D36" s="90"/>
    </row>
    <row r="37" spans="1:4">
      <c r="A37" s="14"/>
    </row>
    <row r="38" spans="1:4">
      <c r="A38" s="92" t="s">
        <v>37</v>
      </c>
      <c r="B38" s="92"/>
      <c r="C38" s="92"/>
      <c r="D38" s="92"/>
    </row>
    <row r="40" spans="1:4" ht="12.75" customHeight="1">
      <c r="A40" s="10" t="s">
        <v>38</v>
      </c>
      <c r="B40" s="87" t="s">
        <v>39</v>
      </c>
      <c r="C40" s="87"/>
      <c r="D40" s="10" t="s">
        <v>26</v>
      </c>
    </row>
    <row r="41" spans="1:4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250.64</v>
      </c>
    </row>
    <row r="42" spans="1:4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334.29</v>
      </c>
    </row>
    <row r="43" spans="1:4" ht="12.75" customHeight="1">
      <c r="A43" s="87" t="s">
        <v>35</v>
      </c>
      <c r="B43" s="87"/>
      <c r="C43" s="16">
        <f>SUM(C41:C42)</f>
        <v>0.19440000000000002</v>
      </c>
      <c r="D43" s="17">
        <f>SUM(D41:D42)</f>
        <v>584.93000000000006</v>
      </c>
    </row>
    <row r="46" spans="1:4" ht="12.75" customHeight="1">
      <c r="A46" s="94" t="s">
        <v>42</v>
      </c>
      <c r="B46" s="94"/>
      <c r="C46" s="94"/>
      <c r="D46" s="94"/>
    </row>
    <row r="48" spans="1:4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718.77</v>
      </c>
    </row>
    <row r="50" spans="1:4">
      <c r="A50" s="8" t="s">
        <v>4</v>
      </c>
      <c r="B50" s="11" t="s">
        <v>47</v>
      </c>
      <c r="C50" s="18">
        <v>2.5000000000000001E-2</v>
      </c>
      <c r="D50" s="12">
        <f t="shared" si="0"/>
        <v>89.84</v>
      </c>
    </row>
    <row r="51" spans="1:4">
      <c r="A51" s="8" t="s">
        <v>6</v>
      </c>
      <c r="B51" s="11" t="s">
        <v>48</v>
      </c>
      <c r="C51" s="19">
        <v>0.03</v>
      </c>
      <c r="D51" s="12">
        <f t="shared" si="0"/>
        <v>107.81</v>
      </c>
    </row>
    <row r="52" spans="1:4">
      <c r="A52" s="8" t="s">
        <v>8</v>
      </c>
      <c r="B52" s="11" t="s">
        <v>49</v>
      </c>
      <c r="C52" s="18">
        <v>1.4999999999999999E-2</v>
      </c>
      <c r="D52" s="12">
        <f t="shared" si="0"/>
        <v>53.9</v>
      </c>
    </row>
    <row r="53" spans="1:4">
      <c r="A53" s="8" t="s">
        <v>31</v>
      </c>
      <c r="B53" s="11" t="s">
        <v>50</v>
      </c>
      <c r="C53" s="18">
        <v>0.01</v>
      </c>
      <c r="D53" s="12">
        <f t="shared" si="0"/>
        <v>35.93</v>
      </c>
    </row>
    <row r="54" spans="1:4">
      <c r="A54" s="8" t="s">
        <v>51</v>
      </c>
      <c r="B54" s="11" t="s">
        <v>52</v>
      </c>
      <c r="C54" s="18">
        <v>6.0000000000000001E-3</v>
      </c>
      <c r="D54" s="12">
        <f t="shared" si="0"/>
        <v>21.56</v>
      </c>
    </row>
    <row r="55" spans="1:4">
      <c r="A55" s="8" t="s">
        <v>33</v>
      </c>
      <c r="B55" s="11" t="s">
        <v>53</v>
      </c>
      <c r="C55" s="18">
        <v>2E-3</v>
      </c>
      <c r="D55" s="12">
        <f t="shared" si="0"/>
        <v>7.18</v>
      </c>
    </row>
    <row r="56" spans="1:4">
      <c r="A56" s="8" t="s">
        <v>54</v>
      </c>
      <c r="B56" s="11" t="s">
        <v>55</v>
      </c>
      <c r="C56" s="18">
        <v>0.08</v>
      </c>
      <c r="D56" s="12">
        <f t="shared" si="0"/>
        <v>287.5</v>
      </c>
    </row>
    <row r="57" spans="1:4" ht="12.75" customHeight="1">
      <c r="A57" s="87" t="s">
        <v>56</v>
      </c>
      <c r="B57" s="87"/>
      <c r="C57" s="20">
        <f>SUM(C49:C56)</f>
        <v>0.36800000000000005</v>
      </c>
      <c r="D57" s="17">
        <f>SUM(D49:D56)</f>
        <v>1322.49</v>
      </c>
    </row>
    <row r="60" spans="1:4">
      <c r="A60" s="92" t="s">
        <v>57</v>
      </c>
      <c r="B60" s="92"/>
      <c r="C60" s="92"/>
      <c r="D60" s="92"/>
    </row>
    <row r="62" spans="1:4" ht="12.75" customHeight="1">
      <c r="A62" s="10" t="s">
        <v>58</v>
      </c>
      <c r="B62" s="93" t="s">
        <v>59</v>
      </c>
      <c r="C62" s="93"/>
      <c r="D62" s="10" t="s">
        <v>26</v>
      </c>
    </row>
    <row r="63" spans="1:4" ht="12.75" customHeight="1">
      <c r="A63" s="8" t="s">
        <v>2</v>
      </c>
      <c r="B63" s="88" t="s">
        <v>60</v>
      </c>
      <c r="C63" s="88"/>
      <c r="D63" s="12">
        <f>IF((23*2*4.4)-(D26*0.06)&lt;0,0,(23*2*4.4)-(D26*0.06))</f>
        <v>21.863600000000019</v>
      </c>
    </row>
    <row r="64" spans="1:4" ht="12.75" customHeight="1">
      <c r="A64" s="8" t="s">
        <v>4</v>
      </c>
      <c r="B64" s="88" t="s">
        <v>61</v>
      </c>
      <c r="C64" s="88"/>
      <c r="D64" s="12">
        <f>23*(29-2.9)</f>
        <v>600.30000000000007</v>
      </c>
    </row>
    <row r="65" spans="1:5" ht="12.75" customHeight="1">
      <c r="A65" s="8" t="s">
        <v>6</v>
      </c>
      <c r="B65" s="88" t="s">
        <v>62</v>
      </c>
      <c r="C65" s="88"/>
      <c r="D65" s="12">
        <f>200*0.7</f>
        <v>140</v>
      </c>
    </row>
    <row r="66" spans="1:5" ht="12.75" customHeight="1">
      <c r="A66" s="8" t="s">
        <v>8</v>
      </c>
      <c r="B66" s="88" t="s">
        <v>34</v>
      </c>
      <c r="C66" s="88"/>
      <c r="D66" s="12"/>
    </row>
    <row r="67" spans="1:5" ht="12.75" customHeight="1">
      <c r="A67" s="87" t="s">
        <v>35</v>
      </c>
      <c r="B67" s="87"/>
      <c r="C67" s="87"/>
      <c r="D67" s="17">
        <f>SUM(D63:D66)</f>
        <v>762.16360000000009</v>
      </c>
    </row>
    <row r="70" spans="1:5">
      <c r="A70" s="92" t="s">
        <v>63</v>
      </c>
      <c r="B70" s="92"/>
      <c r="C70" s="92"/>
      <c r="D70" s="92"/>
    </row>
    <row r="72" spans="1:5" ht="12.75" customHeight="1">
      <c r="A72" s="10">
        <v>2</v>
      </c>
      <c r="B72" s="93" t="s">
        <v>64</v>
      </c>
      <c r="C72" s="93"/>
      <c r="D72" s="10" t="s">
        <v>26</v>
      </c>
    </row>
    <row r="73" spans="1:5" ht="12.75" customHeight="1">
      <c r="A73" s="8" t="s">
        <v>38</v>
      </c>
      <c r="B73" s="88" t="s">
        <v>39</v>
      </c>
      <c r="C73" s="88"/>
      <c r="D73" s="21">
        <f>D43</f>
        <v>584.93000000000006</v>
      </c>
    </row>
    <row r="74" spans="1:5" ht="12.75" customHeight="1">
      <c r="A74" s="8" t="s">
        <v>43</v>
      </c>
      <c r="B74" s="88" t="s">
        <v>44</v>
      </c>
      <c r="C74" s="88"/>
      <c r="D74" s="21">
        <f>D57</f>
        <v>1322.49</v>
      </c>
    </row>
    <row r="75" spans="1:5" ht="12.75" customHeight="1">
      <c r="A75" s="8" t="s">
        <v>58</v>
      </c>
      <c r="B75" s="88" t="s">
        <v>59</v>
      </c>
      <c r="C75" s="88"/>
      <c r="D75" s="21">
        <f>D67</f>
        <v>762.16360000000009</v>
      </c>
    </row>
    <row r="76" spans="1:5" ht="12.75" customHeight="1">
      <c r="A76" s="87" t="s">
        <v>35</v>
      </c>
      <c r="B76" s="87"/>
      <c r="C76" s="87"/>
      <c r="D76" s="17">
        <f>SUM(D73:D75)</f>
        <v>2669.5835999999999</v>
      </c>
    </row>
    <row r="77" spans="1:5">
      <c r="A77" s="22"/>
      <c r="E77" s="23"/>
    </row>
    <row r="79" spans="1:5">
      <c r="A79" s="90" t="s">
        <v>65</v>
      </c>
      <c r="B79" s="90"/>
      <c r="C79" s="90"/>
      <c r="D79" s="90"/>
      <c r="E79" s="24"/>
    </row>
    <row r="80" spans="1:5" ht="12.75" customHeight="1">
      <c r="E80" s="23"/>
    </row>
    <row r="81" spans="1:4" ht="12.75" customHeight="1">
      <c r="A81" s="10">
        <v>3</v>
      </c>
      <c r="B81" s="93" t="s">
        <v>66</v>
      </c>
      <c r="C81" s="93"/>
      <c r="D81" s="10" t="s">
        <v>26</v>
      </c>
    </row>
    <row r="82" spans="1:4">
      <c r="A82" s="8" t="s">
        <v>2</v>
      </c>
      <c r="B82" s="25" t="s">
        <v>67</v>
      </c>
      <c r="C82" s="18">
        <f>TRUNC(((1/12)*5%),4)</f>
        <v>4.1000000000000003E-3</v>
      </c>
      <c r="D82" s="12">
        <f>TRUNC($D$33*C82,2)</f>
        <v>12.33</v>
      </c>
    </row>
    <row r="83" spans="1:4">
      <c r="A83" s="8" t="s">
        <v>4</v>
      </c>
      <c r="B83" s="25" t="s">
        <v>68</v>
      </c>
      <c r="C83" s="18">
        <v>0.08</v>
      </c>
      <c r="D83" s="12">
        <f>TRUNC(D82*C83,2)</f>
        <v>0.98</v>
      </c>
    </row>
    <row r="84" spans="1:4">
      <c r="A84" s="8" t="s">
        <v>6</v>
      </c>
      <c r="B84" s="25" t="s">
        <v>69</v>
      </c>
      <c r="C84" s="18">
        <f>TRUNC(8%*5%*40%,4)</f>
        <v>1.6000000000000001E-3</v>
      </c>
      <c r="D84" s="12">
        <f>TRUNC($D$33*C84,2)</f>
        <v>4.8099999999999996</v>
      </c>
    </row>
    <row r="85" spans="1:4">
      <c r="A85" s="8" t="s">
        <v>8</v>
      </c>
      <c r="B85" s="25" t="s">
        <v>70</v>
      </c>
      <c r="C85" s="18">
        <f>TRUNC(((7/30)/12)*95%,4)</f>
        <v>1.84E-2</v>
      </c>
      <c r="D85" s="12">
        <f>TRUNC($D$33*C85,2)</f>
        <v>55.36</v>
      </c>
    </row>
    <row r="86" spans="1:4" ht="25.5">
      <c r="A86" s="8" t="s">
        <v>31</v>
      </c>
      <c r="B86" s="25" t="s">
        <v>71</v>
      </c>
      <c r="C86" s="18">
        <f>C57</f>
        <v>0.36800000000000005</v>
      </c>
      <c r="D86" s="12">
        <f>TRUNC(D85*C86,2)</f>
        <v>20.37</v>
      </c>
    </row>
    <row r="87" spans="1:4">
      <c r="A87" s="8" t="s">
        <v>51</v>
      </c>
      <c r="B87" s="25" t="s">
        <v>72</v>
      </c>
      <c r="C87" s="18">
        <f>TRUNC(8%*95%*40%,4)</f>
        <v>3.04E-2</v>
      </c>
      <c r="D87" s="12">
        <f>TRUNC($D$33*C87,2)</f>
        <v>91.47</v>
      </c>
    </row>
    <row r="88" spans="1:4" ht="12.75" customHeight="1">
      <c r="A88" s="87" t="s">
        <v>35</v>
      </c>
      <c r="B88" s="87"/>
      <c r="C88" s="87"/>
      <c r="D88" s="17">
        <f>SUM(D82:D87)</f>
        <v>185.32</v>
      </c>
    </row>
    <row r="91" spans="1:4">
      <c r="A91" s="90" t="s">
        <v>73</v>
      </c>
      <c r="B91" s="90"/>
      <c r="C91" s="90"/>
      <c r="D91" s="90"/>
    </row>
    <row r="94" spans="1:4">
      <c r="A94" s="92" t="s">
        <v>74</v>
      </c>
      <c r="B94" s="92"/>
      <c r="C94" s="92"/>
      <c r="D94" s="92"/>
    </row>
    <row r="95" spans="1:4">
      <c r="A95" s="14"/>
    </row>
    <row r="96" spans="1:4" ht="12.75" customHeight="1">
      <c r="A96" s="10" t="s">
        <v>75</v>
      </c>
      <c r="B96" s="93" t="s">
        <v>76</v>
      </c>
      <c r="C96" s="93"/>
      <c r="D96" s="10" t="s">
        <v>26</v>
      </c>
    </row>
    <row r="97" spans="1:6">
      <c r="A97" s="8" t="s">
        <v>2</v>
      </c>
      <c r="B97" s="11" t="s">
        <v>77</v>
      </c>
      <c r="C97" s="18">
        <f>TRUNC(((1+1/3)/12)/12,4)</f>
        <v>9.1999999999999998E-3</v>
      </c>
      <c r="D97" s="12">
        <f t="shared" ref="D97:D102" si="1">TRUNC(($D$33+$D$76+$D$88)*C97,2)</f>
        <v>53.94</v>
      </c>
    </row>
    <row r="98" spans="1:6">
      <c r="A98" s="8" t="s">
        <v>4</v>
      </c>
      <c r="B98" s="11" t="s">
        <v>78</v>
      </c>
      <c r="C98" s="18">
        <f>TRUNC(((2/30)/12),4)</f>
        <v>5.4999999999999997E-3</v>
      </c>
      <c r="D98" s="12">
        <f t="shared" si="1"/>
        <v>32.25</v>
      </c>
    </row>
    <row r="99" spans="1:6">
      <c r="A99" s="8" t="s">
        <v>6</v>
      </c>
      <c r="B99" s="11" t="s">
        <v>79</v>
      </c>
      <c r="C99" s="18">
        <f>TRUNC(((5/30)/12)*2%,4)</f>
        <v>2.0000000000000001E-4</v>
      </c>
      <c r="D99" s="12">
        <f t="shared" si="1"/>
        <v>1.17</v>
      </c>
    </row>
    <row r="100" spans="1:6">
      <c r="A100" s="8" t="s">
        <v>8</v>
      </c>
      <c r="B100" s="11" t="s">
        <v>80</v>
      </c>
      <c r="C100" s="18">
        <f>TRUNC(((15/30)/12)*8%,4)</f>
        <v>3.3E-3</v>
      </c>
      <c r="D100" s="12">
        <f t="shared" si="1"/>
        <v>19.350000000000001</v>
      </c>
    </row>
    <row r="101" spans="1:6">
      <c r="A101" s="8" t="s">
        <v>31</v>
      </c>
      <c r="B101" s="11" t="s">
        <v>81</v>
      </c>
      <c r="C101" s="18">
        <f>((1+1/3)/12)*3%*(6/12)</f>
        <v>1.6666666666666666E-3</v>
      </c>
      <c r="D101" s="12">
        <f t="shared" si="1"/>
        <v>9.77</v>
      </c>
    </row>
    <row r="102" spans="1:6">
      <c r="A102" s="8" t="s">
        <v>51</v>
      </c>
      <c r="B102" s="11" t="s">
        <v>82</v>
      </c>
      <c r="C102" s="18"/>
      <c r="D102" s="12">
        <f t="shared" si="1"/>
        <v>0</v>
      </c>
    </row>
    <row r="103" spans="1:6" ht="12.75" customHeight="1">
      <c r="A103" s="87" t="s">
        <v>56</v>
      </c>
      <c r="B103" s="87"/>
      <c r="C103" s="87"/>
      <c r="D103" s="17">
        <f>SUM(D97:D102)</f>
        <v>116.48</v>
      </c>
      <c r="E103" s="24"/>
      <c r="F103" s="24"/>
    </row>
    <row r="106" spans="1:6">
      <c r="A106" s="92" t="s">
        <v>83</v>
      </c>
      <c r="B106" s="92"/>
      <c r="C106" s="92"/>
      <c r="D106" s="92"/>
    </row>
    <row r="107" spans="1:6">
      <c r="A107" s="14"/>
    </row>
    <row r="108" spans="1:6" ht="12.75" customHeight="1">
      <c r="A108" s="10" t="s">
        <v>84</v>
      </c>
      <c r="B108" s="93" t="s">
        <v>85</v>
      </c>
      <c r="C108" s="93"/>
      <c r="D108" s="10" t="s">
        <v>26</v>
      </c>
    </row>
    <row r="109" spans="1:6" ht="12.75" customHeight="1">
      <c r="A109" s="8" t="s">
        <v>2</v>
      </c>
      <c r="B109" s="88" t="s">
        <v>86</v>
      </c>
      <c r="C109" s="88"/>
      <c r="D109" s="12">
        <f>((D33+D76+D88)/220)*22*0</f>
        <v>0</v>
      </c>
    </row>
    <row r="110" spans="1:6" ht="12.75" customHeight="1">
      <c r="A110" s="87" t="s">
        <v>35</v>
      </c>
      <c r="B110" s="87"/>
      <c r="C110" s="87"/>
      <c r="D110" s="17">
        <f>SUM(D109)</f>
        <v>0</v>
      </c>
    </row>
    <row r="113" spans="1:4">
      <c r="A113" s="92" t="s">
        <v>87</v>
      </c>
      <c r="B113" s="92"/>
      <c r="C113" s="92"/>
      <c r="D113" s="92"/>
    </row>
    <row r="114" spans="1:4">
      <c r="A114" s="14"/>
    </row>
    <row r="115" spans="1:4" ht="12.75" customHeight="1">
      <c r="A115" s="10">
        <v>4</v>
      </c>
      <c r="B115" s="87" t="s">
        <v>88</v>
      </c>
      <c r="C115" s="87"/>
      <c r="D115" s="10" t="s">
        <v>26</v>
      </c>
    </row>
    <row r="116" spans="1:4" ht="12.75" customHeight="1">
      <c r="A116" s="8" t="s">
        <v>75</v>
      </c>
      <c r="B116" s="88" t="s">
        <v>76</v>
      </c>
      <c r="C116" s="88"/>
      <c r="D116" s="21">
        <f>D103</f>
        <v>116.48</v>
      </c>
    </row>
    <row r="117" spans="1:4" ht="12.75" customHeight="1">
      <c r="A117" s="8" t="s">
        <v>84</v>
      </c>
      <c r="B117" s="88" t="s">
        <v>85</v>
      </c>
      <c r="C117" s="88"/>
      <c r="D117" s="21">
        <f>D110</f>
        <v>0</v>
      </c>
    </row>
    <row r="118" spans="1:4" ht="12.75" customHeight="1">
      <c r="A118" s="87" t="s">
        <v>35</v>
      </c>
      <c r="B118" s="87"/>
      <c r="C118" s="87"/>
      <c r="D118" s="17">
        <f>SUM(D116:D117)</f>
        <v>116.48</v>
      </c>
    </row>
    <row r="121" spans="1:4">
      <c r="A121" s="90" t="s">
        <v>89</v>
      </c>
      <c r="B121" s="90"/>
      <c r="C121" s="90"/>
      <c r="D121" s="90"/>
    </row>
    <row r="123" spans="1:4" ht="12.75" customHeight="1">
      <c r="A123" s="10">
        <v>5</v>
      </c>
      <c r="B123" s="91" t="s">
        <v>90</v>
      </c>
      <c r="C123" s="91"/>
      <c r="D123" s="10" t="s">
        <v>26</v>
      </c>
    </row>
    <row r="124" spans="1:4">
      <c r="A124" s="8" t="s">
        <v>2</v>
      </c>
      <c r="B124" s="11" t="s">
        <v>91</v>
      </c>
      <c r="C124" s="11"/>
      <c r="D124" s="12">
        <v>4.53</v>
      </c>
    </row>
    <row r="125" spans="1:4">
      <c r="A125" s="8" t="s">
        <v>4</v>
      </c>
      <c r="B125" s="11" t="s">
        <v>92</v>
      </c>
      <c r="C125" s="11"/>
      <c r="D125" s="12"/>
    </row>
    <row r="126" spans="1:4">
      <c r="A126" s="8" t="s">
        <v>6</v>
      </c>
      <c r="B126" s="11" t="s">
        <v>93</v>
      </c>
      <c r="C126" s="11"/>
      <c r="D126" s="12"/>
    </row>
    <row r="127" spans="1:4">
      <c r="A127" s="8" t="s">
        <v>8</v>
      </c>
      <c r="B127" s="11" t="s">
        <v>34</v>
      </c>
      <c r="C127" s="11"/>
      <c r="D127" s="12"/>
    </row>
    <row r="128" spans="1:4" ht="12.75" customHeight="1">
      <c r="A128" s="87" t="s">
        <v>56</v>
      </c>
      <c r="B128" s="87"/>
      <c r="C128" s="87"/>
      <c r="D128" s="13">
        <f>SUM(D124:D127)</f>
        <v>4.53</v>
      </c>
    </row>
    <row r="131" spans="1:4">
      <c r="A131" s="90" t="s">
        <v>95</v>
      </c>
      <c r="B131" s="90"/>
      <c r="C131" s="90"/>
      <c r="D131" s="90"/>
    </row>
    <row r="133" spans="1:4">
      <c r="A133" s="10">
        <v>6</v>
      </c>
      <c r="B133" s="26" t="s">
        <v>96</v>
      </c>
      <c r="C133" s="10" t="s">
        <v>45</v>
      </c>
      <c r="D133" s="10" t="s">
        <v>26</v>
      </c>
    </row>
    <row r="134" spans="1:4">
      <c r="A134" s="8" t="s">
        <v>2</v>
      </c>
      <c r="B134" s="11" t="s">
        <v>97</v>
      </c>
      <c r="C134" s="18">
        <v>0.05</v>
      </c>
      <c r="D134" s="21">
        <f>D154*C134</f>
        <v>299.24268000000001</v>
      </c>
    </row>
    <row r="135" spans="1:4">
      <c r="A135" s="8" t="s">
        <v>4</v>
      </c>
      <c r="B135" s="11" t="s">
        <v>98</v>
      </c>
      <c r="C135" s="18">
        <v>0.06</v>
      </c>
      <c r="D135" s="12">
        <f>(D154+D134)*C135</f>
        <v>377.0457768</v>
      </c>
    </row>
    <row r="136" spans="1:4">
      <c r="A136" s="8" t="s">
        <v>6</v>
      </c>
      <c r="B136" s="11" t="s">
        <v>99</v>
      </c>
      <c r="C136" s="15">
        <f>SUM(C137:C142)</f>
        <v>8.6499999999999994E-2</v>
      </c>
      <c r="D136" s="12">
        <f>(D154+D134+D135)*C136/(1-C136)</f>
        <v>630.74853630344819</v>
      </c>
    </row>
    <row r="137" spans="1:4">
      <c r="A137" s="8"/>
      <c r="B137" s="11" t="s">
        <v>100</v>
      </c>
      <c r="C137" s="18"/>
      <c r="D137" s="21">
        <f t="shared" ref="D137:D142" si="2">$D$156*C137</f>
        <v>0</v>
      </c>
    </row>
    <row r="138" spans="1:4">
      <c r="A138" s="8"/>
      <c r="B138" s="11" t="s">
        <v>101</v>
      </c>
      <c r="C138" s="18">
        <v>6.4999999999999997E-3</v>
      </c>
      <c r="D138" s="21">
        <f t="shared" si="2"/>
        <v>47.397288855172405</v>
      </c>
    </row>
    <row r="139" spans="1:4">
      <c r="A139" s="8"/>
      <c r="B139" s="11" t="s">
        <v>102</v>
      </c>
      <c r="C139" s="18">
        <v>0.03</v>
      </c>
      <c r="D139" s="21">
        <f t="shared" si="2"/>
        <v>218.75671779310343</v>
      </c>
    </row>
    <row r="140" spans="1:4">
      <c r="A140" s="8"/>
      <c r="B140" s="11" t="s">
        <v>103</v>
      </c>
      <c r="C140" s="8"/>
      <c r="D140" s="21">
        <f t="shared" si="2"/>
        <v>0</v>
      </c>
    </row>
    <row r="141" spans="1:4">
      <c r="A141" s="8"/>
      <c r="B141" s="11" t="s">
        <v>104</v>
      </c>
      <c r="C141" s="18"/>
      <c r="D141" s="21">
        <f t="shared" si="2"/>
        <v>0</v>
      </c>
    </row>
    <row r="142" spans="1:4">
      <c r="A142" s="8"/>
      <c r="B142" s="11" t="s">
        <v>105</v>
      </c>
      <c r="C142" s="18">
        <v>0.05</v>
      </c>
      <c r="D142" s="21">
        <f t="shared" si="2"/>
        <v>364.59452965517244</v>
      </c>
    </row>
    <row r="143" spans="1:4" ht="13.5" customHeight="1">
      <c r="A143" s="89" t="s">
        <v>56</v>
      </c>
      <c r="B143" s="89"/>
      <c r="C143" s="27">
        <f>(1+C135)*(1+C134)/(1-C136)-1</f>
        <v>0.21839080459770144</v>
      </c>
      <c r="D143" s="17">
        <f>SUM(D134:D136)</f>
        <v>1307.0369931034481</v>
      </c>
    </row>
    <row r="146" spans="1:4">
      <c r="A146" s="90" t="s">
        <v>106</v>
      </c>
      <c r="B146" s="90"/>
      <c r="C146" s="90"/>
      <c r="D146" s="90"/>
    </row>
    <row r="148" spans="1:4" ht="12.75" customHeight="1">
      <c r="A148" s="10"/>
      <c r="B148" s="87" t="s">
        <v>107</v>
      </c>
      <c r="C148" s="87"/>
      <c r="D148" s="10" t="s">
        <v>26</v>
      </c>
    </row>
    <row r="149" spans="1:4" ht="12.75" customHeight="1">
      <c r="A149" s="10" t="s">
        <v>2</v>
      </c>
      <c r="B149" s="88" t="s">
        <v>24</v>
      </c>
      <c r="C149" s="88"/>
      <c r="D149" s="28">
        <f>D33</f>
        <v>3008.94</v>
      </c>
    </row>
    <row r="150" spans="1:4" ht="12.75" customHeight="1">
      <c r="A150" s="10" t="s">
        <v>4</v>
      </c>
      <c r="B150" s="88" t="s">
        <v>36</v>
      </c>
      <c r="C150" s="88"/>
      <c r="D150" s="28">
        <f>D76</f>
        <v>2669.5835999999999</v>
      </c>
    </row>
    <row r="151" spans="1:4" ht="12.75" customHeight="1">
      <c r="A151" s="10" t="s">
        <v>6</v>
      </c>
      <c r="B151" s="88" t="s">
        <v>65</v>
      </c>
      <c r="C151" s="88"/>
      <c r="D151" s="28">
        <f>D88</f>
        <v>185.32</v>
      </c>
    </row>
    <row r="152" spans="1:4" ht="12.75" customHeight="1">
      <c r="A152" s="10" t="s">
        <v>8</v>
      </c>
      <c r="B152" s="88" t="s">
        <v>73</v>
      </c>
      <c r="C152" s="88"/>
      <c r="D152" s="28">
        <f>D118</f>
        <v>116.48</v>
      </c>
    </row>
    <row r="153" spans="1:4" ht="12.75" customHeight="1">
      <c r="A153" s="10" t="s">
        <v>31</v>
      </c>
      <c r="B153" s="88" t="s">
        <v>89</v>
      </c>
      <c r="C153" s="88"/>
      <c r="D153" s="28">
        <f>D128</f>
        <v>4.53</v>
      </c>
    </row>
    <row r="154" spans="1:4" ht="12.75" customHeight="1">
      <c r="A154" s="87" t="s">
        <v>108</v>
      </c>
      <c r="B154" s="87"/>
      <c r="C154" s="87"/>
      <c r="D154" s="29">
        <f>SUM(D149:D153)</f>
        <v>5984.8535999999995</v>
      </c>
    </row>
    <row r="155" spans="1:4" ht="12.75" customHeight="1">
      <c r="A155" s="10" t="s">
        <v>51</v>
      </c>
      <c r="B155" s="88" t="s">
        <v>109</v>
      </c>
      <c r="C155" s="88"/>
      <c r="D155" s="30">
        <f>D143</f>
        <v>1307.0369931034481</v>
      </c>
    </row>
    <row r="156" spans="1:4" ht="12.75" customHeight="1">
      <c r="A156" s="87" t="s">
        <v>110</v>
      </c>
      <c r="B156" s="87"/>
      <c r="C156" s="87"/>
      <c r="D156" s="29">
        <f>SUM(D154:D155)</f>
        <v>7291.8905931034478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firstPageNumber="0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53" customWidth="1"/>
    <col min="2" max="2" width="28.5703125" style="53" customWidth="1"/>
    <col min="3" max="6" width="12.7109375" style="53" customWidth="1"/>
    <col min="7" max="7" width="33.5703125" style="53" customWidth="1"/>
    <col min="8" max="9" width="12.7109375" style="53" customWidth="1"/>
    <col min="10" max="11" width="10.28515625" style="53" customWidth="1"/>
    <col min="12" max="1024" width="9.140625" style="53"/>
    <col min="1025" max="16384" width="9.140625" style="86"/>
  </cols>
  <sheetData>
    <row r="1" spans="1:9" ht="15.75">
      <c r="A1" s="104" t="s">
        <v>153</v>
      </c>
      <c r="B1" s="104"/>
      <c r="C1" s="104"/>
      <c r="D1" s="104"/>
      <c r="E1" s="104"/>
      <c r="F1" s="104"/>
      <c r="G1" s="104"/>
      <c r="H1" s="104"/>
      <c r="I1" s="104"/>
    </row>
    <row r="2" spans="1:9" ht="25.5">
      <c r="A2" s="105" t="s">
        <v>154</v>
      </c>
      <c r="B2" s="54" t="s">
        <v>155</v>
      </c>
      <c r="C2" s="54" t="s">
        <v>156</v>
      </c>
      <c r="D2" s="54" t="s">
        <v>157</v>
      </c>
      <c r="E2" s="55" t="s">
        <v>158</v>
      </c>
      <c r="F2" s="55" t="s">
        <v>159</v>
      </c>
      <c r="G2" s="54" t="s">
        <v>160</v>
      </c>
      <c r="H2" s="56" t="s">
        <v>161</v>
      </c>
      <c r="I2" s="57" t="s">
        <v>162</v>
      </c>
    </row>
    <row r="3" spans="1:9" ht="12.75" customHeight="1">
      <c r="A3" s="105"/>
      <c r="B3" s="106" t="s">
        <v>163</v>
      </c>
      <c r="C3" s="107" t="s">
        <v>142</v>
      </c>
      <c r="D3" s="108">
        <v>30</v>
      </c>
      <c r="E3" s="109">
        <f>IF(C20&lt;=25%,D20,MIN(E20:F20))</f>
        <v>52196.55</v>
      </c>
      <c r="F3" s="109">
        <f>MIN(H3:H17)</f>
        <v>40000</v>
      </c>
      <c r="G3" s="58" t="s">
        <v>164</v>
      </c>
      <c r="H3" s="59">
        <v>40000</v>
      </c>
      <c r="I3" s="60">
        <f t="shared" ref="I3:I17" si="0">IF(H3="","",(IF($C$20&lt;25%,"N/A",IF(H3&lt;=($D$20+$A$20),H3,"Descartado"))))</f>
        <v>40000</v>
      </c>
    </row>
    <row r="4" spans="1:9">
      <c r="A4" s="105"/>
      <c r="B4" s="106"/>
      <c r="C4" s="107"/>
      <c r="D4" s="108"/>
      <c r="E4" s="109"/>
      <c r="F4" s="109"/>
      <c r="G4" s="58" t="s">
        <v>165</v>
      </c>
      <c r="H4" s="59">
        <v>43212.15</v>
      </c>
      <c r="I4" s="60">
        <f t="shared" si="0"/>
        <v>43212.15</v>
      </c>
    </row>
    <row r="5" spans="1:9">
      <c r="A5" s="105"/>
      <c r="B5" s="106"/>
      <c r="C5" s="107"/>
      <c r="D5" s="108"/>
      <c r="E5" s="109"/>
      <c r="F5" s="109"/>
      <c r="G5" s="58" t="s">
        <v>166</v>
      </c>
      <c r="H5" s="59">
        <v>73377.5</v>
      </c>
      <c r="I5" s="60">
        <f t="shared" si="0"/>
        <v>73377.5</v>
      </c>
    </row>
    <row r="6" spans="1:9">
      <c r="A6" s="105"/>
      <c r="B6" s="106"/>
      <c r="C6" s="107"/>
      <c r="D6" s="108"/>
      <c r="E6" s="109"/>
      <c r="F6" s="109"/>
      <c r="G6" s="58" t="s">
        <v>167</v>
      </c>
      <c r="H6" s="59">
        <f>69365.02+21213.62</f>
        <v>90578.64</v>
      </c>
      <c r="I6" s="60" t="str">
        <f t="shared" si="0"/>
        <v>Descartado</v>
      </c>
    </row>
    <row r="7" spans="1:9">
      <c r="A7" s="105"/>
      <c r="B7" s="106"/>
      <c r="C7" s="107"/>
      <c r="D7" s="108"/>
      <c r="E7" s="109"/>
      <c r="F7" s="109"/>
      <c r="G7" s="58"/>
      <c r="H7" s="59"/>
      <c r="I7" s="60" t="str">
        <f t="shared" si="0"/>
        <v/>
      </c>
    </row>
    <row r="8" spans="1:9">
      <c r="A8" s="105"/>
      <c r="B8" s="106"/>
      <c r="C8" s="107"/>
      <c r="D8" s="108"/>
      <c r="E8" s="109"/>
      <c r="F8" s="109"/>
      <c r="G8" s="58"/>
      <c r="H8" s="59"/>
      <c r="I8" s="60" t="str">
        <f t="shared" si="0"/>
        <v/>
      </c>
    </row>
    <row r="9" spans="1:9">
      <c r="A9" s="105"/>
      <c r="B9" s="106"/>
      <c r="C9" s="107"/>
      <c r="D9" s="108"/>
      <c r="E9" s="109"/>
      <c r="F9" s="109"/>
      <c r="G9" s="58"/>
      <c r="H9" s="59"/>
      <c r="I9" s="60" t="str">
        <f t="shared" si="0"/>
        <v/>
      </c>
    </row>
    <row r="10" spans="1:9">
      <c r="A10" s="105"/>
      <c r="B10" s="106"/>
      <c r="C10" s="107"/>
      <c r="D10" s="108"/>
      <c r="E10" s="109"/>
      <c r="F10" s="109"/>
      <c r="G10" s="58"/>
      <c r="H10" s="59"/>
      <c r="I10" s="60" t="str">
        <f t="shared" si="0"/>
        <v/>
      </c>
    </row>
    <row r="11" spans="1:9">
      <c r="A11" s="105"/>
      <c r="B11" s="106"/>
      <c r="C11" s="107"/>
      <c r="D11" s="108"/>
      <c r="E11" s="109"/>
      <c r="F11" s="109"/>
      <c r="G11" s="58"/>
      <c r="H11" s="59"/>
      <c r="I11" s="60" t="str">
        <f t="shared" si="0"/>
        <v/>
      </c>
    </row>
    <row r="12" spans="1:9">
      <c r="A12" s="105"/>
      <c r="B12" s="106"/>
      <c r="C12" s="107"/>
      <c r="D12" s="108"/>
      <c r="E12" s="109"/>
      <c r="F12" s="109"/>
      <c r="G12" s="58"/>
      <c r="H12" s="59"/>
      <c r="I12" s="60" t="str">
        <f t="shared" si="0"/>
        <v/>
      </c>
    </row>
    <row r="13" spans="1:9">
      <c r="A13" s="105"/>
      <c r="B13" s="106"/>
      <c r="C13" s="107"/>
      <c r="D13" s="108"/>
      <c r="E13" s="109"/>
      <c r="F13" s="109"/>
      <c r="G13" s="58"/>
      <c r="H13" s="59"/>
      <c r="I13" s="60" t="str">
        <f t="shared" si="0"/>
        <v/>
      </c>
    </row>
    <row r="14" spans="1:9">
      <c r="A14" s="105"/>
      <c r="B14" s="106"/>
      <c r="C14" s="107"/>
      <c r="D14" s="108"/>
      <c r="E14" s="109"/>
      <c r="F14" s="109"/>
      <c r="G14" s="58"/>
      <c r="H14" s="59"/>
      <c r="I14" s="60" t="str">
        <f t="shared" si="0"/>
        <v/>
      </c>
    </row>
    <row r="15" spans="1:9">
      <c r="A15" s="105"/>
      <c r="B15" s="106"/>
      <c r="C15" s="107"/>
      <c r="D15" s="108"/>
      <c r="E15" s="109"/>
      <c r="F15" s="109"/>
      <c r="G15" s="58"/>
      <c r="H15" s="59"/>
      <c r="I15" s="60" t="str">
        <f t="shared" si="0"/>
        <v/>
      </c>
    </row>
    <row r="16" spans="1:9">
      <c r="A16" s="105"/>
      <c r="B16" s="106"/>
      <c r="C16" s="107"/>
      <c r="D16" s="108"/>
      <c r="E16" s="109"/>
      <c r="F16" s="109"/>
      <c r="G16" s="58"/>
      <c r="H16" s="59"/>
      <c r="I16" s="60" t="str">
        <f t="shared" si="0"/>
        <v/>
      </c>
    </row>
    <row r="17" spans="1:11">
      <c r="A17" s="105"/>
      <c r="B17" s="106"/>
      <c r="C17" s="107"/>
      <c r="D17" s="108"/>
      <c r="E17" s="109"/>
      <c r="F17" s="109"/>
      <c r="G17" s="58"/>
      <c r="H17" s="59"/>
      <c r="I17" s="60" t="str">
        <f t="shared" si="0"/>
        <v/>
      </c>
    </row>
    <row r="18" spans="1:11">
      <c r="A18" s="61"/>
      <c r="B18" s="62"/>
      <c r="C18" s="63"/>
      <c r="D18" s="63"/>
      <c r="E18" s="64"/>
      <c r="F18" s="64"/>
      <c r="G18" s="65"/>
      <c r="H18" s="65"/>
      <c r="I18" s="66"/>
      <c r="J18" s="67"/>
      <c r="K18" s="67"/>
    </row>
    <row r="19" spans="1:11" ht="25.5">
      <c r="A19" s="57" t="s">
        <v>168</v>
      </c>
      <c r="B19" s="57" t="s">
        <v>169</v>
      </c>
      <c r="C19" s="56" t="s">
        <v>170</v>
      </c>
      <c r="D19" s="68" t="s">
        <v>171</v>
      </c>
      <c r="E19" s="69" t="s">
        <v>172</v>
      </c>
      <c r="F19" s="68" t="s">
        <v>173</v>
      </c>
      <c r="G19" s="102" t="s">
        <v>174</v>
      </c>
      <c r="H19" s="102"/>
      <c r="I19" s="70"/>
    </row>
    <row r="20" spans="1:11">
      <c r="A20" s="71">
        <f>IF(B20&lt;2,"N/A",(STDEV(H3:H17)))</f>
        <v>24378.929035412795</v>
      </c>
      <c r="B20" s="71">
        <f>COUNT(H3:H17)</f>
        <v>4</v>
      </c>
      <c r="C20" s="72">
        <f>IF(B20&lt;2,"N/A",(A20/D20))</f>
        <v>0.39453167753423368</v>
      </c>
      <c r="D20" s="73">
        <f>ROUND(AVERAGE(H3:H17),2)</f>
        <v>61792.07</v>
      </c>
      <c r="E20" s="74">
        <f>IFERROR(ROUND(IF(B20&lt;2,"N/A",(IF(C20&lt;=25%,"N/A",AVERAGE(I3:I17)))),2),"N/A")</f>
        <v>52196.55</v>
      </c>
      <c r="F20" s="74">
        <f>ROUND(MEDIAN(H3:H17),2)</f>
        <v>58294.83</v>
      </c>
      <c r="G20" s="75" t="str">
        <f>INDEX(G3:G17,MATCH(H20,H3:H17,0))</f>
        <v>SOLUTIS TECNOLOGIAS LTDA</v>
      </c>
      <c r="H20" s="76">
        <f>MIN(H3:H17)</f>
        <v>40000</v>
      </c>
      <c r="I20" s="70"/>
    </row>
    <row r="21" spans="1:11">
      <c r="A21" s="77"/>
      <c r="B21" s="70"/>
      <c r="C21" s="78"/>
      <c r="D21" s="78"/>
      <c r="E21" s="78"/>
      <c r="F21" s="78"/>
      <c r="G21" s="70"/>
      <c r="H21" s="79"/>
      <c r="I21" s="80"/>
      <c r="J21" s="80"/>
      <c r="K21" s="80"/>
    </row>
    <row r="22" spans="1:11">
      <c r="B22" s="77"/>
      <c r="C22" s="77"/>
      <c r="D22" s="103"/>
      <c r="E22" s="103"/>
      <c r="F22" s="81"/>
      <c r="G22" s="82" t="s">
        <v>175</v>
      </c>
      <c r="H22" s="83">
        <f>IF(C20&lt;=25%,D20,MIN(E20:F20))</f>
        <v>52196.55</v>
      </c>
    </row>
    <row r="23" spans="1:11">
      <c r="B23" s="77"/>
      <c r="C23" s="77"/>
      <c r="D23" s="103"/>
      <c r="E23" s="103"/>
      <c r="F23" s="84"/>
      <c r="G23" s="56" t="s">
        <v>176</v>
      </c>
      <c r="H23" s="76">
        <f>ROUND(H22,2)*D3</f>
        <v>1565896.5</v>
      </c>
    </row>
    <row r="24" spans="1:11">
      <c r="B24" s="85"/>
      <c r="C24" s="85"/>
      <c r="D24" s="70"/>
      <c r="E24" s="70"/>
    </row>
    <row r="26" spans="1:11" ht="12.75" customHeight="1">
      <c r="A26" s="100" t="s">
        <v>177</v>
      </c>
      <c r="B26" s="100"/>
      <c r="C26" s="100"/>
      <c r="D26" s="100"/>
      <c r="E26" s="100"/>
      <c r="F26" s="100"/>
      <c r="G26" s="100"/>
      <c r="H26" s="100"/>
      <c r="I26" s="100"/>
    </row>
    <row r="27" spans="1:11" ht="12.75" customHeight="1">
      <c r="A27" s="100" t="s">
        <v>178</v>
      </c>
      <c r="B27" s="100"/>
      <c r="C27" s="100"/>
      <c r="D27" s="100"/>
      <c r="E27" s="100"/>
      <c r="F27" s="100"/>
      <c r="G27" s="100"/>
      <c r="H27" s="100"/>
      <c r="I27" s="100"/>
    </row>
    <row r="28" spans="1:11" ht="12.75" customHeight="1">
      <c r="A28" s="100" t="s">
        <v>179</v>
      </c>
      <c r="B28" s="100"/>
      <c r="C28" s="100"/>
      <c r="D28" s="100"/>
      <c r="E28" s="100"/>
      <c r="F28" s="100"/>
      <c r="G28" s="100"/>
      <c r="H28" s="100"/>
      <c r="I28" s="100"/>
    </row>
    <row r="29" spans="1:11" ht="12.75" customHeight="1">
      <c r="A29" s="100" t="s">
        <v>180</v>
      </c>
      <c r="B29" s="100"/>
      <c r="C29" s="100"/>
      <c r="D29" s="100"/>
      <c r="E29" s="100"/>
      <c r="F29" s="100"/>
      <c r="G29" s="100"/>
      <c r="H29" s="100"/>
      <c r="I29" s="100"/>
    </row>
    <row r="30" spans="1:11" ht="12.75" customHeight="1">
      <c r="A30" s="100" t="s">
        <v>181</v>
      </c>
      <c r="B30" s="100"/>
      <c r="C30" s="100"/>
      <c r="D30" s="100"/>
      <c r="E30" s="100"/>
      <c r="F30" s="100"/>
      <c r="G30" s="100"/>
      <c r="H30" s="100"/>
      <c r="I30" s="100"/>
    </row>
    <row r="31" spans="1:11" ht="12.75" customHeight="1">
      <c r="A31" s="100" t="s">
        <v>182</v>
      </c>
      <c r="B31" s="100"/>
      <c r="C31" s="100"/>
      <c r="D31" s="100"/>
      <c r="E31" s="100"/>
      <c r="F31" s="100"/>
      <c r="G31" s="100"/>
      <c r="H31" s="100"/>
      <c r="I31" s="100"/>
    </row>
    <row r="32" spans="1:11" ht="24.75" customHeight="1">
      <c r="A32" s="101" t="s">
        <v>183</v>
      </c>
      <c r="B32" s="101"/>
      <c r="C32" s="101"/>
      <c r="D32" s="101"/>
      <c r="E32" s="101"/>
      <c r="F32" s="101"/>
      <c r="G32" s="101"/>
      <c r="H32" s="101"/>
      <c r="I32" s="10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0555555555496" right="0.51180555555555496" top="0.78749999999999998" bottom="0.78749999999999998" header="0.51180555555555496" footer="0.51180555555555496"/>
  <pageSetup paperSize="9" scale="90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53" customWidth="1"/>
    <col min="2" max="2" width="28.5703125" style="53" customWidth="1"/>
    <col min="3" max="6" width="12.7109375" style="53" customWidth="1"/>
    <col min="7" max="7" width="33.5703125" style="53" customWidth="1"/>
    <col min="8" max="9" width="12.7109375" style="53" customWidth="1"/>
    <col min="10" max="11" width="10.28515625" style="53" customWidth="1"/>
    <col min="12" max="1024" width="9.140625" style="53"/>
    <col min="1025" max="16384" width="9.140625" style="86"/>
  </cols>
  <sheetData>
    <row r="1" spans="1:9" ht="15.75">
      <c r="A1" s="104" t="s">
        <v>153</v>
      </c>
      <c r="B1" s="104"/>
      <c r="C1" s="104"/>
      <c r="D1" s="104"/>
      <c r="E1" s="104"/>
      <c r="F1" s="104"/>
      <c r="G1" s="104"/>
      <c r="H1" s="104"/>
      <c r="I1" s="104"/>
    </row>
    <row r="2" spans="1:9" ht="25.5">
      <c r="A2" s="105" t="s">
        <v>184</v>
      </c>
      <c r="B2" s="54" t="s">
        <v>155</v>
      </c>
      <c r="C2" s="54" t="s">
        <v>156</v>
      </c>
      <c r="D2" s="54" t="s">
        <v>157</v>
      </c>
      <c r="E2" s="55" t="s">
        <v>158</v>
      </c>
      <c r="F2" s="55" t="s">
        <v>159</v>
      </c>
      <c r="G2" s="54" t="s">
        <v>160</v>
      </c>
      <c r="H2" s="56" t="s">
        <v>161</v>
      </c>
      <c r="I2" s="57" t="s">
        <v>162</v>
      </c>
    </row>
    <row r="3" spans="1:9" ht="12.75" customHeight="1">
      <c r="A3" s="105"/>
      <c r="B3" s="106" t="s">
        <v>144</v>
      </c>
      <c r="C3" s="107" t="s">
        <v>142</v>
      </c>
      <c r="D3" s="108">
        <v>30</v>
      </c>
      <c r="E3" s="109">
        <f>IF(C20&lt;=25%,D20,MIN(E20:F20))</f>
        <v>53127.73</v>
      </c>
      <c r="F3" s="109">
        <f>MIN(H3:H17)</f>
        <v>37775.32</v>
      </c>
      <c r="G3" s="58" t="s">
        <v>164</v>
      </c>
      <c r="H3" s="59">
        <v>105000</v>
      </c>
      <c r="I3" s="60" t="str">
        <f t="shared" ref="I3:I17" si="0">IF(H3="","",(IF($C$20&lt;25%,"N/A",IF(H3&lt;=($D$20+$A$20),H3,"Descartado"))))</f>
        <v>Descartado</v>
      </c>
    </row>
    <row r="4" spans="1:9">
      <c r="A4" s="105"/>
      <c r="B4" s="106"/>
      <c r="C4" s="107"/>
      <c r="D4" s="108"/>
      <c r="E4" s="109"/>
      <c r="F4" s="109"/>
      <c r="G4" s="58" t="s">
        <v>165</v>
      </c>
      <c r="H4" s="59">
        <v>62819.7</v>
      </c>
      <c r="I4" s="60">
        <f t="shared" si="0"/>
        <v>62819.7</v>
      </c>
    </row>
    <row r="5" spans="1:9">
      <c r="A5" s="105"/>
      <c r="B5" s="106"/>
      <c r="C5" s="107"/>
      <c r="D5" s="108"/>
      <c r="E5" s="109"/>
      <c r="F5" s="109"/>
      <c r="G5" s="58" t="s">
        <v>166</v>
      </c>
      <c r="H5" s="59">
        <v>58788.18</v>
      </c>
      <c r="I5" s="60">
        <f t="shared" si="0"/>
        <v>58788.18</v>
      </c>
    </row>
    <row r="6" spans="1:9">
      <c r="A6" s="105"/>
      <c r="B6" s="106"/>
      <c r="C6" s="107"/>
      <c r="D6" s="108"/>
      <c r="E6" s="109"/>
      <c r="F6" s="109"/>
      <c r="G6" s="58" t="s">
        <v>167</v>
      </c>
      <c r="H6" s="59">
        <f>18887.66+18887.66</f>
        <v>37775.32</v>
      </c>
      <c r="I6" s="60">
        <f t="shared" si="0"/>
        <v>37775.32</v>
      </c>
    </row>
    <row r="7" spans="1:9">
      <c r="A7" s="105"/>
      <c r="B7" s="106"/>
      <c r="C7" s="107"/>
      <c r="D7" s="108"/>
      <c r="E7" s="109"/>
      <c r="F7" s="109"/>
      <c r="G7" s="58"/>
      <c r="H7" s="59"/>
      <c r="I7" s="60" t="str">
        <f t="shared" si="0"/>
        <v/>
      </c>
    </row>
    <row r="8" spans="1:9">
      <c r="A8" s="105"/>
      <c r="B8" s="106"/>
      <c r="C8" s="107"/>
      <c r="D8" s="108"/>
      <c r="E8" s="109"/>
      <c r="F8" s="109"/>
      <c r="G8" s="58"/>
      <c r="H8" s="59"/>
      <c r="I8" s="60" t="str">
        <f t="shared" si="0"/>
        <v/>
      </c>
    </row>
    <row r="9" spans="1:9">
      <c r="A9" s="105"/>
      <c r="B9" s="106"/>
      <c r="C9" s="107"/>
      <c r="D9" s="108"/>
      <c r="E9" s="109"/>
      <c r="F9" s="109"/>
      <c r="G9" s="58"/>
      <c r="H9" s="59"/>
      <c r="I9" s="60" t="str">
        <f t="shared" si="0"/>
        <v/>
      </c>
    </row>
    <row r="10" spans="1:9">
      <c r="A10" s="105"/>
      <c r="B10" s="106"/>
      <c r="C10" s="107"/>
      <c r="D10" s="108"/>
      <c r="E10" s="109"/>
      <c r="F10" s="109"/>
      <c r="G10" s="58"/>
      <c r="H10" s="59"/>
      <c r="I10" s="60" t="str">
        <f t="shared" si="0"/>
        <v/>
      </c>
    </row>
    <row r="11" spans="1:9">
      <c r="A11" s="105"/>
      <c r="B11" s="106"/>
      <c r="C11" s="107"/>
      <c r="D11" s="108"/>
      <c r="E11" s="109"/>
      <c r="F11" s="109"/>
      <c r="G11" s="58"/>
      <c r="H11" s="59"/>
      <c r="I11" s="60" t="str">
        <f t="shared" si="0"/>
        <v/>
      </c>
    </row>
    <row r="12" spans="1:9">
      <c r="A12" s="105"/>
      <c r="B12" s="106"/>
      <c r="C12" s="107"/>
      <c r="D12" s="108"/>
      <c r="E12" s="109"/>
      <c r="F12" s="109"/>
      <c r="G12" s="58"/>
      <c r="H12" s="59"/>
      <c r="I12" s="60" t="str">
        <f t="shared" si="0"/>
        <v/>
      </c>
    </row>
    <row r="13" spans="1:9">
      <c r="A13" s="105"/>
      <c r="B13" s="106"/>
      <c r="C13" s="107"/>
      <c r="D13" s="108"/>
      <c r="E13" s="109"/>
      <c r="F13" s="109"/>
      <c r="G13" s="58"/>
      <c r="H13" s="59"/>
      <c r="I13" s="60" t="str">
        <f t="shared" si="0"/>
        <v/>
      </c>
    </row>
    <row r="14" spans="1:9">
      <c r="A14" s="105"/>
      <c r="B14" s="106"/>
      <c r="C14" s="107"/>
      <c r="D14" s="108"/>
      <c r="E14" s="109"/>
      <c r="F14" s="109"/>
      <c r="G14" s="58"/>
      <c r="H14" s="59"/>
      <c r="I14" s="60" t="str">
        <f t="shared" si="0"/>
        <v/>
      </c>
    </row>
    <row r="15" spans="1:9">
      <c r="A15" s="105"/>
      <c r="B15" s="106"/>
      <c r="C15" s="107"/>
      <c r="D15" s="108"/>
      <c r="E15" s="109"/>
      <c r="F15" s="109"/>
      <c r="G15" s="58"/>
      <c r="H15" s="59"/>
      <c r="I15" s="60" t="str">
        <f t="shared" si="0"/>
        <v/>
      </c>
    </row>
    <row r="16" spans="1:9">
      <c r="A16" s="105"/>
      <c r="B16" s="106"/>
      <c r="C16" s="107"/>
      <c r="D16" s="108"/>
      <c r="E16" s="109"/>
      <c r="F16" s="109"/>
      <c r="G16" s="58"/>
      <c r="H16" s="59"/>
      <c r="I16" s="60" t="str">
        <f t="shared" si="0"/>
        <v/>
      </c>
    </row>
    <row r="17" spans="1:11">
      <c r="A17" s="105"/>
      <c r="B17" s="106"/>
      <c r="C17" s="107"/>
      <c r="D17" s="108"/>
      <c r="E17" s="109"/>
      <c r="F17" s="109"/>
      <c r="G17" s="58"/>
      <c r="H17" s="59"/>
      <c r="I17" s="60" t="str">
        <f t="shared" si="0"/>
        <v/>
      </c>
    </row>
    <row r="18" spans="1:11">
      <c r="A18" s="61"/>
      <c r="B18" s="62"/>
      <c r="C18" s="63"/>
      <c r="D18" s="63"/>
      <c r="E18" s="64"/>
      <c r="F18" s="64"/>
      <c r="G18" s="65"/>
      <c r="H18" s="65"/>
      <c r="I18" s="66"/>
      <c r="J18" s="67"/>
      <c r="K18" s="67"/>
    </row>
    <row r="19" spans="1:11" ht="25.5">
      <c r="A19" s="57" t="s">
        <v>168</v>
      </c>
      <c r="B19" s="57" t="s">
        <v>169</v>
      </c>
      <c r="C19" s="56" t="s">
        <v>170</v>
      </c>
      <c r="D19" s="68" t="s">
        <v>171</v>
      </c>
      <c r="E19" s="69" t="s">
        <v>172</v>
      </c>
      <c r="F19" s="68" t="s">
        <v>173</v>
      </c>
      <c r="G19" s="102" t="s">
        <v>174</v>
      </c>
      <c r="H19" s="102"/>
      <c r="I19" s="70"/>
    </row>
    <row r="20" spans="1:11">
      <c r="A20" s="71">
        <f>IF(B20&lt;2,"N/A",(STDEV(H3:H17)))</f>
        <v>28164.519679582674</v>
      </c>
      <c r="B20" s="71">
        <f>COUNT(H3:H17)</f>
        <v>4</v>
      </c>
      <c r="C20" s="72">
        <f>IF(B20&lt;2,"N/A",(A20/D20))</f>
        <v>0.42611663191280946</v>
      </c>
      <c r="D20" s="73">
        <f>ROUND(AVERAGE(H3:H17),2)</f>
        <v>66095.8</v>
      </c>
      <c r="E20" s="74">
        <f>IFERROR(ROUND(IF(B20&lt;2,"N/A",(IF(C20&lt;=25%,"N/A",AVERAGE(I3:I17)))),2),"N/A")</f>
        <v>53127.73</v>
      </c>
      <c r="F20" s="74">
        <f>ROUND(MEDIAN(H3:H17),2)</f>
        <v>60803.94</v>
      </c>
      <c r="G20" s="75" t="str">
        <f>INDEX(G3:G17,MATCH(H20,H3:H17,0))</f>
        <v>IOS INFORMÁTICA ORGANIZAÇÃO E SISTEMAS LTDA</v>
      </c>
      <c r="H20" s="76">
        <f>MIN(H3:H17)</f>
        <v>37775.32</v>
      </c>
      <c r="I20" s="70"/>
    </row>
    <row r="21" spans="1:11">
      <c r="A21" s="77"/>
      <c r="B21" s="70"/>
      <c r="C21" s="78"/>
      <c r="D21" s="78"/>
      <c r="E21" s="78"/>
      <c r="F21" s="78"/>
      <c r="G21" s="70"/>
      <c r="H21" s="79"/>
      <c r="I21" s="80"/>
      <c r="J21" s="80"/>
      <c r="K21" s="80"/>
    </row>
    <row r="22" spans="1:11">
      <c r="B22" s="77"/>
      <c r="C22" s="77"/>
      <c r="D22" s="103"/>
      <c r="E22" s="103"/>
      <c r="F22" s="81"/>
      <c r="G22" s="82" t="s">
        <v>175</v>
      </c>
      <c r="H22" s="83">
        <f>IF(C20&lt;=25%,D20,MIN(E20:F20))</f>
        <v>53127.73</v>
      </c>
    </row>
    <row r="23" spans="1:11">
      <c r="B23" s="77"/>
      <c r="C23" s="77"/>
      <c r="D23" s="103"/>
      <c r="E23" s="103"/>
      <c r="F23" s="84"/>
      <c r="G23" s="56" t="s">
        <v>176</v>
      </c>
      <c r="H23" s="76">
        <f>ROUND(H22,2)*D3</f>
        <v>1593831.9000000001</v>
      </c>
    </row>
    <row r="24" spans="1:11">
      <c r="B24" s="85"/>
      <c r="C24" s="85"/>
      <c r="D24" s="70"/>
      <c r="E24" s="70"/>
    </row>
    <row r="26" spans="1:11" ht="12.75" customHeight="1">
      <c r="A26" s="100" t="s">
        <v>177</v>
      </c>
      <c r="B26" s="100"/>
      <c r="C26" s="100"/>
      <c r="D26" s="100"/>
      <c r="E26" s="100"/>
      <c r="F26" s="100"/>
      <c r="G26" s="100"/>
      <c r="H26" s="100"/>
      <c r="I26" s="100"/>
    </row>
    <row r="27" spans="1:11" ht="12.75" customHeight="1">
      <c r="A27" s="100" t="s">
        <v>178</v>
      </c>
      <c r="B27" s="100"/>
      <c r="C27" s="100"/>
      <c r="D27" s="100"/>
      <c r="E27" s="100"/>
      <c r="F27" s="100"/>
      <c r="G27" s="100"/>
      <c r="H27" s="100"/>
      <c r="I27" s="100"/>
    </row>
    <row r="28" spans="1:11" ht="12.75" customHeight="1">
      <c r="A28" s="100" t="s">
        <v>179</v>
      </c>
      <c r="B28" s="100"/>
      <c r="C28" s="100"/>
      <c r="D28" s="100"/>
      <c r="E28" s="100"/>
      <c r="F28" s="100"/>
      <c r="G28" s="100"/>
      <c r="H28" s="100"/>
      <c r="I28" s="100"/>
    </row>
    <row r="29" spans="1:11" ht="12.75" customHeight="1">
      <c r="A29" s="100" t="s">
        <v>180</v>
      </c>
      <c r="B29" s="100"/>
      <c r="C29" s="100"/>
      <c r="D29" s="100"/>
      <c r="E29" s="100"/>
      <c r="F29" s="100"/>
      <c r="G29" s="100"/>
      <c r="H29" s="100"/>
      <c r="I29" s="100"/>
    </row>
    <row r="30" spans="1:11" ht="12.75" customHeight="1">
      <c r="A30" s="100" t="s">
        <v>181</v>
      </c>
      <c r="B30" s="100"/>
      <c r="C30" s="100"/>
      <c r="D30" s="100"/>
      <c r="E30" s="100"/>
      <c r="F30" s="100"/>
      <c r="G30" s="100"/>
      <c r="H30" s="100"/>
      <c r="I30" s="100"/>
    </row>
    <row r="31" spans="1:11" ht="12.75" customHeight="1">
      <c r="A31" s="100" t="s">
        <v>182</v>
      </c>
      <c r="B31" s="100"/>
      <c r="C31" s="100"/>
      <c r="D31" s="100"/>
      <c r="E31" s="100"/>
      <c r="F31" s="100"/>
      <c r="G31" s="100"/>
      <c r="H31" s="100"/>
      <c r="I31" s="100"/>
    </row>
    <row r="32" spans="1:11" ht="24.75" customHeight="1">
      <c r="A32" s="101" t="s">
        <v>183</v>
      </c>
      <c r="B32" s="101"/>
      <c r="C32" s="101"/>
      <c r="D32" s="101"/>
      <c r="E32" s="101"/>
      <c r="F32" s="101"/>
      <c r="G32" s="101"/>
      <c r="H32" s="101"/>
      <c r="I32" s="10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0555555555496" right="0.51180555555555496" top="0.78749999999999998" bottom="0.78749999999999998" header="0.51180555555555496" footer="0.51180555555555496"/>
  <pageSetup paperSize="9" scale="9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53" customWidth="1"/>
    <col min="2" max="2" width="28.5703125" style="53" customWidth="1"/>
    <col min="3" max="6" width="12.7109375" style="53" customWidth="1"/>
    <col min="7" max="7" width="33.5703125" style="53" customWidth="1"/>
    <col min="8" max="9" width="12.7109375" style="53" customWidth="1"/>
    <col min="10" max="11" width="10.28515625" style="53" customWidth="1"/>
    <col min="12" max="1024" width="9.140625" style="53"/>
    <col min="1025" max="16384" width="9.140625" style="86"/>
  </cols>
  <sheetData>
    <row r="1" spans="1:9" ht="15.75">
      <c r="A1" s="104" t="s">
        <v>153</v>
      </c>
      <c r="B1" s="104"/>
      <c r="C1" s="104"/>
      <c r="D1" s="104"/>
      <c r="E1" s="104"/>
      <c r="F1" s="104"/>
      <c r="G1" s="104"/>
      <c r="H1" s="104"/>
      <c r="I1" s="104"/>
    </row>
    <row r="2" spans="1:9" ht="25.5">
      <c r="A2" s="105" t="s">
        <v>185</v>
      </c>
      <c r="B2" s="54" t="s">
        <v>155</v>
      </c>
      <c r="C2" s="54" t="s">
        <v>156</v>
      </c>
      <c r="D2" s="54" t="s">
        <v>157</v>
      </c>
      <c r="E2" s="55" t="s">
        <v>158</v>
      </c>
      <c r="F2" s="55" t="s">
        <v>159</v>
      </c>
      <c r="G2" s="54" t="s">
        <v>160</v>
      </c>
      <c r="H2" s="56" t="s">
        <v>161</v>
      </c>
      <c r="I2" s="57" t="s">
        <v>162</v>
      </c>
    </row>
    <row r="3" spans="1:9" ht="12.75" customHeight="1">
      <c r="A3" s="105"/>
      <c r="B3" s="106" t="s">
        <v>145</v>
      </c>
      <c r="C3" s="107" t="s">
        <v>142</v>
      </c>
      <c r="D3" s="108">
        <v>30</v>
      </c>
      <c r="E3" s="109">
        <f>IF(C20&lt;=25%,D20,MIN(E20:F20))</f>
        <v>15510.75</v>
      </c>
      <c r="F3" s="109">
        <f>MIN(H3:H17)</f>
        <v>11024.38</v>
      </c>
      <c r="G3" s="58" t="s">
        <v>164</v>
      </c>
      <c r="H3" s="59">
        <v>60000</v>
      </c>
      <c r="I3" s="60" t="str">
        <f t="shared" ref="I3:I17" si="0">IF(H3="","",(IF($C$20&lt;25%,"N/A",IF(H3&lt;=($D$20+$A$20),H3,"Descartado"))))</f>
        <v>Descartado</v>
      </c>
    </row>
    <row r="4" spans="1:9">
      <c r="A4" s="105"/>
      <c r="B4" s="106"/>
      <c r="C4" s="107"/>
      <c r="D4" s="108"/>
      <c r="E4" s="109"/>
      <c r="F4" s="109"/>
      <c r="G4" s="58" t="s">
        <v>165</v>
      </c>
      <c r="H4" s="59">
        <v>19851.88</v>
      </c>
      <c r="I4" s="60">
        <f t="shared" si="0"/>
        <v>19851.88</v>
      </c>
    </row>
    <row r="5" spans="1:9">
      <c r="A5" s="105"/>
      <c r="B5" s="106"/>
      <c r="C5" s="107"/>
      <c r="D5" s="108"/>
      <c r="E5" s="109"/>
      <c r="F5" s="109"/>
      <c r="G5" s="58" t="s">
        <v>166</v>
      </c>
      <c r="H5" s="59">
        <v>11024.38</v>
      </c>
      <c r="I5" s="60">
        <f t="shared" si="0"/>
        <v>11024.38</v>
      </c>
    </row>
    <row r="6" spans="1:9">
      <c r="A6" s="105"/>
      <c r="B6" s="106"/>
      <c r="C6" s="107"/>
      <c r="D6" s="108"/>
      <c r="E6" s="109"/>
      <c r="F6" s="109"/>
      <c r="G6" s="58" t="s">
        <v>167</v>
      </c>
      <c r="H6" s="59">
        <v>15656</v>
      </c>
      <c r="I6" s="60">
        <f t="shared" si="0"/>
        <v>15656</v>
      </c>
    </row>
    <row r="7" spans="1:9">
      <c r="A7" s="105"/>
      <c r="B7" s="106"/>
      <c r="C7" s="107"/>
      <c r="D7" s="108"/>
      <c r="E7" s="109"/>
      <c r="F7" s="109"/>
      <c r="G7" s="58"/>
      <c r="H7" s="59"/>
      <c r="I7" s="60" t="str">
        <f t="shared" si="0"/>
        <v/>
      </c>
    </row>
    <row r="8" spans="1:9">
      <c r="A8" s="105"/>
      <c r="B8" s="106"/>
      <c r="C8" s="107"/>
      <c r="D8" s="108"/>
      <c r="E8" s="109"/>
      <c r="F8" s="109"/>
      <c r="G8" s="58"/>
      <c r="H8" s="59"/>
      <c r="I8" s="60" t="str">
        <f t="shared" si="0"/>
        <v/>
      </c>
    </row>
    <row r="9" spans="1:9">
      <c r="A9" s="105"/>
      <c r="B9" s="106"/>
      <c r="C9" s="107"/>
      <c r="D9" s="108"/>
      <c r="E9" s="109"/>
      <c r="F9" s="109"/>
      <c r="G9" s="58"/>
      <c r="H9" s="59"/>
      <c r="I9" s="60" t="str">
        <f t="shared" si="0"/>
        <v/>
      </c>
    </row>
    <row r="10" spans="1:9">
      <c r="A10" s="105"/>
      <c r="B10" s="106"/>
      <c r="C10" s="107"/>
      <c r="D10" s="108"/>
      <c r="E10" s="109"/>
      <c r="F10" s="109"/>
      <c r="G10" s="58"/>
      <c r="H10" s="59"/>
      <c r="I10" s="60" t="str">
        <f t="shared" si="0"/>
        <v/>
      </c>
    </row>
    <row r="11" spans="1:9">
      <c r="A11" s="105"/>
      <c r="B11" s="106"/>
      <c r="C11" s="107"/>
      <c r="D11" s="108"/>
      <c r="E11" s="109"/>
      <c r="F11" s="109"/>
      <c r="G11" s="58"/>
      <c r="H11" s="59"/>
      <c r="I11" s="60" t="str">
        <f t="shared" si="0"/>
        <v/>
      </c>
    </row>
    <row r="12" spans="1:9">
      <c r="A12" s="105"/>
      <c r="B12" s="106"/>
      <c r="C12" s="107"/>
      <c r="D12" s="108"/>
      <c r="E12" s="109"/>
      <c r="F12" s="109"/>
      <c r="G12" s="58"/>
      <c r="H12" s="59"/>
      <c r="I12" s="60" t="str">
        <f t="shared" si="0"/>
        <v/>
      </c>
    </row>
    <row r="13" spans="1:9">
      <c r="A13" s="105"/>
      <c r="B13" s="106"/>
      <c r="C13" s="107"/>
      <c r="D13" s="108"/>
      <c r="E13" s="109"/>
      <c r="F13" s="109"/>
      <c r="G13" s="58"/>
      <c r="H13" s="59"/>
      <c r="I13" s="60" t="str">
        <f t="shared" si="0"/>
        <v/>
      </c>
    </row>
    <row r="14" spans="1:9">
      <c r="A14" s="105"/>
      <c r="B14" s="106"/>
      <c r="C14" s="107"/>
      <c r="D14" s="108"/>
      <c r="E14" s="109"/>
      <c r="F14" s="109"/>
      <c r="G14" s="58"/>
      <c r="H14" s="59"/>
      <c r="I14" s="60" t="str">
        <f t="shared" si="0"/>
        <v/>
      </c>
    </row>
    <row r="15" spans="1:9">
      <c r="A15" s="105"/>
      <c r="B15" s="106"/>
      <c r="C15" s="107"/>
      <c r="D15" s="108"/>
      <c r="E15" s="109"/>
      <c r="F15" s="109"/>
      <c r="G15" s="58"/>
      <c r="H15" s="59"/>
      <c r="I15" s="60" t="str">
        <f t="shared" si="0"/>
        <v/>
      </c>
    </row>
    <row r="16" spans="1:9">
      <c r="A16" s="105"/>
      <c r="B16" s="106"/>
      <c r="C16" s="107"/>
      <c r="D16" s="108"/>
      <c r="E16" s="109"/>
      <c r="F16" s="109"/>
      <c r="G16" s="58"/>
      <c r="H16" s="59"/>
      <c r="I16" s="60" t="str">
        <f t="shared" si="0"/>
        <v/>
      </c>
    </row>
    <row r="17" spans="1:11">
      <c r="A17" s="105"/>
      <c r="B17" s="106"/>
      <c r="C17" s="107"/>
      <c r="D17" s="108"/>
      <c r="E17" s="109"/>
      <c r="F17" s="109"/>
      <c r="G17" s="58"/>
      <c r="H17" s="59"/>
      <c r="I17" s="60" t="str">
        <f t="shared" si="0"/>
        <v/>
      </c>
    </row>
    <row r="18" spans="1:11">
      <c r="A18" s="61"/>
      <c r="B18" s="62"/>
      <c r="C18" s="63"/>
      <c r="D18" s="63"/>
      <c r="E18" s="64"/>
      <c r="F18" s="64"/>
      <c r="G18" s="65"/>
      <c r="H18" s="65"/>
      <c r="I18" s="66"/>
      <c r="J18" s="67"/>
      <c r="K18" s="67"/>
    </row>
    <row r="19" spans="1:11" ht="25.5">
      <c r="A19" s="57" t="s">
        <v>168</v>
      </c>
      <c r="B19" s="57" t="s">
        <v>169</v>
      </c>
      <c r="C19" s="56" t="s">
        <v>170</v>
      </c>
      <c r="D19" s="68" t="s">
        <v>171</v>
      </c>
      <c r="E19" s="69" t="s">
        <v>172</v>
      </c>
      <c r="F19" s="68" t="s">
        <v>173</v>
      </c>
      <c r="G19" s="102" t="s">
        <v>174</v>
      </c>
      <c r="H19" s="102"/>
      <c r="I19" s="70"/>
    </row>
    <row r="20" spans="1:11">
      <c r="A20" s="71">
        <f>IF(B20&lt;2,"N/A",(STDEV(H3:H17)))</f>
        <v>22534.890168668819</v>
      </c>
      <c r="B20" s="71">
        <f>COUNT(H3:H17)</f>
        <v>4</v>
      </c>
      <c r="C20" s="72">
        <f>IF(B20&lt;2,"N/A",(A20/D20))</f>
        <v>0.84612439229382186</v>
      </c>
      <c r="D20" s="73">
        <f>ROUND(AVERAGE(H3:H17),2)</f>
        <v>26633.07</v>
      </c>
      <c r="E20" s="74">
        <f>IFERROR(ROUND(IF(B20&lt;2,"N/A",(IF(C20&lt;=25%,"N/A",AVERAGE(I3:I17)))),2),"N/A")</f>
        <v>15510.75</v>
      </c>
      <c r="F20" s="74">
        <f>ROUND(MEDIAN(H3:H17),2)</f>
        <v>17753.939999999999</v>
      </c>
      <c r="G20" s="75" t="str">
        <f>INDEX(G3:G17,MATCH(H20,H3:H17,0))</f>
        <v>LANLINK SERVIÇOS DE INFORMÁTICA S.A.</v>
      </c>
      <c r="H20" s="76">
        <f>MIN(H3:H17)</f>
        <v>11024.38</v>
      </c>
      <c r="I20" s="70"/>
    </row>
    <row r="21" spans="1:11">
      <c r="A21" s="77"/>
      <c r="B21" s="70"/>
      <c r="C21" s="78"/>
      <c r="D21" s="78"/>
      <c r="E21" s="78"/>
      <c r="F21" s="78"/>
      <c r="G21" s="70"/>
      <c r="H21" s="79"/>
      <c r="I21" s="80"/>
      <c r="J21" s="80"/>
      <c r="K21" s="80"/>
    </row>
    <row r="22" spans="1:11">
      <c r="B22" s="77"/>
      <c r="C22" s="77"/>
      <c r="D22" s="103"/>
      <c r="E22" s="103"/>
      <c r="F22" s="81"/>
      <c r="G22" s="82" t="s">
        <v>175</v>
      </c>
      <c r="H22" s="83">
        <f>IF(C20&lt;=25%,D20,MIN(E20:F20))</f>
        <v>15510.75</v>
      </c>
    </row>
    <row r="23" spans="1:11">
      <c r="B23" s="77"/>
      <c r="C23" s="77"/>
      <c r="D23" s="103"/>
      <c r="E23" s="103"/>
      <c r="F23" s="84"/>
      <c r="G23" s="56" t="s">
        <v>176</v>
      </c>
      <c r="H23" s="76">
        <f>ROUND(H22,2)*D3</f>
        <v>465322.5</v>
      </c>
    </row>
    <row r="24" spans="1:11">
      <c r="B24" s="85"/>
      <c r="C24" s="85"/>
      <c r="D24" s="70"/>
      <c r="E24" s="70"/>
    </row>
    <row r="26" spans="1:11" ht="12.75" customHeight="1">
      <c r="A26" s="100" t="s">
        <v>177</v>
      </c>
      <c r="B26" s="100"/>
      <c r="C26" s="100"/>
      <c r="D26" s="100"/>
      <c r="E26" s="100"/>
      <c r="F26" s="100"/>
      <c r="G26" s="100"/>
      <c r="H26" s="100"/>
      <c r="I26" s="100"/>
    </row>
    <row r="27" spans="1:11" ht="12.75" customHeight="1">
      <c r="A27" s="100" t="s">
        <v>178</v>
      </c>
      <c r="B27" s="100"/>
      <c r="C27" s="100"/>
      <c r="D27" s="100"/>
      <c r="E27" s="100"/>
      <c r="F27" s="100"/>
      <c r="G27" s="100"/>
      <c r="H27" s="100"/>
      <c r="I27" s="100"/>
    </row>
    <row r="28" spans="1:11" ht="12.75" customHeight="1">
      <c r="A28" s="100" t="s">
        <v>179</v>
      </c>
      <c r="B28" s="100"/>
      <c r="C28" s="100"/>
      <c r="D28" s="100"/>
      <c r="E28" s="100"/>
      <c r="F28" s="100"/>
      <c r="G28" s="100"/>
      <c r="H28" s="100"/>
      <c r="I28" s="100"/>
    </row>
    <row r="29" spans="1:11" ht="12.75" customHeight="1">
      <c r="A29" s="100" t="s">
        <v>180</v>
      </c>
      <c r="B29" s="100"/>
      <c r="C29" s="100"/>
      <c r="D29" s="100"/>
      <c r="E29" s="100"/>
      <c r="F29" s="100"/>
      <c r="G29" s="100"/>
      <c r="H29" s="100"/>
      <c r="I29" s="100"/>
    </row>
    <row r="30" spans="1:11" ht="12.75" customHeight="1">
      <c r="A30" s="100" t="s">
        <v>181</v>
      </c>
      <c r="B30" s="100"/>
      <c r="C30" s="100"/>
      <c r="D30" s="100"/>
      <c r="E30" s="100"/>
      <c r="F30" s="100"/>
      <c r="G30" s="100"/>
      <c r="H30" s="100"/>
      <c r="I30" s="100"/>
    </row>
    <row r="31" spans="1:11" ht="12.75" customHeight="1">
      <c r="A31" s="100" t="s">
        <v>182</v>
      </c>
      <c r="B31" s="100"/>
      <c r="C31" s="100"/>
      <c r="D31" s="100"/>
      <c r="E31" s="100"/>
      <c r="F31" s="100"/>
      <c r="G31" s="100"/>
      <c r="H31" s="100"/>
      <c r="I31" s="100"/>
    </row>
    <row r="32" spans="1:11" ht="24.75" customHeight="1">
      <c r="A32" s="101" t="s">
        <v>183</v>
      </c>
      <c r="B32" s="101"/>
      <c r="C32" s="101"/>
      <c r="D32" s="101"/>
      <c r="E32" s="101"/>
      <c r="F32" s="101"/>
      <c r="G32" s="101"/>
      <c r="H32" s="101"/>
      <c r="I32" s="10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0555555555496" right="0.51180555555555496" top="0.78749999999999998" bottom="0.78749999999999998" header="0.51180555555555496" footer="0.51180555555555496"/>
  <pageSetup paperSize="9" scale="90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53" customWidth="1"/>
    <col min="2" max="2" width="28.5703125" style="53" customWidth="1"/>
    <col min="3" max="6" width="12.7109375" style="53" customWidth="1"/>
    <col min="7" max="7" width="33.5703125" style="53" customWidth="1"/>
    <col min="8" max="9" width="12.7109375" style="53" customWidth="1"/>
    <col min="10" max="11" width="10.28515625" style="53" customWidth="1"/>
    <col min="12" max="1024" width="9.140625" style="53"/>
    <col min="1025" max="16384" width="9.140625" style="86"/>
  </cols>
  <sheetData>
    <row r="1" spans="1:9" ht="15.75">
      <c r="A1" s="104" t="s">
        <v>153</v>
      </c>
      <c r="B1" s="104"/>
      <c r="C1" s="104"/>
      <c r="D1" s="104"/>
      <c r="E1" s="104"/>
      <c r="F1" s="104"/>
      <c r="G1" s="104"/>
      <c r="H1" s="104"/>
      <c r="I1" s="104"/>
    </row>
    <row r="2" spans="1:9" ht="25.5">
      <c r="A2" s="105" t="s">
        <v>186</v>
      </c>
      <c r="B2" s="54" t="s">
        <v>155</v>
      </c>
      <c r="C2" s="54" t="s">
        <v>156</v>
      </c>
      <c r="D2" s="54" t="s">
        <v>157</v>
      </c>
      <c r="E2" s="55" t="s">
        <v>158</v>
      </c>
      <c r="F2" s="55" t="s">
        <v>159</v>
      </c>
      <c r="G2" s="54" t="s">
        <v>160</v>
      </c>
      <c r="H2" s="56" t="s">
        <v>161</v>
      </c>
      <c r="I2" s="57" t="s">
        <v>162</v>
      </c>
    </row>
    <row r="3" spans="1:9" ht="12.75" customHeight="1">
      <c r="A3" s="105"/>
      <c r="B3" s="106" t="s">
        <v>187</v>
      </c>
      <c r="C3" s="107" t="s">
        <v>188</v>
      </c>
      <c r="D3" s="108">
        <v>2400</v>
      </c>
      <c r="E3" s="109">
        <f>IF(C20&lt;=25%,D20,MIN(E20:F20))</f>
        <v>70.05</v>
      </c>
      <c r="F3" s="109">
        <f>MIN(H3:H17)</f>
        <v>53.35</v>
      </c>
      <c r="G3" s="58" t="s">
        <v>164</v>
      </c>
      <c r="H3" s="59">
        <v>180</v>
      </c>
      <c r="I3" s="60" t="str">
        <f t="shared" ref="I3:I17" si="0">IF(H3="","",(IF($C$20&lt;25%,"N/A",IF(H3&lt;=($D$20+$A$20),H3,"Descartado"))))</f>
        <v>Descartado</v>
      </c>
    </row>
    <row r="4" spans="1:9">
      <c r="A4" s="105"/>
      <c r="B4" s="106"/>
      <c r="C4" s="107"/>
      <c r="D4" s="108"/>
      <c r="E4" s="109"/>
      <c r="F4" s="109"/>
      <c r="G4" s="58" t="s">
        <v>165</v>
      </c>
      <c r="H4" s="59">
        <v>53.35</v>
      </c>
      <c r="I4" s="60">
        <f t="shared" si="0"/>
        <v>53.35</v>
      </c>
    </row>
    <row r="5" spans="1:9">
      <c r="A5" s="105"/>
      <c r="B5" s="106"/>
      <c r="C5" s="107"/>
      <c r="D5" s="108"/>
      <c r="E5" s="109"/>
      <c r="F5" s="109"/>
      <c r="G5" s="58" t="s">
        <v>166</v>
      </c>
      <c r="H5" s="59">
        <v>101.79</v>
      </c>
      <c r="I5" s="60">
        <f t="shared" si="0"/>
        <v>101.79</v>
      </c>
    </row>
    <row r="6" spans="1:9">
      <c r="A6" s="105"/>
      <c r="B6" s="106"/>
      <c r="C6" s="107"/>
      <c r="D6" s="108"/>
      <c r="E6" s="109"/>
      <c r="F6" s="109"/>
      <c r="G6" s="58" t="s">
        <v>167</v>
      </c>
      <c r="H6" s="59">
        <v>55</v>
      </c>
      <c r="I6" s="60">
        <f t="shared" si="0"/>
        <v>55</v>
      </c>
    </row>
    <row r="7" spans="1:9">
      <c r="A7" s="105"/>
      <c r="B7" s="106"/>
      <c r="C7" s="107"/>
      <c r="D7" s="108"/>
      <c r="E7" s="109"/>
      <c r="F7" s="109"/>
      <c r="G7" s="58"/>
      <c r="H7" s="59"/>
      <c r="I7" s="60" t="str">
        <f t="shared" si="0"/>
        <v/>
      </c>
    </row>
    <row r="8" spans="1:9">
      <c r="A8" s="105"/>
      <c r="B8" s="106"/>
      <c r="C8" s="107"/>
      <c r="D8" s="108"/>
      <c r="E8" s="109"/>
      <c r="F8" s="109"/>
      <c r="G8" s="58"/>
      <c r="H8" s="59"/>
      <c r="I8" s="60" t="str">
        <f t="shared" si="0"/>
        <v/>
      </c>
    </row>
    <row r="9" spans="1:9">
      <c r="A9" s="105"/>
      <c r="B9" s="106"/>
      <c r="C9" s="107"/>
      <c r="D9" s="108"/>
      <c r="E9" s="109"/>
      <c r="F9" s="109"/>
      <c r="G9" s="58"/>
      <c r="H9" s="59"/>
      <c r="I9" s="60" t="str">
        <f t="shared" si="0"/>
        <v/>
      </c>
    </row>
    <row r="10" spans="1:9">
      <c r="A10" s="105"/>
      <c r="B10" s="106"/>
      <c r="C10" s="107"/>
      <c r="D10" s="108"/>
      <c r="E10" s="109"/>
      <c r="F10" s="109"/>
      <c r="G10" s="58"/>
      <c r="H10" s="59"/>
      <c r="I10" s="60" t="str">
        <f t="shared" si="0"/>
        <v/>
      </c>
    </row>
    <row r="11" spans="1:9">
      <c r="A11" s="105"/>
      <c r="B11" s="106"/>
      <c r="C11" s="107"/>
      <c r="D11" s="108"/>
      <c r="E11" s="109"/>
      <c r="F11" s="109"/>
      <c r="G11" s="58"/>
      <c r="H11" s="59"/>
      <c r="I11" s="60" t="str">
        <f t="shared" si="0"/>
        <v/>
      </c>
    </row>
    <row r="12" spans="1:9">
      <c r="A12" s="105"/>
      <c r="B12" s="106"/>
      <c r="C12" s="107"/>
      <c r="D12" s="108"/>
      <c r="E12" s="109"/>
      <c r="F12" s="109"/>
      <c r="G12" s="58"/>
      <c r="H12" s="59"/>
      <c r="I12" s="60" t="str">
        <f t="shared" si="0"/>
        <v/>
      </c>
    </row>
    <row r="13" spans="1:9">
      <c r="A13" s="105"/>
      <c r="B13" s="106"/>
      <c r="C13" s="107"/>
      <c r="D13" s="108"/>
      <c r="E13" s="109"/>
      <c r="F13" s="109"/>
      <c r="G13" s="58"/>
      <c r="H13" s="59"/>
      <c r="I13" s="60" t="str">
        <f t="shared" si="0"/>
        <v/>
      </c>
    </row>
    <row r="14" spans="1:9">
      <c r="A14" s="105"/>
      <c r="B14" s="106"/>
      <c r="C14" s="107"/>
      <c r="D14" s="108"/>
      <c r="E14" s="109"/>
      <c r="F14" s="109"/>
      <c r="G14" s="58"/>
      <c r="H14" s="59"/>
      <c r="I14" s="60" t="str">
        <f t="shared" si="0"/>
        <v/>
      </c>
    </row>
    <row r="15" spans="1:9">
      <c r="A15" s="105"/>
      <c r="B15" s="106"/>
      <c r="C15" s="107"/>
      <c r="D15" s="108"/>
      <c r="E15" s="109"/>
      <c r="F15" s="109"/>
      <c r="G15" s="58"/>
      <c r="H15" s="59"/>
      <c r="I15" s="60" t="str">
        <f t="shared" si="0"/>
        <v/>
      </c>
    </row>
    <row r="16" spans="1:9">
      <c r="A16" s="105"/>
      <c r="B16" s="106"/>
      <c r="C16" s="107"/>
      <c r="D16" s="108"/>
      <c r="E16" s="109"/>
      <c r="F16" s="109"/>
      <c r="G16" s="58"/>
      <c r="H16" s="59"/>
      <c r="I16" s="60" t="str">
        <f t="shared" si="0"/>
        <v/>
      </c>
    </row>
    <row r="17" spans="1:11">
      <c r="A17" s="105"/>
      <c r="B17" s="106"/>
      <c r="C17" s="107"/>
      <c r="D17" s="108"/>
      <c r="E17" s="109"/>
      <c r="F17" s="109"/>
      <c r="G17" s="58"/>
      <c r="H17" s="59"/>
      <c r="I17" s="60" t="str">
        <f t="shared" si="0"/>
        <v/>
      </c>
    </row>
    <row r="18" spans="1:11">
      <c r="A18" s="61"/>
      <c r="B18" s="62"/>
      <c r="C18" s="63"/>
      <c r="D18" s="63"/>
      <c r="E18" s="64"/>
      <c r="F18" s="64"/>
      <c r="G18" s="65"/>
      <c r="H18" s="65"/>
      <c r="I18" s="66"/>
      <c r="J18" s="67"/>
      <c r="K18" s="67"/>
    </row>
    <row r="19" spans="1:11" ht="25.5">
      <c r="A19" s="57" t="s">
        <v>168</v>
      </c>
      <c r="B19" s="57" t="s">
        <v>169</v>
      </c>
      <c r="C19" s="56" t="s">
        <v>170</v>
      </c>
      <c r="D19" s="68" t="s">
        <v>171</v>
      </c>
      <c r="E19" s="69" t="s">
        <v>172</v>
      </c>
      <c r="F19" s="68" t="s">
        <v>173</v>
      </c>
      <c r="G19" s="102" t="s">
        <v>174</v>
      </c>
      <c r="H19" s="102"/>
      <c r="I19" s="70"/>
    </row>
    <row r="20" spans="1:11">
      <c r="A20" s="71">
        <f>IF(B20&lt;2,"N/A",(STDEV(H3:H17)))</f>
        <v>59.38608619309187</v>
      </c>
      <c r="B20" s="71">
        <f>COUNT(H3:H17)</f>
        <v>4</v>
      </c>
      <c r="C20" s="72">
        <f>IF(B20&lt;2,"N/A",(A20/D20))</f>
        <v>0.60883828371018933</v>
      </c>
      <c r="D20" s="73">
        <f>ROUND(AVERAGE(H3:H17),2)</f>
        <v>97.54</v>
      </c>
      <c r="E20" s="74">
        <f>IFERROR(ROUND(IF(B20&lt;2,"N/A",(IF(C20&lt;=25%,"N/A",AVERAGE(I3:I17)))),2),"N/A")</f>
        <v>70.05</v>
      </c>
      <c r="F20" s="74">
        <f>ROUND(MEDIAN(H3:H17),2)</f>
        <v>78.400000000000006</v>
      </c>
      <c r="G20" s="75" t="str">
        <f>INDEX(G3:G17,MATCH(H20,H3:H17,0))</f>
        <v>STEFANINI CONSULTORIA E ASSESSORIA EM INFORMATICA S.A.</v>
      </c>
      <c r="H20" s="76">
        <f>MIN(H3:H17)</f>
        <v>53.35</v>
      </c>
      <c r="I20" s="70"/>
    </row>
    <row r="21" spans="1:11">
      <c r="A21" s="77"/>
      <c r="B21" s="70"/>
      <c r="C21" s="78"/>
      <c r="D21" s="78"/>
      <c r="E21" s="78"/>
      <c r="F21" s="78"/>
      <c r="G21" s="70"/>
      <c r="H21" s="79"/>
      <c r="I21" s="80"/>
      <c r="J21" s="80"/>
      <c r="K21" s="80"/>
    </row>
    <row r="22" spans="1:11">
      <c r="B22" s="77"/>
      <c r="C22" s="77"/>
      <c r="D22" s="103"/>
      <c r="E22" s="103"/>
      <c r="F22" s="81"/>
      <c r="G22" s="82" t="s">
        <v>175</v>
      </c>
      <c r="H22" s="83">
        <f>IF(C20&lt;=25%,D20,MIN(E20:F20))</f>
        <v>70.05</v>
      </c>
    </row>
    <row r="23" spans="1:11">
      <c r="B23" s="77"/>
      <c r="C23" s="77"/>
      <c r="D23" s="103"/>
      <c r="E23" s="103"/>
      <c r="F23" s="84"/>
      <c r="G23" s="56" t="s">
        <v>176</v>
      </c>
      <c r="H23" s="76">
        <f>ROUND(H22,2)*D3</f>
        <v>168120</v>
      </c>
    </row>
    <row r="24" spans="1:11">
      <c r="B24" s="85"/>
      <c r="C24" s="85"/>
      <c r="D24" s="70"/>
      <c r="E24" s="70"/>
    </row>
    <row r="26" spans="1:11" ht="12.75" customHeight="1">
      <c r="A26" s="100" t="s">
        <v>177</v>
      </c>
      <c r="B26" s="100"/>
      <c r="C26" s="100"/>
      <c r="D26" s="100"/>
      <c r="E26" s="100"/>
      <c r="F26" s="100"/>
      <c r="G26" s="100"/>
      <c r="H26" s="100"/>
      <c r="I26" s="100"/>
    </row>
    <row r="27" spans="1:11" ht="12.75" customHeight="1">
      <c r="A27" s="100" t="s">
        <v>178</v>
      </c>
      <c r="B27" s="100"/>
      <c r="C27" s="100"/>
      <c r="D27" s="100"/>
      <c r="E27" s="100"/>
      <c r="F27" s="100"/>
      <c r="G27" s="100"/>
      <c r="H27" s="100"/>
      <c r="I27" s="100"/>
    </row>
    <row r="28" spans="1:11" ht="12.75" customHeight="1">
      <c r="A28" s="100" t="s">
        <v>179</v>
      </c>
      <c r="B28" s="100"/>
      <c r="C28" s="100"/>
      <c r="D28" s="100"/>
      <c r="E28" s="100"/>
      <c r="F28" s="100"/>
      <c r="G28" s="100"/>
      <c r="H28" s="100"/>
      <c r="I28" s="100"/>
    </row>
    <row r="29" spans="1:11" ht="12.75" customHeight="1">
      <c r="A29" s="100" t="s">
        <v>180</v>
      </c>
      <c r="B29" s="100"/>
      <c r="C29" s="100"/>
      <c r="D29" s="100"/>
      <c r="E29" s="100"/>
      <c r="F29" s="100"/>
      <c r="G29" s="100"/>
      <c r="H29" s="100"/>
      <c r="I29" s="100"/>
    </row>
    <row r="30" spans="1:11" ht="12.75" customHeight="1">
      <c r="A30" s="100" t="s">
        <v>181</v>
      </c>
      <c r="B30" s="100"/>
      <c r="C30" s="100"/>
      <c r="D30" s="100"/>
      <c r="E30" s="100"/>
      <c r="F30" s="100"/>
      <c r="G30" s="100"/>
      <c r="H30" s="100"/>
      <c r="I30" s="100"/>
    </row>
    <row r="31" spans="1:11" ht="12.75" customHeight="1">
      <c r="A31" s="100" t="s">
        <v>182</v>
      </c>
      <c r="B31" s="100"/>
      <c r="C31" s="100"/>
      <c r="D31" s="100"/>
      <c r="E31" s="100"/>
      <c r="F31" s="100"/>
      <c r="G31" s="100"/>
      <c r="H31" s="100"/>
      <c r="I31" s="100"/>
    </row>
    <row r="32" spans="1:11" ht="24.75" customHeight="1">
      <c r="A32" s="101" t="s">
        <v>183</v>
      </c>
      <c r="B32" s="101"/>
      <c r="C32" s="101"/>
      <c r="D32" s="101"/>
      <c r="E32" s="101"/>
      <c r="F32" s="101"/>
      <c r="G32" s="101"/>
      <c r="H32" s="101"/>
      <c r="I32" s="10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0555555555496" right="0.51180555555555496" top="0.78749999999999998" bottom="0.78749999999999998" header="0.51180555555555496" footer="0.51180555555555496"/>
  <pageSetup paperSize="9" scale="90" firstPageNumber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33" zoomScale="115" zoomScaleNormal="115" workbookViewId="0">
      <selection activeCell="D156" sqref="D156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97" t="s">
        <v>0</v>
      </c>
      <c r="B1" s="97"/>
      <c r="C1" s="97"/>
      <c r="D1" s="97"/>
    </row>
    <row r="2" spans="1:4" ht="15.75">
      <c r="A2" s="2"/>
      <c r="B2" s="2"/>
      <c r="C2" s="2"/>
      <c r="D2" s="2"/>
    </row>
    <row r="3" spans="1:4">
      <c r="A3" s="90" t="s">
        <v>1</v>
      </c>
      <c r="B3" s="90"/>
      <c r="C3" s="90"/>
      <c r="D3" s="90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90" t="s">
        <v>10</v>
      </c>
      <c r="B10" s="90"/>
      <c r="C10" s="90"/>
      <c r="D10" s="90"/>
    </row>
    <row r="11" spans="1:4">
      <c r="A11" s="3"/>
      <c r="B11" s="3"/>
      <c r="C11" s="3"/>
      <c r="D11" s="3"/>
    </row>
    <row r="12" spans="1:4" ht="38.25" customHeight="1">
      <c r="A12" s="98" t="s">
        <v>11</v>
      </c>
      <c r="B12" s="98"/>
      <c r="C12" s="8" t="s">
        <v>12</v>
      </c>
      <c r="D12" s="9" t="s">
        <v>13</v>
      </c>
    </row>
    <row r="13" spans="1:4" ht="30" customHeight="1">
      <c r="A13" s="99" t="s">
        <v>114</v>
      </c>
      <c r="B13" s="99"/>
      <c r="C13" s="7" t="s">
        <v>15</v>
      </c>
      <c r="D13" s="7">
        <v>6</v>
      </c>
    </row>
    <row r="15" spans="1:4">
      <c r="A15" s="90" t="s">
        <v>16</v>
      </c>
      <c r="B15" s="90"/>
      <c r="C15" s="90"/>
      <c r="D15" s="90"/>
    </row>
    <row r="16" spans="1:4">
      <c r="A16" s="3"/>
      <c r="B16" s="3"/>
      <c r="C16" s="3"/>
      <c r="D16" s="3"/>
    </row>
    <row r="17" spans="1:4">
      <c r="A17" s="4">
        <v>1</v>
      </c>
      <c r="B17" s="4" t="s">
        <v>17</v>
      </c>
      <c r="C17" s="95" t="s">
        <v>18</v>
      </c>
      <c r="D17" s="95"/>
    </row>
    <row r="18" spans="1:4">
      <c r="A18" s="4">
        <v>2</v>
      </c>
      <c r="B18" s="4" t="s">
        <v>19</v>
      </c>
      <c r="C18" s="95" t="s">
        <v>20</v>
      </c>
      <c r="D18" s="95"/>
    </row>
    <row r="19" spans="1:4">
      <c r="A19" s="4">
        <v>3</v>
      </c>
      <c r="B19" s="4" t="s">
        <v>21</v>
      </c>
      <c r="C19" s="96">
        <v>1100</v>
      </c>
      <c r="D19" s="96"/>
    </row>
    <row r="20" spans="1:4">
      <c r="A20" s="4">
        <v>4</v>
      </c>
      <c r="B20" s="4" t="s">
        <v>22</v>
      </c>
      <c r="C20" s="95"/>
      <c r="D20" s="95"/>
    </row>
    <row r="21" spans="1:4">
      <c r="A21" s="4">
        <v>5</v>
      </c>
      <c r="B21" s="4" t="s">
        <v>23</v>
      </c>
      <c r="C21" s="95"/>
      <c r="D21" s="95"/>
    </row>
    <row r="23" spans="1:4">
      <c r="A23" s="90" t="s">
        <v>24</v>
      </c>
      <c r="B23" s="90"/>
      <c r="C23" s="90"/>
      <c r="D23" s="90"/>
    </row>
    <row r="25" spans="1:4" ht="12.75" customHeight="1">
      <c r="A25" s="10">
        <v>1</v>
      </c>
      <c r="B25" s="87" t="s">
        <v>25</v>
      </c>
      <c r="C25" s="87"/>
      <c r="D25" s="10" t="s">
        <v>26</v>
      </c>
    </row>
    <row r="26" spans="1:4" ht="12.75" customHeight="1">
      <c r="A26" s="8" t="s">
        <v>2</v>
      </c>
      <c r="B26" s="88" t="s">
        <v>27</v>
      </c>
      <c r="C26" s="88"/>
      <c r="D26" s="12">
        <v>1719.02</v>
      </c>
    </row>
    <row r="27" spans="1:4" ht="12.75" customHeight="1">
      <c r="A27" s="8" t="s">
        <v>4</v>
      </c>
      <c r="B27" s="88" t="s">
        <v>28</v>
      </c>
      <c r="C27" s="88"/>
      <c r="D27" s="12"/>
    </row>
    <row r="28" spans="1:4" ht="12.75" customHeight="1">
      <c r="A28" s="8" t="s">
        <v>6</v>
      </c>
      <c r="B28" s="88" t="s">
        <v>29</v>
      </c>
      <c r="C28" s="88"/>
      <c r="D28" s="12"/>
    </row>
    <row r="29" spans="1:4" ht="12.75" customHeight="1">
      <c r="A29" s="8" t="s">
        <v>8</v>
      </c>
      <c r="B29" s="88" t="s">
        <v>30</v>
      </c>
      <c r="C29" s="88"/>
      <c r="D29" s="12"/>
    </row>
    <row r="30" spans="1:4" ht="12.75" customHeight="1">
      <c r="A30" s="8" t="s">
        <v>31</v>
      </c>
      <c r="B30" s="88" t="s">
        <v>32</v>
      </c>
      <c r="C30" s="88"/>
      <c r="D30" s="12"/>
    </row>
    <row r="31" spans="1:4">
      <c r="A31" s="8"/>
      <c r="B31" s="88"/>
      <c r="C31" s="88"/>
      <c r="D31" s="12"/>
    </row>
    <row r="32" spans="1:4" ht="12.75" customHeight="1">
      <c r="A32" s="8" t="s">
        <v>33</v>
      </c>
      <c r="B32" s="88" t="s">
        <v>34</v>
      </c>
      <c r="C32" s="88"/>
      <c r="D32" s="12"/>
    </row>
    <row r="33" spans="1:4" ht="12.75" customHeight="1">
      <c r="A33" s="87" t="s">
        <v>35</v>
      </c>
      <c r="B33" s="87"/>
      <c r="C33" s="87"/>
      <c r="D33" s="13">
        <f>SUM(D26:D32)</f>
        <v>1719.02</v>
      </c>
    </row>
    <row r="36" spans="1:4">
      <c r="A36" s="90" t="s">
        <v>36</v>
      </c>
      <c r="B36" s="90"/>
      <c r="C36" s="90"/>
      <c r="D36" s="90"/>
    </row>
    <row r="37" spans="1:4">
      <c r="A37" s="14"/>
    </row>
    <row r="38" spans="1:4">
      <c r="A38" s="92" t="s">
        <v>37</v>
      </c>
      <c r="B38" s="92"/>
      <c r="C38" s="92"/>
      <c r="D38" s="92"/>
    </row>
    <row r="40" spans="1:4" ht="12.75" customHeight="1">
      <c r="A40" s="10" t="s">
        <v>38</v>
      </c>
      <c r="B40" s="87" t="s">
        <v>39</v>
      </c>
      <c r="C40" s="87"/>
      <c r="D40" s="10" t="s">
        <v>26</v>
      </c>
    </row>
    <row r="41" spans="1:4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143.19</v>
      </c>
    </row>
    <row r="42" spans="1:4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190.98</v>
      </c>
    </row>
    <row r="43" spans="1:4" ht="12.75" customHeight="1">
      <c r="A43" s="87" t="s">
        <v>35</v>
      </c>
      <c r="B43" s="87"/>
      <c r="C43" s="16">
        <f>SUM(C41:C42)</f>
        <v>0.19440000000000002</v>
      </c>
      <c r="D43" s="17">
        <f>SUM(D41:D42)</f>
        <v>334.16999999999996</v>
      </c>
    </row>
    <row r="46" spans="1:4" ht="12.75" customHeight="1">
      <c r="A46" s="94" t="s">
        <v>42</v>
      </c>
      <c r="B46" s="94"/>
      <c r="C46" s="94"/>
      <c r="D46" s="94"/>
    </row>
    <row r="48" spans="1:4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410.63</v>
      </c>
    </row>
    <row r="50" spans="1:4">
      <c r="A50" s="8" t="s">
        <v>4</v>
      </c>
      <c r="B50" s="11" t="s">
        <v>47</v>
      </c>
      <c r="C50" s="18">
        <v>2.5000000000000001E-2</v>
      </c>
      <c r="D50" s="12">
        <f t="shared" si="0"/>
        <v>51.32</v>
      </c>
    </row>
    <row r="51" spans="1:4">
      <c r="A51" s="8" t="s">
        <v>6</v>
      </c>
      <c r="B51" s="11" t="s">
        <v>48</v>
      </c>
      <c r="C51" s="19">
        <v>0.03</v>
      </c>
      <c r="D51" s="12">
        <f t="shared" si="0"/>
        <v>61.59</v>
      </c>
    </row>
    <row r="52" spans="1:4">
      <c r="A52" s="8" t="s">
        <v>8</v>
      </c>
      <c r="B52" s="11" t="s">
        <v>49</v>
      </c>
      <c r="C52" s="18">
        <v>1.4999999999999999E-2</v>
      </c>
      <c r="D52" s="12">
        <f t="shared" si="0"/>
        <v>30.79</v>
      </c>
    </row>
    <row r="53" spans="1:4">
      <c r="A53" s="8" t="s">
        <v>31</v>
      </c>
      <c r="B53" s="11" t="s">
        <v>50</v>
      </c>
      <c r="C53" s="18">
        <v>0.01</v>
      </c>
      <c r="D53" s="12">
        <f t="shared" si="0"/>
        <v>20.53</v>
      </c>
    </row>
    <row r="54" spans="1:4">
      <c r="A54" s="8" t="s">
        <v>51</v>
      </c>
      <c r="B54" s="11" t="s">
        <v>52</v>
      </c>
      <c r="C54" s="18">
        <v>6.0000000000000001E-3</v>
      </c>
      <c r="D54" s="12">
        <f t="shared" si="0"/>
        <v>12.31</v>
      </c>
    </row>
    <row r="55" spans="1:4">
      <c r="A55" s="8" t="s">
        <v>33</v>
      </c>
      <c r="B55" s="11" t="s">
        <v>53</v>
      </c>
      <c r="C55" s="18">
        <v>2E-3</v>
      </c>
      <c r="D55" s="12">
        <f t="shared" si="0"/>
        <v>4.0999999999999996</v>
      </c>
    </row>
    <row r="56" spans="1:4">
      <c r="A56" s="8" t="s">
        <v>54</v>
      </c>
      <c r="B56" s="11" t="s">
        <v>55</v>
      </c>
      <c r="C56" s="18">
        <v>0.08</v>
      </c>
      <c r="D56" s="12">
        <f t="shared" si="0"/>
        <v>164.25</v>
      </c>
    </row>
    <row r="57" spans="1:4" ht="12.75" customHeight="1">
      <c r="A57" s="87" t="s">
        <v>56</v>
      </c>
      <c r="B57" s="87"/>
      <c r="C57" s="20">
        <f>SUM(C49:C56)</f>
        <v>0.36800000000000005</v>
      </c>
      <c r="D57" s="17">
        <f>SUM(D49:D56)</f>
        <v>755.51999999999987</v>
      </c>
    </row>
    <row r="60" spans="1:4">
      <c r="A60" s="92" t="s">
        <v>57</v>
      </c>
      <c r="B60" s="92"/>
      <c r="C60" s="92"/>
      <c r="D60" s="92"/>
    </row>
    <row r="62" spans="1:4" ht="12.75" customHeight="1">
      <c r="A62" s="10" t="s">
        <v>58</v>
      </c>
      <c r="B62" s="93" t="s">
        <v>59</v>
      </c>
      <c r="C62" s="93"/>
      <c r="D62" s="10" t="s">
        <v>26</v>
      </c>
    </row>
    <row r="63" spans="1:4" ht="12.75" customHeight="1">
      <c r="A63" s="8" t="s">
        <v>2</v>
      </c>
      <c r="B63" s="88" t="s">
        <v>60</v>
      </c>
      <c r="C63" s="88"/>
      <c r="D63" s="12">
        <f>IF((23*2*4.4)-(D26*0.06)&lt;0,0,(23*2*4.4)-(D26*0.06))</f>
        <v>99.258800000000008</v>
      </c>
    </row>
    <row r="64" spans="1:4" ht="12.75" customHeight="1">
      <c r="A64" s="8" t="s">
        <v>4</v>
      </c>
      <c r="B64" s="88" t="s">
        <v>61</v>
      </c>
      <c r="C64" s="88"/>
      <c r="D64" s="12">
        <f>23*(29-2.9)</f>
        <v>600.30000000000007</v>
      </c>
    </row>
    <row r="65" spans="1:5" ht="12.75" customHeight="1">
      <c r="A65" s="8" t="s">
        <v>6</v>
      </c>
      <c r="B65" s="88" t="s">
        <v>62</v>
      </c>
      <c r="C65" s="88"/>
      <c r="D65" s="12">
        <f>200*0.7</f>
        <v>140</v>
      </c>
    </row>
    <row r="66" spans="1:5" ht="12.75" customHeight="1">
      <c r="A66" s="8" t="s">
        <v>8</v>
      </c>
      <c r="B66" s="88" t="s">
        <v>34</v>
      </c>
      <c r="C66" s="88"/>
      <c r="D66" s="12"/>
    </row>
    <row r="67" spans="1:5" ht="12.75" customHeight="1">
      <c r="A67" s="87" t="s">
        <v>35</v>
      </c>
      <c r="B67" s="87"/>
      <c r="C67" s="87"/>
      <c r="D67" s="17">
        <f>SUM(D63:D66)</f>
        <v>839.55880000000002</v>
      </c>
    </row>
    <row r="70" spans="1:5">
      <c r="A70" s="92" t="s">
        <v>63</v>
      </c>
      <c r="B70" s="92"/>
      <c r="C70" s="92"/>
      <c r="D70" s="92"/>
    </row>
    <row r="72" spans="1:5" ht="12.75" customHeight="1">
      <c r="A72" s="10">
        <v>2</v>
      </c>
      <c r="B72" s="93" t="s">
        <v>64</v>
      </c>
      <c r="C72" s="93"/>
      <c r="D72" s="10" t="s">
        <v>26</v>
      </c>
    </row>
    <row r="73" spans="1:5" ht="12.75" customHeight="1">
      <c r="A73" s="8" t="s">
        <v>38</v>
      </c>
      <c r="B73" s="88" t="s">
        <v>39</v>
      </c>
      <c r="C73" s="88"/>
      <c r="D73" s="21">
        <f>D43</f>
        <v>334.16999999999996</v>
      </c>
    </row>
    <row r="74" spans="1:5" ht="12.75" customHeight="1">
      <c r="A74" s="8" t="s">
        <v>43</v>
      </c>
      <c r="B74" s="88" t="s">
        <v>44</v>
      </c>
      <c r="C74" s="88"/>
      <c r="D74" s="21">
        <f>D57</f>
        <v>755.51999999999987</v>
      </c>
    </row>
    <row r="75" spans="1:5" ht="12.75" customHeight="1">
      <c r="A75" s="8" t="s">
        <v>58</v>
      </c>
      <c r="B75" s="88" t="s">
        <v>59</v>
      </c>
      <c r="C75" s="88"/>
      <c r="D75" s="21">
        <f>D67</f>
        <v>839.55880000000002</v>
      </c>
    </row>
    <row r="76" spans="1:5" ht="12.75" customHeight="1">
      <c r="A76" s="87" t="s">
        <v>35</v>
      </c>
      <c r="B76" s="87"/>
      <c r="C76" s="87"/>
      <c r="D76" s="17">
        <f>SUM(D73:D75)</f>
        <v>1929.2487999999998</v>
      </c>
    </row>
    <row r="77" spans="1:5">
      <c r="A77" s="22"/>
      <c r="E77" s="23"/>
    </row>
    <row r="79" spans="1:5">
      <c r="A79" s="90" t="s">
        <v>65</v>
      </c>
      <c r="B79" s="90"/>
      <c r="C79" s="90"/>
      <c r="D79" s="90"/>
      <c r="E79" s="24"/>
    </row>
    <row r="80" spans="1:5" ht="12.75" customHeight="1">
      <c r="E80" s="23"/>
    </row>
    <row r="81" spans="1:4" ht="12.75" customHeight="1">
      <c r="A81" s="10">
        <v>3</v>
      </c>
      <c r="B81" s="93" t="s">
        <v>66</v>
      </c>
      <c r="C81" s="93"/>
      <c r="D81" s="10" t="s">
        <v>26</v>
      </c>
    </row>
    <row r="82" spans="1:4">
      <c r="A82" s="8" t="s">
        <v>2</v>
      </c>
      <c r="B82" s="25" t="s">
        <v>67</v>
      </c>
      <c r="C82" s="18">
        <f>TRUNC(((1/12)*5%),4)</f>
        <v>4.1000000000000003E-3</v>
      </c>
      <c r="D82" s="12">
        <f>TRUNC($D$33*C82,2)</f>
        <v>7.04</v>
      </c>
    </row>
    <row r="83" spans="1:4">
      <c r="A83" s="8" t="s">
        <v>4</v>
      </c>
      <c r="B83" s="25" t="s">
        <v>68</v>
      </c>
      <c r="C83" s="18">
        <v>0.08</v>
      </c>
      <c r="D83" s="12">
        <f>TRUNC(D82*C83,2)</f>
        <v>0.56000000000000005</v>
      </c>
    </row>
    <row r="84" spans="1:4">
      <c r="A84" s="8" t="s">
        <v>6</v>
      </c>
      <c r="B84" s="25" t="s">
        <v>69</v>
      </c>
      <c r="C84" s="18">
        <f>TRUNC(8%*5%*40%,4)</f>
        <v>1.6000000000000001E-3</v>
      </c>
      <c r="D84" s="12">
        <f>TRUNC($D$33*C84,2)</f>
        <v>2.75</v>
      </c>
    </row>
    <row r="85" spans="1:4">
      <c r="A85" s="8" t="s">
        <v>8</v>
      </c>
      <c r="B85" s="25" t="s">
        <v>70</v>
      </c>
      <c r="C85" s="18">
        <f>TRUNC(((7/30)/12)*95%,4)</f>
        <v>1.84E-2</v>
      </c>
      <c r="D85" s="12">
        <f>TRUNC($D$33*C85,2)</f>
        <v>31.62</v>
      </c>
    </row>
    <row r="86" spans="1:4" ht="25.5">
      <c r="A86" s="8" t="s">
        <v>31</v>
      </c>
      <c r="B86" s="25" t="s">
        <v>71</v>
      </c>
      <c r="C86" s="18">
        <f>C57</f>
        <v>0.36800000000000005</v>
      </c>
      <c r="D86" s="12">
        <f>TRUNC(D85*C86,2)</f>
        <v>11.63</v>
      </c>
    </row>
    <row r="87" spans="1:4">
      <c r="A87" s="8" t="s">
        <v>51</v>
      </c>
      <c r="B87" s="25" t="s">
        <v>72</v>
      </c>
      <c r="C87" s="18">
        <f>TRUNC(8%*95%*40%,4)</f>
        <v>3.04E-2</v>
      </c>
      <c r="D87" s="12">
        <f>TRUNC($D$33*C87,2)</f>
        <v>52.25</v>
      </c>
    </row>
    <row r="88" spans="1:4" ht="12.75" customHeight="1">
      <c r="A88" s="87" t="s">
        <v>35</v>
      </c>
      <c r="B88" s="87"/>
      <c r="C88" s="87"/>
      <c r="D88" s="17">
        <f>SUM(D82:D87)</f>
        <v>105.85</v>
      </c>
    </row>
    <row r="91" spans="1:4">
      <c r="A91" s="90" t="s">
        <v>73</v>
      </c>
      <c r="B91" s="90"/>
      <c r="C91" s="90"/>
      <c r="D91" s="90"/>
    </row>
    <row r="94" spans="1:4">
      <c r="A94" s="92" t="s">
        <v>74</v>
      </c>
      <c r="B94" s="92"/>
      <c r="C94" s="92"/>
      <c r="D94" s="92"/>
    </row>
    <row r="95" spans="1:4">
      <c r="A95" s="14"/>
    </row>
    <row r="96" spans="1:4" ht="12.75" customHeight="1">
      <c r="A96" s="10" t="s">
        <v>75</v>
      </c>
      <c r="B96" s="93" t="s">
        <v>76</v>
      </c>
      <c r="C96" s="93"/>
      <c r="D96" s="10" t="s">
        <v>26</v>
      </c>
    </row>
    <row r="97" spans="1:6">
      <c r="A97" s="8" t="s">
        <v>2</v>
      </c>
      <c r="B97" s="11" t="s">
        <v>77</v>
      </c>
      <c r="C97" s="18">
        <f>TRUNC(((1+1/3)/12)/12,4)</f>
        <v>9.1999999999999998E-3</v>
      </c>
      <c r="D97" s="12">
        <f t="shared" ref="D97:D102" si="1">TRUNC(($D$33+$D$76+$D$88)*C97,2)</f>
        <v>34.53</v>
      </c>
    </row>
    <row r="98" spans="1:6">
      <c r="A98" s="8" t="s">
        <v>4</v>
      </c>
      <c r="B98" s="11" t="s">
        <v>78</v>
      </c>
      <c r="C98" s="18">
        <f>TRUNC(((2/30)/12),4)</f>
        <v>5.4999999999999997E-3</v>
      </c>
      <c r="D98" s="12">
        <f t="shared" si="1"/>
        <v>20.64</v>
      </c>
    </row>
    <row r="99" spans="1:6">
      <c r="A99" s="8" t="s">
        <v>6</v>
      </c>
      <c r="B99" s="11" t="s">
        <v>79</v>
      </c>
      <c r="C99" s="18">
        <f>TRUNC(((5/30)/12)*2%,4)</f>
        <v>2.0000000000000001E-4</v>
      </c>
      <c r="D99" s="12">
        <f t="shared" si="1"/>
        <v>0.75</v>
      </c>
    </row>
    <row r="100" spans="1:6">
      <c r="A100" s="8" t="s">
        <v>8</v>
      </c>
      <c r="B100" s="11" t="s">
        <v>80</v>
      </c>
      <c r="C100" s="18">
        <f>TRUNC(((15/30)/12)*8%,4)</f>
        <v>3.3E-3</v>
      </c>
      <c r="D100" s="12">
        <f t="shared" si="1"/>
        <v>12.38</v>
      </c>
    </row>
    <row r="101" spans="1:6">
      <c r="A101" s="8" t="s">
        <v>31</v>
      </c>
      <c r="B101" s="11" t="s">
        <v>81</v>
      </c>
      <c r="C101" s="18">
        <f>((1+1/3)/12)*3%*(6/12)</f>
        <v>1.6666666666666666E-3</v>
      </c>
      <c r="D101" s="12">
        <f t="shared" si="1"/>
        <v>6.25</v>
      </c>
    </row>
    <row r="102" spans="1:6">
      <c r="A102" s="8" t="s">
        <v>51</v>
      </c>
      <c r="B102" s="11" t="s">
        <v>82</v>
      </c>
      <c r="C102" s="18"/>
      <c r="D102" s="12">
        <f t="shared" si="1"/>
        <v>0</v>
      </c>
    </row>
    <row r="103" spans="1:6" ht="12.75" customHeight="1">
      <c r="A103" s="87" t="s">
        <v>56</v>
      </c>
      <c r="B103" s="87"/>
      <c r="C103" s="87"/>
      <c r="D103" s="17">
        <f>SUM(D97:D102)</f>
        <v>74.55</v>
      </c>
      <c r="E103" s="24"/>
      <c r="F103" s="24"/>
    </row>
    <row r="106" spans="1:6">
      <c r="A106" s="92" t="s">
        <v>83</v>
      </c>
      <c r="B106" s="92"/>
      <c r="C106" s="92"/>
      <c r="D106" s="92"/>
    </row>
    <row r="107" spans="1:6">
      <c r="A107" s="14"/>
    </row>
    <row r="108" spans="1:6" ht="12.75" customHeight="1">
      <c r="A108" s="10" t="s">
        <v>84</v>
      </c>
      <c r="B108" s="93" t="s">
        <v>85</v>
      </c>
      <c r="C108" s="93"/>
      <c r="D108" s="10" t="s">
        <v>26</v>
      </c>
    </row>
    <row r="109" spans="1:6" ht="12.75" customHeight="1">
      <c r="A109" s="8" t="s">
        <v>2</v>
      </c>
      <c r="B109" s="88" t="s">
        <v>86</v>
      </c>
      <c r="C109" s="88"/>
      <c r="D109" s="12">
        <f>((D33+D76+D88)/220)*22*0</f>
        <v>0</v>
      </c>
    </row>
    <row r="110" spans="1:6" ht="12.75" customHeight="1">
      <c r="A110" s="87" t="s">
        <v>35</v>
      </c>
      <c r="B110" s="87"/>
      <c r="C110" s="87"/>
      <c r="D110" s="17">
        <f>SUM(D109)</f>
        <v>0</v>
      </c>
    </row>
    <row r="113" spans="1:4">
      <c r="A113" s="92" t="s">
        <v>87</v>
      </c>
      <c r="B113" s="92"/>
      <c r="C113" s="92"/>
      <c r="D113" s="92"/>
    </row>
    <row r="114" spans="1:4">
      <c r="A114" s="14"/>
    </row>
    <row r="115" spans="1:4" ht="12.75" customHeight="1">
      <c r="A115" s="10">
        <v>4</v>
      </c>
      <c r="B115" s="87" t="s">
        <v>88</v>
      </c>
      <c r="C115" s="87"/>
      <c r="D115" s="10" t="s">
        <v>26</v>
      </c>
    </row>
    <row r="116" spans="1:4" ht="12.75" customHeight="1">
      <c r="A116" s="8" t="s">
        <v>75</v>
      </c>
      <c r="B116" s="88" t="s">
        <v>76</v>
      </c>
      <c r="C116" s="88"/>
      <c r="D116" s="21">
        <f>D103</f>
        <v>74.55</v>
      </c>
    </row>
    <row r="117" spans="1:4" ht="12.75" customHeight="1">
      <c r="A117" s="8" t="s">
        <v>84</v>
      </c>
      <c r="B117" s="88" t="s">
        <v>85</v>
      </c>
      <c r="C117" s="88"/>
      <c r="D117" s="21">
        <f>D110</f>
        <v>0</v>
      </c>
    </row>
    <row r="118" spans="1:4" ht="12.75" customHeight="1">
      <c r="A118" s="87" t="s">
        <v>35</v>
      </c>
      <c r="B118" s="87"/>
      <c r="C118" s="87"/>
      <c r="D118" s="17">
        <f>SUM(D116:D117)</f>
        <v>74.55</v>
      </c>
    </row>
    <row r="121" spans="1:4">
      <c r="A121" s="90" t="s">
        <v>89</v>
      </c>
      <c r="B121" s="90"/>
      <c r="C121" s="90"/>
      <c r="D121" s="90"/>
    </row>
    <row r="123" spans="1:4" ht="12.75" customHeight="1">
      <c r="A123" s="10">
        <v>5</v>
      </c>
      <c r="B123" s="91" t="s">
        <v>90</v>
      </c>
      <c r="C123" s="91"/>
      <c r="D123" s="10" t="s">
        <v>26</v>
      </c>
    </row>
    <row r="124" spans="1:4">
      <c r="A124" s="8" t="s">
        <v>2</v>
      </c>
      <c r="B124" s="11" t="s">
        <v>91</v>
      </c>
      <c r="C124" s="11"/>
      <c r="D124" s="12">
        <v>4.53</v>
      </c>
    </row>
    <row r="125" spans="1:4">
      <c r="A125" s="8" t="s">
        <v>4</v>
      </c>
      <c r="B125" s="11" t="s">
        <v>92</v>
      </c>
      <c r="C125" s="11"/>
      <c r="D125" s="12"/>
    </row>
    <row r="126" spans="1:4">
      <c r="A126" s="8" t="s">
        <v>6</v>
      </c>
      <c r="B126" s="11" t="s">
        <v>93</v>
      </c>
      <c r="C126" s="11"/>
      <c r="D126" s="12"/>
    </row>
    <row r="127" spans="1:4">
      <c r="A127" s="8" t="s">
        <v>8</v>
      </c>
      <c r="B127" s="11" t="s">
        <v>34</v>
      </c>
      <c r="C127" s="11"/>
      <c r="D127" s="12"/>
    </row>
    <row r="128" spans="1:4" ht="12.75" customHeight="1">
      <c r="A128" s="87" t="s">
        <v>56</v>
      </c>
      <c r="B128" s="87"/>
      <c r="C128" s="87"/>
      <c r="D128" s="13">
        <f>SUM(D124:D127)</f>
        <v>4.53</v>
      </c>
    </row>
    <row r="131" spans="1:4">
      <c r="A131" s="90" t="s">
        <v>95</v>
      </c>
      <c r="B131" s="90"/>
      <c r="C131" s="90"/>
      <c r="D131" s="90"/>
    </row>
    <row r="133" spans="1:4">
      <c r="A133" s="10">
        <v>6</v>
      </c>
      <c r="B133" s="26" t="s">
        <v>96</v>
      </c>
      <c r="C133" s="10" t="s">
        <v>45</v>
      </c>
      <c r="D133" s="10" t="s">
        <v>26</v>
      </c>
    </row>
    <row r="134" spans="1:4">
      <c r="A134" s="8" t="s">
        <v>2</v>
      </c>
      <c r="B134" s="11" t="s">
        <v>97</v>
      </c>
      <c r="C134" s="18">
        <v>0.05</v>
      </c>
      <c r="D134" s="21">
        <f>D154*C134</f>
        <v>191.65994000000001</v>
      </c>
    </row>
    <row r="135" spans="1:4">
      <c r="A135" s="8" t="s">
        <v>4</v>
      </c>
      <c r="B135" s="11" t="s">
        <v>98</v>
      </c>
      <c r="C135" s="18">
        <v>0.06</v>
      </c>
      <c r="D135" s="12">
        <f>(D154+D134)*C135</f>
        <v>241.4915244</v>
      </c>
    </row>
    <row r="136" spans="1:4">
      <c r="A136" s="8" t="s">
        <v>6</v>
      </c>
      <c r="B136" s="11" t="s">
        <v>99</v>
      </c>
      <c r="C136" s="15">
        <f>SUM(C137:C142)</f>
        <v>8.6499999999999994E-2</v>
      </c>
      <c r="D136" s="12">
        <f>(D154+D134+D135)*C136/(1-C136)</f>
        <v>403.98390571494252</v>
      </c>
    </row>
    <row r="137" spans="1:4">
      <c r="A137" s="8"/>
      <c r="B137" s="11" t="s">
        <v>100</v>
      </c>
      <c r="C137" s="18"/>
      <c r="D137" s="21">
        <f t="shared" ref="D137:D142" si="2">$D$156*C137</f>
        <v>0</v>
      </c>
    </row>
    <row r="138" spans="1:4">
      <c r="A138" s="8"/>
      <c r="B138" s="11" t="s">
        <v>101</v>
      </c>
      <c r="C138" s="18">
        <v>6.4999999999999997E-3</v>
      </c>
      <c r="D138" s="21">
        <f t="shared" si="2"/>
        <v>30.357144999999999</v>
      </c>
    </row>
    <row r="139" spans="1:4">
      <c r="A139" s="8"/>
      <c r="B139" s="11" t="s">
        <v>102</v>
      </c>
      <c r="C139" s="18">
        <v>0.03</v>
      </c>
      <c r="D139" s="21">
        <f t="shared" si="2"/>
        <v>140.10989999999998</v>
      </c>
    </row>
    <row r="140" spans="1:4">
      <c r="A140" s="8"/>
      <c r="B140" s="11" t="s">
        <v>103</v>
      </c>
      <c r="C140" s="8"/>
      <c r="D140" s="21">
        <f t="shared" si="2"/>
        <v>0</v>
      </c>
    </row>
    <row r="141" spans="1:4">
      <c r="A141" s="8"/>
      <c r="B141" s="11" t="s">
        <v>104</v>
      </c>
      <c r="C141" s="18"/>
      <c r="D141" s="21">
        <f t="shared" si="2"/>
        <v>0</v>
      </c>
    </row>
    <row r="142" spans="1:4">
      <c r="A142" s="8"/>
      <c r="B142" s="11" t="s">
        <v>105</v>
      </c>
      <c r="C142" s="18">
        <v>0.05</v>
      </c>
      <c r="D142" s="21">
        <f t="shared" si="2"/>
        <v>233.51650000000001</v>
      </c>
    </row>
    <row r="143" spans="1:4" ht="13.5" customHeight="1">
      <c r="A143" s="89" t="s">
        <v>56</v>
      </c>
      <c r="B143" s="89"/>
      <c r="C143" s="27">
        <f>(1+C135)*(1+C134)/(1-C136)-1</f>
        <v>0.21839080459770144</v>
      </c>
      <c r="D143" s="17">
        <f>SUM(D134:D136)</f>
        <v>837.13537011494259</v>
      </c>
    </row>
    <row r="146" spans="1:4">
      <c r="A146" s="90" t="s">
        <v>106</v>
      </c>
      <c r="B146" s="90"/>
      <c r="C146" s="90"/>
      <c r="D146" s="90"/>
    </row>
    <row r="148" spans="1:4" ht="12.75" customHeight="1">
      <c r="A148" s="10"/>
      <c r="B148" s="87" t="s">
        <v>107</v>
      </c>
      <c r="C148" s="87"/>
      <c r="D148" s="10" t="s">
        <v>26</v>
      </c>
    </row>
    <row r="149" spans="1:4" ht="12.75" customHeight="1">
      <c r="A149" s="10" t="s">
        <v>2</v>
      </c>
      <c r="B149" s="88" t="s">
        <v>24</v>
      </c>
      <c r="C149" s="88"/>
      <c r="D149" s="28">
        <f>D33</f>
        <v>1719.02</v>
      </c>
    </row>
    <row r="150" spans="1:4" ht="12.75" customHeight="1">
      <c r="A150" s="10" t="s">
        <v>4</v>
      </c>
      <c r="B150" s="88" t="s">
        <v>36</v>
      </c>
      <c r="C150" s="88"/>
      <c r="D150" s="28">
        <f>D76</f>
        <v>1929.2487999999998</v>
      </c>
    </row>
    <row r="151" spans="1:4" ht="12.75" customHeight="1">
      <c r="A151" s="10" t="s">
        <v>6</v>
      </c>
      <c r="B151" s="88" t="s">
        <v>65</v>
      </c>
      <c r="C151" s="88"/>
      <c r="D151" s="28">
        <f>D88</f>
        <v>105.85</v>
      </c>
    </row>
    <row r="152" spans="1:4" ht="12.75" customHeight="1">
      <c r="A152" s="10" t="s">
        <v>8</v>
      </c>
      <c r="B152" s="88" t="s">
        <v>73</v>
      </c>
      <c r="C152" s="88"/>
      <c r="D152" s="28">
        <f>D118</f>
        <v>74.55</v>
      </c>
    </row>
    <row r="153" spans="1:4" ht="12.75" customHeight="1">
      <c r="A153" s="10" t="s">
        <v>31</v>
      </c>
      <c r="B153" s="88" t="s">
        <v>89</v>
      </c>
      <c r="C153" s="88"/>
      <c r="D153" s="28">
        <f>D128</f>
        <v>4.53</v>
      </c>
    </row>
    <row r="154" spans="1:4" ht="12.75" customHeight="1">
      <c r="A154" s="87" t="s">
        <v>108</v>
      </c>
      <c r="B154" s="87"/>
      <c r="C154" s="87"/>
      <c r="D154" s="29">
        <f>SUM(D149:D153)</f>
        <v>3833.1988000000001</v>
      </c>
    </row>
    <row r="155" spans="1:4" ht="12.75" customHeight="1">
      <c r="A155" s="10" t="s">
        <v>51</v>
      </c>
      <c r="B155" s="88" t="s">
        <v>109</v>
      </c>
      <c r="C155" s="88"/>
      <c r="D155" s="30">
        <f>D143</f>
        <v>837.13537011494259</v>
      </c>
    </row>
    <row r="156" spans="1:4" ht="12.75" customHeight="1">
      <c r="A156" s="87" t="s">
        <v>110</v>
      </c>
      <c r="B156" s="87"/>
      <c r="C156" s="87"/>
      <c r="D156" s="29">
        <f>ROUND(SUM(D154:D155),2)</f>
        <v>4670.33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17" zoomScale="115" zoomScaleNormal="115" workbookViewId="0">
      <selection activeCell="A14" sqref="A14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97" t="s">
        <v>0</v>
      </c>
      <c r="B1" s="97"/>
      <c r="C1" s="97"/>
      <c r="D1" s="97"/>
    </row>
    <row r="2" spans="1:4" ht="15.75">
      <c r="A2" s="2"/>
      <c r="B2" s="2"/>
      <c r="C2" s="2"/>
      <c r="D2" s="2"/>
    </row>
    <row r="3" spans="1:4">
      <c r="A3" s="90" t="s">
        <v>1</v>
      </c>
      <c r="B3" s="90"/>
      <c r="C3" s="90"/>
      <c r="D3" s="90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90" t="s">
        <v>10</v>
      </c>
      <c r="B10" s="90"/>
      <c r="C10" s="90"/>
      <c r="D10" s="90"/>
    </row>
    <row r="11" spans="1:4">
      <c r="A11" s="3"/>
      <c r="B11" s="3"/>
      <c r="C11" s="3"/>
      <c r="D11" s="3"/>
    </row>
    <row r="12" spans="1:4" ht="38.25" customHeight="1">
      <c r="A12" s="98" t="s">
        <v>11</v>
      </c>
      <c r="B12" s="98"/>
      <c r="C12" s="8" t="s">
        <v>12</v>
      </c>
      <c r="D12" s="9" t="s">
        <v>13</v>
      </c>
    </row>
    <row r="13" spans="1:4">
      <c r="A13" s="95" t="s">
        <v>115</v>
      </c>
      <c r="B13" s="95"/>
      <c r="C13" s="7" t="s">
        <v>15</v>
      </c>
      <c r="D13" s="7">
        <v>1</v>
      </c>
    </row>
    <row r="15" spans="1:4">
      <c r="A15" s="90" t="s">
        <v>16</v>
      </c>
      <c r="B15" s="90"/>
      <c r="C15" s="90"/>
      <c r="D15" s="90"/>
    </row>
    <row r="16" spans="1:4">
      <c r="A16" s="3"/>
      <c r="B16" s="3"/>
      <c r="C16" s="3"/>
      <c r="D16" s="3"/>
    </row>
    <row r="17" spans="1:4">
      <c r="A17" s="4">
        <v>1</v>
      </c>
      <c r="B17" s="4" t="s">
        <v>17</v>
      </c>
      <c r="C17" s="95" t="s">
        <v>116</v>
      </c>
      <c r="D17" s="95"/>
    </row>
    <row r="18" spans="1:4">
      <c r="A18" s="4">
        <v>2</v>
      </c>
      <c r="B18" s="4" t="s">
        <v>19</v>
      </c>
      <c r="C18" s="95" t="s">
        <v>117</v>
      </c>
      <c r="D18" s="95"/>
    </row>
    <row r="19" spans="1:4">
      <c r="A19" s="4">
        <v>3</v>
      </c>
      <c r="B19" s="4" t="s">
        <v>21</v>
      </c>
      <c r="C19" s="96">
        <v>1100</v>
      </c>
      <c r="D19" s="96"/>
    </row>
    <row r="20" spans="1:4">
      <c r="A20" s="4">
        <v>4</v>
      </c>
      <c r="B20" s="4" t="s">
        <v>22</v>
      </c>
      <c r="C20" s="95"/>
      <c r="D20" s="95"/>
    </row>
    <row r="21" spans="1:4">
      <c r="A21" s="4">
        <v>5</v>
      </c>
      <c r="B21" s="4" t="s">
        <v>23</v>
      </c>
      <c r="C21" s="95"/>
      <c r="D21" s="95"/>
    </row>
    <row r="23" spans="1:4">
      <c r="A23" s="90" t="s">
        <v>24</v>
      </c>
      <c r="B23" s="90"/>
      <c r="C23" s="90"/>
      <c r="D23" s="90"/>
    </row>
    <row r="25" spans="1:4" ht="12.75" customHeight="1">
      <c r="A25" s="10">
        <v>1</v>
      </c>
      <c r="B25" s="87" t="s">
        <v>25</v>
      </c>
      <c r="C25" s="87"/>
      <c r="D25" s="10" t="s">
        <v>26</v>
      </c>
    </row>
    <row r="26" spans="1:4" ht="12.75" customHeight="1">
      <c r="A26" s="8" t="s">
        <v>2</v>
      </c>
      <c r="B26" s="88" t="s">
        <v>27</v>
      </c>
      <c r="C26" s="88"/>
      <c r="D26" s="12">
        <v>2729.67</v>
      </c>
    </row>
    <row r="27" spans="1:4" ht="12.75" customHeight="1">
      <c r="A27" s="8" t="s">
        <v>4</v>
      </c>
      <c r="B27" s="88" t="s">
        <v>28</v>
      </c>
      <c r="C27" s="88"/>
      <c r="D27" s="12"/>
    </row>
    <row r="28" spans="1:4" ht="12.75" customHeight="1">
      <c r="A28" s="8" t="s">
        <v>6</v>
      </c>
      <c r="B28" s="88" t="s">
        <v>29</v>
      </c>
      <c r="C28" s="88"/>
      <c r="D28" s="12"/>
    </row>
    <row r="29" spans="1:4" ht="12.75" customHeight="1">
      <c r="A29" s="8" t="s">
        <v>8</v>
      </c>
      <c r="B29" s="88" t="s">
        <v>30</v>
      </c>
      <c r="C29" s="88"/>
      <c r="D29" s="12"/>
    </row>
    <row r="30" spans="1:4" ht="12.75" customHeight="1">
      <c r="A30" s="8" t="s">
        <v>31</v>
      </c>
      <c r="B30" s="88" t="s">
        <v>32</v>
      </c>
      <c r="C30" s="88"/>
      <c r="D30" s="12"/>
    </row>
    <row r="31" spans="1:4">
      <c r="A31" s="8"/>
      <c r="B31" s="88"/>
      <c r="C31" s="88"/>
      <c r="D31" s="12"/>
    </row>
    <row r="32" spans="1:4" ht="12.75" customHeight="1">
      <c r="A32" s="8" t="s">
        <v>33</v>
      </c>
      <c r="B32" s="88" t="s">
        <v>34</v>
      </c>
      <c r="C32" s="88"/>
      <c r="D32" s="12"/>
    </row>
    <row r="33" spans="1:4" ht="12.75" customHeight="1">
      <c r="A33" s="87" t="s">
        <v>35</v>
      </c>
      <c r="B33" s="87"/>
      <c r="C33" s="87"/>
      <c r="D33" s="13">
        <f>SUM(D26:D32)</f>
        <v>2729.67</v>
      </c>
    </row>
    <row r="36" spans="1:4">
      <c r="A36" s="90" t="s">
        <v>36</v>
      </c>
      <c r="B36" s="90"/>
      <c r="C36" s="90"/>
      <c r="D36" s="90"/>
    </row>
    <row r="37" spans="1:4">
      <c r="A37" s="14"/>
    </row>
    <row r="38" spans="1:4">
      <c r="A38" s="92" t="s">
        <v>37</v>
      </c>
      <c r="B38" s="92"/>
      <c r="C38" s="92"/>
      <c r="D38" s="92"/>
    </row>
    <row r="40" spans="1:4" ht="12.75" customHeight="1">
      <c r="A40" s="10" t="s">
        <v>38</v>
      </c>
      <c r="B40" s="87" t="s">
        <v>39</v>
      </c>
      <c r="C40" s="87"/>
      <c r="D40" s="10" t="s">
        <v>26</v>
      </c>
    </row>
    <row r="41" spans="1:4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227.38</v>
      </c>
    </row>
    <row r="42" spans="1:4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303.26</v>
      </c>
    </row>
    <row r="43" spans="1:4" ht="12.75" customHeight="1">
      <c r="A43" s="87" t="s">
        <v>35</v>
      </c>
      <c r="B43" s="87"/>
      <c r="C43" s="16">
        <f>SUM(C41:C42)</f>
        <v>0.19440000000000002</v>
      </c>
      <c r="D43" s="17">
        <f>SUM(D41:D42)</f>
        <v>530.64</v>
      </c>
    </row>
    <row r="46" spans="1:4" ht="12.75" customHeight="1">
      <c r="A46" s="94" t="s">
        <v>42</v>
      </c>
      <c r="B46" s="94"/>
      <c r="C46" s="94"/>
      <c r="D46" s="94"/>
    </row>
    <row r="48" spans="1:4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652.05999999999995</v>
      </c>
    </row>
    <row r="50" spans="1:4">
      <c r="A50" s="8" t="s">
        <v>4</v>
      </c>
      <c r="B50" s="11" t="s">
        <v>47</v>
      </c>
      <c r="C50" s="18">
        <v>2.5000000000000001E-2</v>
      </c>
      <c r="D50" s="12">
        <f t="shared" si="0"/>
        <v>81.5</v>
      </c>
    </row>
    <row r="51" spans="1:4">
      <c r="A51" s="8" t="s">
        <v>6</v>
      </c>
      <c r="B51" s="11" t="s">
        <v>48</v>
      </c>
      <c r="C51" s="19">
        <v>0.03</v>
      </c>
      <c r="D51" s="12">
        <f t="shared" si="0"/>
        <v>97.8</v>
      </c>
    </row>
    <row r="52" spans="1:4">
      <c r="A52" s="8" t="s">
        <v>8</v>
      </c>
      <c r="B52" s="11" t="s">
        <v>49</v>
      </c>
      <c r="C52" s="18">
        <v>1.4999999999999999E-2</v>
      </c>
      <c r="D52" s="12">
        <f t="shared" si="0"/>
        <v>48.9</v>
      </c>
    </row>
    <row r="53" spans="1:4">
      <c r="A53" s="8" t="s">
        <v>31</v>
      </c>
      <c r="B53" s="11" t="s">
        <v>50</v>
      </c>
      <c r="C53" s="18">
        <v>0.01</v>
      </c>
      <c r="D53" s="12">
        <f t="shared" si="0"/>
        <v>32.6</v>
      </c>
    </row>
    <row r="54" spans="1:4">
      <c r="A54" s="8" t="s">
        <v>51</v>
      </c>
      <c r="B54" s="11" t="s">
        <v>52</v>
      </c>
      <c r="C54" s="18">
        <v>6.0000000000000001E-3</v>
      </c>
      <c r="D54" s="12">
        <f t="shared" si="0"/>
        <v>19.559999999999999</v>
      </c>
    </row>
    <row r="55" spans="1:4">
      <c r="A55" s="8" t="s">
        <v>33</v>
      </c>
      <c r="B55" s="11" t="s">
        <v>53</v>
      </c>
      <c r="C55" s="18">
        <v>2E-3</v>
      </c>
      <c r="D55" s="12">
        <f t="shared" si="0"/>
        <v>6.52</v>
      </c>
    </row>
    <row r="56" spans="1:4">
      <c r="A56" s="8" t="s">
        <v>54</v>
      </c>
      <c r="B56" s="11" t="s">
        <v>55</v>
      </c>
      <c r="C56" s="18">
        <v>0.08</v>
      </c>
      <c r="D56" s="12">
        <f t="shared" si="0"/>
        <v>260.82</v>
      </c>
    </row>
    <row r="57" spans="1:4" ht="12.75" customHeight="1">
      <c r="A57" s="87" t="s">
        <v>56</v>
      </c>
      <c r="B57" s="87"/>
      <c r="C57" s="20">
        <f>SUM(C49:C56)</f>
        <v>0.36800000000000005</v>
      </c>
      <c r="D57" s="17">
        <f>SUM(D49:D56)</f>
        <v>1199.7599999999998</v>
      </c>
    </row>
    <row r="60" spans="1:4">
      <c r="A60" s="92" t="s">
        <v>57</v>
      </c>
      <c r="B60" s="92"/>
      <c r="C60" s="92"/>
      <c r="D60" s="92"/>
    </row>
    <row r="62" spans="1:4" ht="12.75" customHeight="1">
      <c r="A62" s="10" t="s">
        <v>58</v>
      </c>
      <c r="B62" s="93" t="s">
        <v>59</v>
      </c>
      <c r="C62" s="93"/>
      <c r="D62" s="10" t="s">
        <v>26</v>
      </c>
    </row>
    <row r="63" spans="1:4" ht="12.75" customHeight="1">
      <c r="A63" s="8" t="s">
        <v>2</v>
      </c>
      <c r="B63" s="88" t="s">
        <v>60</v>
      </c>
      <c r="C63" s="88"/>
      <c r="D63" s="12">
        <f>IF((23*2*4.4)-(D26*0.06)&lt;0,0,(23*2*4.4)-(D26*0.06))</f>
        <v>38.619799999999998</v>
      </c>
    </row>
    <row r="64" spans="1:4" ht="12.75" customHeight="1">
      <c r="A64" s="8" t="s">
        <v>4</v>
      </c>
      <c r="B64" s="88" t="s">
        <v>61</v>
      </c>
      <c r="C64" s="88"/>
      <c r="D64" s="12">
        <f>23*(29-2.9)</f>
        <v>600.30000000000007</v>
      </c>
    </row>
    <row r="65" spans="1:5" ht="12.75" customHeight="1">
      <c r="A65" s="8" t="s">
        <v>6</v>
      </c>
      <c r="B65" s="88" t="s">
        <v>62</v>
      </c>
      <c r="C65" s="88"/>
      <c r="D65" s="12">
        <f>200*0.7</f>
        <v>140</v>
      </c>
    </row>
    <row r="66" spans="1:5" ht="12.75" customHeight="1">
      <c r="A66" s="8" t="s">
        <v>8</v>
      </c>
      <c r="B66" s="88" t="s">
        <v>34</v>
      </c>
      <c r="C66" s="88"/>
      <c r="D66" s="12"/>
    </row>
    <row r="67" spans="1:5" ht="12.75" customHeight="1">
      <c r="A67" s="87" t="s">
        <v>35</v>
      </c>
      <c r="B67" s="87"/>
      <c r="C67" s="87"/>
      <c r="D67" s="17">
        <f>SUM(D63:D66)</f>
        <v>778.91980000000012</v>
      </c>
    </row>
    <row r="70" spans="1:5">
      <c r="A70" s="92" t="s">
        <v>63</v>
      </c>
      <c r="B70" s="92"/>
      <c r="C70" s="92"/>
      <c r="D70" s="92"/>
    </row>
    <row r="72" spans="1:5" ht="12.75" customHeight="1">
      <c r="A72" s="10">
        <v>2</v>
      </c>
      <c r="B72" s="93" t="s">
        <v>64</v>
      </c>
      <c r="C72" s="93"/>
      <c r="D72" s="10" t="s">
        <v>26</v>
      </c>
    </row>
    <row r="73" spans="1:5" ht="12.75" customHeight="1">
      <c r="A73" s="8" t="s">
        <v>38</v>
      </c>
      <c r="B73" s="88" t="s">
        <v>39</v>
      </c>
      <c r="C73" s="88"/>
      <c r="D73" s="21">
        <f>D43</f>
        <v>530.64</v>
      </c>
    </row>
    <row r="74" spans="1:5" ht="12.75" customHeight="1">
      <c r="A74" s="8" t="s">
        <v>43</v>
      </c>
      <c r="B74" s="88" t="s">
        <v>44</v>
      </c>
      <c r="C74" s="88"/>
      <c r="D74" s="21">
        <f>D57</f>
        <v>1199.7599999999998</v>
      </c>
    </row>
    <row r="75" spans="1:5" ht="12.75" customHeight="1">
      <c r="A75" s="8" t="s">
        <v>58</v>
      </c>
      <c r="B75" s="88" t="s">
        <v>59</v>
      </c>
      <c r="C75" s="88"/>
      <c r="D75" s="21">
        <f>D67</f>
        <v>778.91980000000012</v>
      </c>
    </row>
    <row r="76" spans="1:5" ht="12.75" customHeight="1">
      <c r="A76" s="87" t="s">
        <v>35</v>
      </c>
      <c r="B76" s="87"/>
      <c r="C76" s="87"/>
      <c r="D76" s="17">
        <f>SUM(D73:D75)</f>
        <v>2509.3197999999998</v>
      </c>
    </row>
    <row r="77" spans="1:5">
      <c r="A77" s="22"/>
      <c r="E77" s="23"/>
    </row>
    <row r="79" spans="1:5">
      <c r="A79" s="90" t="s">
        <v>65</v>
      </c>
      <c r="B79" s="90"/>
      <c r="C79" s="90"/>
      <c r="D79" s="90"/>
      <c r="E79" s="24"/>
    </row>
    <row r="80" spans="1:5" ht="12.75" customHeight="1">
      <c r="E80" s="23"/>
    </row>
    <row r="81" spans="1:4" ht="12.75" customHeight="1">
      <c r="A81" s="10">
        <v>3</v>
      </c>
      <c r="B81" s="93" t="s">
        <v>66</v>
      </c>
      <c r="C81" s="93"/>
      <c r="D81" s="10" t="s">
        <v>26</v>
      </c>
    </row>
    <row r="82" spans="1:4">
      <c r="A82" s="8" t="s">
        <v>2</v>
      </c>
      <c r="B82" s="25" t="s">
        <v>67</v>
      </c>
      <c r="C82" s="18">
        <f>TRUNC(((1/12)*5%),4)</f>
        <v>4.1000000000000003E-3</v>
      </c>
      <c r="D82" s="12">
        <f>TRUNC($D$33*C82,2)</f>
        <v>11.19</v>
      </c>
    </row>
    <row r="83" spans="1:4">
      <c r="A83" s="8" t="s">
        <v>4</v>
      </c>
      <c r="B83" s="25" t="s">
        <v>68</v>
      </c>
      <c r="C83" s="18">
        <v>0.08</v>
      </c>
      <c r="D83" s="12">
        <f>TRUNC(D82*C83,2)</f>
        <v>0.89</v>
      </c>
    </row>
    <row r="84" spans="1:4">
      <c r="A84" s="8" t="s">
        <v>6</v>
      </c>
      <c r="B84" s="25" t="s">
        <v>69</v>
      </c>
      <c r="C84" s="18">
        <f>TRUNC(8%*5%*40%,4)</f>
        <v>1.6000000000000001E-3</v>
      </c>
      <c r="D84" s="12">
        <f>TRUNC($D$33*C84,2)</f>
        <v>4.3600000000000003</v>
      </c>
    </row>
    <row r="85" spans="1:4">
      <c r="A85" s="8" t="s">
        <v>8</v>
      </c>
      <c r="B85" s="25" t="s">
        <v>70</v>
      </c>
      <c r="C85" s="18">
        <f>TRUNC(((7/30)/12)*95%,4)</f>
        <v>1.84E-2</v>
      </c>
      <c r="D85" s="12">
        <f>TRUNC($D$33*C85,2)</f>
        <v>50.22</v>
      </c>
    </row>
    <row r="86" spans="1:4" ht="25.5">
      <c r="A86" s="8" t="s">
        <v>31</v>
      </c>
      <c r="B86" s="25" t="s">
        <v>71</v>
      </c>
      <c r="C86" s="18">
        <f>C57</f>
        <v>0.36800000000000005</v>
      </c>
      <c r="D86" s="12">
        <f>TRUNC(D85*C86,2)</f>
        <v>18.48</v>
      </c>
    </row>
    <row r="87" spans="1:4">
      <c r="A87" s="8" t="s">
        <v>51</v>
      </c>
      <c r="B87" s="25" t="s">
        <v>72</v>
      </c>
      <c r="C87" s="18">
        <f>TRUNC(8%*95%*40%,4)</f>
        <v>3.04E-2</v>
      </c>
      <c r="D87" s="12">
        <f>TRUNC($D$33*C87,2)</f>
        <v>82.98</v>
      </c>
    </row>
    <row r="88" spans="1:4" ht="12.75" customHeight="1">
      <c r="A88" s="87" t="s">
        <v>35</v>
      </c>
      <c r="B88" s="87"/>
      <c r="C88" s="87"/>
      <c r="D88" s="17">
        <f>SUM(D82:D87)</f>
        <v>168.12</v>
      </c>
    </row>
    <row r="91" spans="1:4">
      <c r="A91" s="90" t="s">
        <v>73</v>
      </c>
      <c r="B91" s="90"/>
      <c r="C91" s="90"/>
      <c r="D91" s="90"/>
    </row>
    <row r="94" spans="1:4">
      <c r="A94" s="92" t="s">
        <v>74</v>
      </c>
      <c r="B94" s="92"/>
      <c r="C94" s="92"/>
      <c r="D94" s="92"/>
    </row>
    <row r="95" spans="1:4">
      <c r="A95" s="14"/>
    </row>
    <row r="96" spans="1:4" ht="12.75" customHeight="1">
      <c r="A96" s="10" t="s">
        <v>75</v>
      </c>
      <c r="B96" s="93" t="s">
        <v>76</v>
      </c>
      <c r="C96" s="93"/>
      <c r="D96" s="10" t="s">
        <v>26</v>
      </c>
    </row>
    <row r="97" spans="1:6">
      <c r="A97" s="8" t="s">
        <v>2</v>
      </c>
      <c r="B97" s="11" t="s">
        <v>77</v>
      </c>
      <c r="C97" s="18">
        <f>TRUNC(((1+1/3)/12)/12,4)</f>
        <v>9.1999999999999998E-3</v>
      </c>
      <c r="D97" s="12">
        <f t="shared" ref="D97:D102" si="1">TRUNC(($D$33+$D$76+$D$88)*C97,2)</f>
        <v>49.74</v>
      </c>
    </row>
    <row r="98" spans="1:6">
      <c r="A98" s="8" t="s">
        <v>4</v>
      </c>
      <c r="B98" s="11" t="s">
        <v>78</v>
      </c>
      <c r="C98" s="18">
        <f>TRUNC(((2/30)/12),4)</f>
        <v>5.4999999999999997E-3</v>
      </c>
      <c r="D98" s="12">
        <f t="shared" si="1"/>
        <v>29.73</v>
      </c>
    </row>
    <row r="99" spans="1:6">
      <c r="A99" s="8" t="s">
        <v>6</v>
      </c>
      <c r="B99" s="11" t="s">
        <v>79</v>
      </c>
      <c r="C99" s="18">
        <f>TRUNC(((5/30)/12)*2%,4)</f>
        <v>2.0000000000000001E-4</v>
      </c>
      <c r="D99" s="12">
        <f t="shared" si="1"/>
        <v>1.08</v>
      </c>
    </row>
    <row r="100" spans="1:6">
      <c r="A100" s="8" t="s">
        <v>8</v>
      </c>
      <c r="B100" s="11" t="s">
        <v>80</v>
      </c>
      <c r="C100" s="18">
        <f>TRUNC(((15/30)/12)*8%,4)</f>
        <v>3.3E-3</v>
      </c>
      <c r="D100" s="12">
        <f t="shared" si="1"/>
        <v>17.84</v>
      </c>
    </row>
    <row r="101" spans="1:6">
      <c r="A101" s="8" t="s">
        <v>31</v>
      </c>
      <c r="B101" s="11" t="s">
        <v>81</v>
      </c>
      <c r="C101" s="18">
        <f>((1+1/3)/12)*3%*(6/12)</f>
        <v>1.6666666666666666E-3</v>
      </c>
      <c r="D101" s="12">
        <f t="shared" si="1"/>
        <v>9.01</v>
      </c>
    </row>
    <row r="102" spans="1:6">
      <c r="A102" s="8" t="s">
        <v>51</v>
      </c>
      <c r="B102" s="11" t="s">
        <v>82</v>
      </c>
      <c r="C102" s="18"/>
      <c r="D102" s="12">
        <f t="shared" si="1"/>
        <v>0</v>
      </c>
    </row>
    <row r="103" spans="1:6" ht="12.75" customHeight="1">
      <c r="A103" s="87" t="s">
        <v>56</v>
      </c>
      <c r="B103" s="87"/>
      <c r="C103" s="87"/>
      <c r="D103" s="17">
        <f>SUM(D97:D102)</f>
        <v>107.4</v>
      </c>
      <c r="E103" s="24"/>
      <c r="F103" s="24"/>
    </row>
    <row r="106" spans="1:6">
      <c r="A106" s="92" t="s">
        <v>83</v>
      </c>
      <c r="B106" s="92"/>
      <c r="C106" s="92"/>
      <c r="D106" s="92"/>
    </row>
    <row r="107" spans="1:6">
      <c r="A107" s="14"/>
    </row>
    <row r="108" spans="1:6" ht="12.75" customHeight="1">
      <c r="A108" s="10" t="s">
        <v>84</v>
      </c>
      <c r="B108" s="93" t="s">
        <v>85</v>
      </c>
      <c r="C108" s="93"/>
      <c r="D108" s="10" t="s">
        <v>26</v>
      </c>
    </row>
    <row r="109" spans="1:6" ht="12.75" customHeight="1">
      <c r="A109" s="8" t="s">
        <v>2</v>
      </c>
      <c r="B109" s="88" t="s">
        <v>86</v>
      </c>
      <c r="C109" s="88"/>
      <c r="D109" s="12">
        <f>((D33+D76+D88)/220)*22*0</f>
        <v>0</v>
      </c>
    </row>
    <row r="110" spans="1:6" ht="12.75" customHeight="1">
      <c r="A110" s="87" t="s">
        <v>35</v>
      </c>
      <c r="B110" s="87"/>
      <c r="C110" s="87"/>
      <c r="D110" s="17">
        <f>SUM(D109)</f>
        <v>0</v>
      </c>
    </row>
    <row r="113" spans="1:4">
      <c r="A113" s="92" t="s">
        <v>87</v>
      </c>
      <c r="B113" s="92"/>
      <c r="C113" s="92"/>
      <c r="D113" s="92"/>
    </row>
    <row r="114" spans="1:4">
      <c r="A114" s="14"/>
    </row>
    <row r="115" spans="1:4" ht="12.75" customHeight="1">
      <c r="A115" s="10">
        <v>4</v>
      </c>
      <c r="B115" s="87" t="s">
        <v>88</v>
      </c>
      <c r="C115" s="87"/>
      <c r="D115" s="10" t="s">
        <v>26</v>
      </c>
    </row>
    <row r="116" spans="1:4" ht="12.75" customHeight="1">
      <c r="A116" s="8" t="s">
        <v>75</v>
      </c>
      <c r="B116" s="88" t="s">
        <v>76</v>
      </c>
      <c r="C116" s="88"/>
      <c r="D116" s="21">
        <f>D103</f>
        <v>107.4</v>
      </c>
    </row>
    <row r="117" spans="1:4" ht="12.75" customHeight="1">
      <c r="A117" s="8" t="s">
        <v>84</v>
      </c>
      <c r="B117" s="88" t="s">
        <v>85</v>
      </c>
      <c r="C117" s="88"/>
      <c r="D117" s="21">
        <f>D110</f>
        <v>0</v>
      </c>
    </row>
    <row r="118" spans="1:4" ht="12.75" customHeight="1">
      <c r="A118" s="87" t="s">
        <v>35</v>
      </c>
      <c r="B118" s="87"/>
      <c r="C118" s="87"/>
      <c r="D118" s="17">
        <f>SUM(D116:D117)</f>
        <v>107.4</v>
      </c>
    </row>
    <row r="121" spans="1:4">
      <c r="A121" s="90" t="s">
        <v>89</v>
      </c>
      <c r="B121" s="90"/>
      <c r="C121" s="90"/>
      <c r="D121" s="90"/>
    </row>
    <row r="123" spans="1:4" ht="12.75" customHeight="1">
      <c r="A123" s="10">
        <v>5</v>
      </c>
      <c r="B123" s="91" t="s">
        <v>90</v>
      </c>
      <c r="C123" s="91"/>
      <c r="D123" s="10" t="s">
        <v>26</v>
      </c>
    </row>
    <row r="124" spans="1:4">
      <c r="A124" s="8" t="s">
        <v>2</v>
      </c>
      <c r="B124" s="11" t="s">
        <v>91</v>
      </c>
      <c r="C124" s="11"/>
      <c r="D124" s="12">
        <v>4.53</v>
      </c>
    </row>
    <row r="125" spans="1:4">
      <c r="A125" s="8" t="s">
        <v>4</v>
      </c>
      <c r="B125" s="11" t="s">
        <v>92</v>
      </c>
      <c r="C125" s="11"/>
      <c r="D125" s="12"/>
    </row>
    <row r="126" spans="1:4">
      <c r="A126" s="8" t="s">
        <v>6</v>
      </c>
      <c r="B126" s="11" t="s">
        <v>93</v>
      </c>
      <c r="C126" s="11"/>
      <c r="D126" s="12"/>
    </row>
    <row r="127" spans="1:4">
      <c r="A127" s="8" t="s">
        <v>8</v>
      </c>
      <c r="B127" s="11" t="s">
        <v>34</v>
      </c>
      <c r="C127" s="11"/>
      <c r="D127" s="12"/>
    </row>
    <row r="128" spans="1:4" ht="12.75" customHeight="1">
      <c r="A128" s="87" t="s">
        <v>56</v>
      </c>
      <c r="B128" s="87"/>
      <c r="C128" s="87"/>
      <c r="D128" s="13">
        <f>SUM(D124:D127)</f>
        <v>4.53</v>
      </c>
    </row>
    <row r="131" spans="1:4">
      <c r="A131" s="90" t="s">
        <v>95</v>
      </c>
      <c r="B131" s="90"/>
      <c r="C131" s="90"/>
      <c r="D131" s="90"/>
    </row>
    <row r="133" spans="1:4">
      <c r="A133" s="10">
        <v>6</v>
      </c>
      <c r="B133" s="26" t="s">
        <v>96</v>
      </c>
      <c r="C133" s="10" t="s">
        <v>45</v>
      </c>
      <c r="D133" s="10" t="s">
        <v>26</v>
      </c>
    </row>
    <row r="134" spans="1:4">
      <c r="A134" s="8" t="s">
        <v>2</v>
      </c>
      <c r="B134" s="11" t="s">
        <v>97</v>
      </c>
      <c r="C134" s="18">
        <v>0.05</v>
      </c>
      <c r="D134" s="21">
        <f>D154*C134</f>
        <v>275.95198999999997</v>
      </c>
    </row>
    <row r="135" spans="1:4">
      <c r="A135" s="8" t="s">
        <v>4</v>
      </c>
      <c r="B135" s="11" t="s">
        <v>98</v>
      </c>
      <c r="C135" s="18">
        <v>0.06</v>
      </c>
      <c r="D135" s="12">
        <f>(D154+D134)*C135</f>
        <v>347.6995073999999</v>
      </c>
    </row>
    <row r="136" spans="1:4">
      <c r="A136" s="8" t="s">
        <v>6</v>
      </c>
      <c r="B136" s="11" t="s">
        <v>99</v>
      </c>
      <c r="C136" s="15">
        <f>SUM(C137:C142)</f>
        <v>8.6499999999999994E-2</v>
      </c>
      <c r="D136" s="12">
        <f>(D154+D134+D135)*C136/(1-C136)</f>
        <v>581.6560451287354</v>
      </c>
    </row>
    <row r="137" spans="1:4">
      <c r="A137" s="8"/>
      <c r="B137" s="11" t="s">
        <v>100</v>
      </c>
      <c r="C137" s="18"/>
      <c r="D137" s="21">
        <f t="shared" ref="D137:D142" si="2">$D$156*C137</f>
        <v>0</v>
      </c>
    </row>
    <row r="138" spans="1:4">
      <c r="A138" s="8"/>
      <c r="B138" s="11" t="s">
        <v>101</v>
      </c>
      <c r="C138" s="18">
        <v>6.4999999999999997E-3</v>
      </c>
      <c r="D138" s="21">
        <f t="shared" si="2"/>
        <v>43.70825772643677</v>
      </c>
    </row>
    <row r="139" spans="1:4">
      <c r="A139" s="8"/>
      <c r="B139" s="11" t="s">
        <v>102</v>
      </c>
      <c r="C139" s="18">
        <v>0.03</v>
      </c>
      <c r="D139" s="21">
        <f t="shared" si="2"/>
        <v>201.730420275862</v>
      </c>
    </row>
    <row r="140" spans="1:4">
      <c r="A140" s="8"/>
      <c r="B140" s="11" t="s">
        <v>103</v>
      </c>
      <c r="C140" s="8"/>
      <c r="D140" s="21">
        <f t="shared" si="2"/>
        <v>0</v>
      </c>
    </row>
    <row r="141" spans="1:4">
      <c r="A141" s="8"/>
      <c r="B141" s="11" t="s">
        <v>104</v>
      </c>
      <c r="C141" s="18"/>
      <c r="D141" s="21">
        <f t="shared" si="2"/>
        <v>0</v>
      </c>
    </row>
    <row r="142" spans="1:4">
      <c r="A142" s="8"/>
      <c r="B142" s="11" t="s">
        <v>105</v>
      </c>
      <c r="C142" s="18">
        <v>0.05</v>
      </c>
      <c r="D142" s="21">
        <f t="shared" si="2"/>
        <v>336.21736712643673</v>
      </c>
    </row>
    <row r="143" spans="1:4" ht="13.5" customHeight="1">
      <c r="A143" s="89" t="s">
        <v>56</v>
      </c>
      <c r="B143" s="89"/>
      <c r="C143" s="27">
        <f>(1+C135)*(1+C134)/(1-C136)-1</f>
        <v>0.21839080459770144</v>
      </c>
      <c r="D143" s="17">
        <f>SUM(D134:D136)</f>
        <v>1205.3075425287352</v>
      </c>
    </row>
    <row r="146" spans="1:4">
      <c r="A146" s="90" t="s">
        <v>106</v>
      </c>
      <c r="B146" s="90"/>
      <c r="C146" s="90"/>
      <c r="D146" s="90"/>
    </row>
    <row r="148" spans="1:4" ht="12.75" customHeight="1">
      <c r="A148" s="10"/>
      <c r="B148" s="87" t="s">
        <v>107</v>
      </c>
      <c r="C148" s="87"/>
      <c r="D148" s="10" t="s">
        <v>26</v>
      </c>
    </row>
    <row r="149" spans="1:4" ht="12.75" customHeight="1">
      <c r="A149" s="10" t="s">
        <v>2</v>
      </c>
      <c r="B149" s="88" t="s">
        <v>24</v>
      </c>
      <c r="C149" s="88"/>
      <c r="D149" s="28">
        <f>D33</f>
        <v>2729.67</v>
      </c>
    </row>
    <row r="150" spans="1:4" ht="12.75" customHeight="1">
      <c r="A150" s="10" t="s">
        <v>4</v>
      </c>
      <c r="B150" s="88" t="s">
        <v>36</v>
      </c>
      <c r="C150" s="88"/>
      <c r="D150" s="28">
        <f>D76</f>
        <v>2509.3197999999998</v>
      </c>
    </row>
    <row r="151" spans="1:4" ht="12.75" customHeight="1">
      <c r="A151" s="10" t="s">
        <v>6</v>
      </c>
      <c r="B151" s="88" t="s">
        <v>65</v>
      </c>
      <c r="C151" s="88"/>
      <c r="D151" s="28">
        <f>D88</f>
        <v>168.12</v>
      </c>
    </row>
    <row r="152" spans="1:4" ht="12.75" customHeight="1">
      <c r="A152" s="10" t="s">
        <v>8</v>
      </c>
      <c r="B152" s="88" t="s">
        <v>73</v>
      </c>
      <c r="C152" s="88"/>
      <c r="D152" s="28">
        <f>D118</f>
        <v>107.4</v>
      </c>
    </row>
    <row r="153" spans="1:4" ht="12.75" customHeight="1">
      <c r="A153" s="10" t="s">
        <v>31</v>
      </c>
      <c r="B153" s="88" t="s">
        <v>89</v>
      </c>
      <c r="C153" s="88"/>
      <c r="D153" s="28">
        <f>D128</f>
        <v>4.53</v>
      </c>
    </row>
    <row r="154" spans="1:4" ht="12.75" customHeight="1">
      <c r="A154" s="87" t="s">
        <v>108</v>
      </c>
      <c r="B154" s="87"/>
      <c r="C154" s="87"/>
      <c r="D154" s="29">
        <f>SUM(D149:D153)</f>
        <v>5519.0397999999986</v>
      </c>
    </row>
    <row r="155" spans="1:4" ht="12.75" customHeight="1">
      <c r="A155" s="10" t="s">
        <v>51</v>
      </c>
      <c r="B155" s="88" t="s">
        <v>109</v>
      </c>
      <c r="C155" s="88"/>
      <c r="D155" s="30">
        <f>D143</f>
        <v>1205.3075425287352</v>
      </c>
    </row>
    <row r="156" spans="1:4" ht="12.75" customHeight="1">
      <c r="A156" s="87" t="s">
        <v>110</v>
      </c>
      <c r="B156" s="87"/>
      <c r="C156" s="87"/>
      <c r="D156" s="29">
        <f>SUM(D154:D155)</f>
        <v>6724.3473425287339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firstPageNumber="0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39" zoomScale="115" zoomScaleNormal="115" workbookViewId="0">
      <selection activeCell="A14" sqref="A14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97" t="s">
        <v>0</v>
      </c>
      <c r="B1" s="97"/>
      <c r="C1" s="97"/>
      <c r="D1" s="97"/>
    </row>
    <row r="2" spans="1:4" ht="15.75">
      <c r="A2" s="2"/>
      <c r="B2" s="2"/>
      <c r="C2" s="2"/>
      <c r="D2" s="2"/>
    </row>
    <row r="3" spans="1:4">
      <c r="A3" s="90" t="s">
        <v>1</v>
      </c>
      <c r="B3" s="90"/>
      <c r="C3" s="90"/>
      <c r="D3" s="90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90" t="s">
        <v>10</v>
      </c>
      <c r="B10" s="90"/>
      <c r="C10" s="90"/>
      <c r="D10" s="90"/>
    </row>
    <row r="11" spans="1:4">
      <c r="A11" s="3"/>
      <c r="B11" s="3"/>
      <c r="C11" s="3"/>
      <c r="D11" s="3"/>
    </row>
    <row r="12" spans="1:4" ht="38.25" customHeight="1">
      <c r="A12" s="98" t="s">
        <v>11</v>
      </c>
      <c r="B12" s="98"/>
      <c r="C12" s="8" t="s">
        <v>12</v>
      </c>
      <c r="D12" s="9" t="s">
        <v>13</v>
      </c>
    </row>
    <row r="13" spans="1:4">
      <c r="A13" s="95" t="s">
        <v>118</v>
      </c>
      <c r="B13" s="95"/>
      <c r="C13" s="7" t="s">
        <v>15</v>
      </c>
      <c r="D13" s="7">
        <v>1</v>
      </c>
    </row>
    <row r="15" spans="1:4">
      <c r="A15" s="90" t="s">
        <v>16</v>
      </c>
      <c r="B15" s="90"/>
      <c r="C15" s="90"/>
      <c r="D15" s="90"/>
    </row>
    <row r="16" spans="1:4">
      <c r="A16" s="3"/>
      <c r="B16" s="3"/>
      <c r="C16" s="3"/>
      <c r="D16" s="3"/>
    </row>
    <row r="17" spans="1:4">
      <c r="A17" s="4">
        <v>1</v>
      </c>
      <c r="B17" s="4" t="s">
        <v>17</v>
      </c>
      <c r="C17" s="95" t="s">
        <v>116</v>
      </c>
      <c r="D17" s="95"/>
    </row>
    <row r="18" spans="1:4">
      <c r="A18" s="4">
        <v>2</v>
      </c>
      <c r="B18" s="4" t="s">
        <v>19</v>
      </c>
      <c r="C18" s="95" t="s">
        <v>117</v>
      </c>
      <c r="D18" s="95"/>
    </row>
    <row r="19" spans="1:4">
      <c r="A19" s="4">
        <v>3</v>
      </c>
      <c r="B19" s="4" t="s">
        <v>21</v>
      </c>
      <c r="C19" s="96">
        <v>1100</v>
      </c>
      <c r="D19" s="96"/>
    </row>
    <row r="20" spans="1:4">
      <c r="A20" s="4">
        <v>4</v>
      </c>
      <c r="B20" s="4" t="s">
        <v>22</v>
      </c>
      <c r="C20" s="95"/>
      <c r="D20" s="95"/>
    </row>
    <row r="21" spans="1:4">
      <c r="A21" s="4">
        <v>5</v>
      </c>
      <c r="B21" s="4" t="s">
        <v>23</v>
      </c>
      <c r="C21" s="95"/>
      <c r="D21" s="95"/>
    </row>
    <row r="23" spans="1:4">
      <c r="A23" s="90" t="s">
        <v>24</v>
      </c>
      <c r="B23" s="90"/>
      <c r="C23" s="90"/>
      <c r="D23" s="90"/>
    </row>
    <row r="25" spans="1:4" ht="12.75" customHeight="1">
      <c r="A25" s="10">
        <v>1</v>
      </c>
      <c r="B25" s="87" t="s">
        <v>25</v>
      </c>
      <c r="C25" s="87"/>
      <c r="D25" s="10" t="s">
        <v>26</v>
      </c>
    </row>
    <row r="26" spans="1:4" ht="12.75" customHeight="1">
      <c r="A26" s="8" t="s">
        <v>2</v>
      </c>
      <c r="B26" s="88" t="s">
        <v>27</v>
      </c>
      <c r="C26" s="88"/>
      <c r="D26" s="12">
        <v>3480.53</v>
      </c>
    </row>
    <row r="27" spans="1:4" ht="12.75" customHeight="1">
      <c r="A27" s="8" t="s">
        <v>4</v>
      </c>
      <c r="B27" s="88" t="s">
        <v>28</v>
      </c>
      <c r="C27" s="88"/>
      <c r="D27" s="12"/>
    </row>
    <row r="28" spans="1:4" ht="12.75" customHeight="1">
      <c r="A28" s="8" t="s">
        <v>6</v>
      </c>
      <c r="B28" s="88" t="s">
        <v>29</v>
      </c>
      <c r="C28" s="88"/>
      <c r="D28" s="12"/>
    </row>
    <row r="29" spans="1:4" ht="12.75" customHeight="1">
      <c r="A29" s="8" t="s">
        <v>8</v>
      </c>
      <c r="B29" s="88" t="s">
        <v>30</v>
      </c>
      <c r="C29" s="88"/>
      <c r="D29" s="12"/>
    </row>
    <row r="30" spans="1:4" ht="12.75" customHeight="1">
      <c r="A30" s="8" t="s">
        <v>31</v>
      </c>
      <c r="B30" s="88" t="s">
        <v>32</v>
      </c>
      <c r="C30" s="88"/>
      <c r="D30" s="12"/>
    </row>
    <row r="31" spans="1:4">
      <c r="A31" s="8"/>
      <c r="B31" s="88"/>
      <c r="C31" s="88"/>
      <c r="D31" s="12"/>
    </row>
    <row r="32" spans="1:4" ht="12.75" customHeight="1">
      <c r="A32" s="8" t="s">
        <v>33</v>
      </c>
      <c r="B32" s="88" t="s">
        <v>34</v>
      </c>
      <c r="C32" s="88"/>
      <c r="D32" s="12"/>
    </row>
    <row r="33" spans="1:4" ht="12.75" customHeight="1">
      <c r="A33" s="87" t="s">
        <v>35</v>
      </c>
      <c r="B33" s="87"/>
      <c r="C33" s="87"/>
      <c r="D33" s="13">
        <f>SUM(D26:D32)</f>
        <v>3480.53</v>
      </c>
    </row>
    <row r="36" spans="1:4">
      <c r="A36" s="90" t="s">
        <v>36</v>
      </c>
      <c r="B36" s="90"/>
      <c r="C36" s="90"/>
      <c r="D36" s="90"/>
    </row>
    <row r="37" spans="1:4">
      <c r="A37" s="14"/>
    </row>
    <row r="38" spans="1:4">
      <c r="A38" s="92" t="s">
        <v>37</v>
      </c>
      <c r="B38" s="92"/>
      <c r="C38" s="92"/>
      <c r="D38" s="92"/>
    </row>
    <row r="40" spans="1:4" ht="12.75" customHeight="1">
      <c r="A40" s="10" t="s">
        <v>38</v>
      </c>
      <c r="B40" s="87" t="s">
        <v>39</v>
      </c>
      <c r="C40" s="87"/>
      <c r="D40" s="10" t="s">
        <v>26</v>
      </c>
    </row>
    <row r="41" spans="1:4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289.92</v>
      </c>
    </row>
    <row r="42" spans="1:4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386.68</v>
      </c>
    </row>
    <row r="43" spans="1:4" ht="12.75" customHeight="1">
      <c r="A43" s="87" t="s">
        <v>35</v>
      </c>
      <c r="B43" s="87"/>
      <c r="C43" s="16">
        <f>SUM(C41:C42)</f>
        <v>0.19440000000000002</v>
      </c>
      <c r="D43" s="17">
        <f>SUM(D41:D42)</f>
        <v>676.6</v>
      </c>
    </row>
    <row r="46" spans="1:4" ht="12.75" customHeight="1">
      <c r="A46" s="94" t="s">
        <v>42</v>
      </c>
      <c r="B46" s="94"/>
      <c r="C46" s="94"/>
      <c r="D46" s="94"/>
    </row>
    <row r="48" spans="1:4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831.42</v>
      </c>
    </row>
    <row r="50" spans="1:4">
      <c r="A50" s="8" t="s">
        <v>4</v>
      </c>
      <c r="B50" s="11" t="s">
        <v>47</v>
      </c>
      <c r="C50" s="18">
        <v>2.5000000000000001E-2</v>
      </c>
      <c r="D50" s="12">
        <f t="shared" si="0"/>
        <v>103.92</v>
      </c>
    </row>
    <row r="51" spans="1:4">
      <c r="A51" s="8" t="s">
        <v>6</v>
      </c>
      <c r="B51" s="11" t="s">
        <v>48</v>
      </c>
      <c r="C51" s="19">
        <v>0.03</v>
      </c>
      <c r="D51" s="12">
        <f t="shared" si="0"/>
        <v>124.71</v>
      </c>
    </row>
    <row r="52" spans="1:4">
      <c r="A52" s="8" t="s">
        <v>8</v>
      </c>
      <c r="B52" s="11" t="s">
        <v>49</v>
      </c>
      <c r="C52" s="18">
        <v>1.4999999999999999E-2</v>
      </c>
      <c r="D52" s="12">
        <f t="shared" si="0"/>
        <v>62.35</v>
      </c>
    </row>
    <row r="53" spans="1:4">
      <c r="A53" s="8" t="s">
        <v>31</v>
      </c>
      <c r="B53" s="11" t="s">
        <v>50</v>
      </c>
      <c r="C53" s="18">
        <v>0.01</v>
      </c>
      <c r="D53" s="12">
        <f t="shared" si="0"/>
        <v>41.57</v>
      </c>
    </row>
    <row r="54" spans="1:4">
      <c r="A54" s="8" t="s">
        <v>51</v>
      </c>
      <c r="B54" s="11" t="s">
        <v>52</v>
      </c>
      <c r="C54" s="18">
        <v>6.0000000000000001E-3</v>
      </c>
      <c r="D54" s="12">
        <f t="shared" si="0"/>
        <v>24.94</v>
      </c>
    </row>
    <row r="55" spans="1:4">
      <c r="A55" s="8" t="s">
        <v>33</v>
      </c>
      <c r="B55" s="11" t="s">
        <v>53</v>
      </c>
      <c r="C55" s="18">
        <v>2E-3</v>
      </c>
      <c r="D55" s="12">
        <f t="shared" si="0"/>
        <v>8.31</v>
      </c>
    </row>
    <row r="56" spans="1:4">
      <c r="A56" s="8" t="s">
        <v>54</v>
      </c>
      <c r="B56" s="11" t="s">
        <v>55</v>
      </c>
      <c r="C56" s="18">
        <v>0.08</v>
      </c>
      <c r="D56" s="12">
        <f t="shared" si="0"/>
        <v>332.57</v>
      </c>
    </row>
    <row r="57" spans="1:4" ht="12.75" customHeight="1">
      <c r="A57" s="87" t="s">
        <v>56</v>
      </c>
      <c r="B57" s="87"/>
      <c r="C57" s="20">
        <f>SUM(C49:C56)</f>
        <v>0.36800000000000005</v>
      </c>
      <c r="D57" s="17">
        <f>SUM(D49:D56)</f>
        <v>1529.7899999999997</v>
      </c>
    </row>
    <row r="60" spans="1:4">
      <c r="A60" s="92" t="s">
        <v>57</v>
      </c>
      <c r="B60" s="92"/>
      <c r="C60" s="92"/>
      <c r="D60" s="92"/>
    </row>
    <row r="62" spans="1:4" ht="12.75" customHeight="1">
      <c r="A62" s="10" t="s">
        <v>58</v>
      </c>
      <c r="B62" s="93" t="s">
        <v>59</v>
      </c>
      <c r="C62" s="93"/>
      <c r="D62" s="10" t="s">
        <v>26</v>
      </c>
    </row>
    <row r="63" spans="1:4" ht="12.75" customHeight="1">
      <c r="A63" s="8" t="s">
        <v>2</v>
      </c>
      <c r="B63" s="88" t="s">
        <v>60</v>
      </c>
      <c r="C63" s="88"/>
      <c r="D63" s="12">
        <f>IF((23*2*4.4)-(D26*0.06)&lt;0,0,(23*2*4.4)-(D26*0.06))</f>
        <v>0</v>
      </c>
    </row>
    <row r="64" spans="1:4" ht="12.75" customHeight="1">
      <c r="A64" s="8" t="s">
        <v>4</v>
      </c>
      <c r="B64" s="88" t="s">
        <v>61</v>
      </c>
      <c r="C64" s="88"/>
      <c r="D64" s="12">
        <f>23*(29-2.9)</f>
        <v>600.30000000000007</v>
      </c>
    </row>
    <row r="65" spans="1:5" ht="12.75" customHeight="1">
      <c r="A65" s="8" t="s">
        <v>6</v>
      </c>
      <c r="B65" s="88" t="s">
        <v>62</v>
      </c>
      <c r="C65" s="88"/>
      <c r="D65" s="12">
        <f>200*0.7</f>
        <v>140</v>
      </c>
    </row>
    <row r="66" spans="1:5" ht="12.75" customHeight="1">
      <c r="A66" s="8" t="s">
        <v>8</v>
      </c>
      <c r="B66" s="88" t="s">
        <v>34</v>
      </c>
      <c r="C66" s="88"/>
      <c r="D66" s="12"/>
    </row>
    <row r="67" spans="1:5" ht="12.75" customHeight="1">
      <c r="A67" s="87" t="s">
        <v>35</v>
      </c>
      <c r="B67" s="87"/>
      <c r="C67" s="87"/>
      <c r="D67" s="17">
        <f>SUM(D63:D66)</f>
        <v>740.30000000000007</v>
      </c>
    </row>
    <row r="70" spans="1:5">
      <c r="A70" s="92" t="s">
        <v>63</v>
      </c>
      <c r="B70" s="92"/>
      <c r="C70" s="92"/>
      <c r="D70" s="92"/>
    </row>
    <row r="72" spans="1:5" ht="12.75" customHeight="1">
      <c r="A72" s="10">
        <v>2</v>
      </c>
      <c r="B72" s="93" t="s">
        <v>64</v>
      </c>
      <c r="C72" s="93"/>
      <c r="D72" s="10" t="s">
        <v>26</v>
      </c>
    </row>
    <row r="73" spans="1:5" ht="12.75" customHeight="1">
      <c r="A73" s="8" t="s">
        <v>38</v>
      </c>
      <c r="B73" s="88" t="s">
        <v>39</v>
      </c>
      <c r="C73" s="88"/>
      <c r="D73" s="21">
        <f>D43</f>
        <v>676.6</v>
      </c>
    </row>
    <row r="74" spans="1:5" ht="12.75" customHeight="1">
      <c r="A74" s="8" t="s">
        <v>43</v>
      </c>
      <c r="B74" s="88" t="s">
        <v>44</v>
      </c>
      <c r="C74" s="88"/>
      <c r="D74" s="21">
        <f>D57</f>
        <v>1529.7899999999997</v>
      </c>
    </row>
    <row r="75" spans="1:5" ht="12.75" customHeight="1">
      <c r="A75" s="8" t="s">
        <v>58</v>
      </c>
      <c r="B75" s="88" t="s">
        <v>59</v>
      </c>
      <c r="C75" s="88"/>
      <c r="D75" s="21">
        <f>D67</f>
        <v>740.30000000000007</v>
      </c>
    </row>
    <row r="76" spans="1:5" ht="12.75" customHeight="1">
      <c r="A76" s="87" t="s">
        <v>35</v>
      </c>
      <c r="B76" s="87"/>
      <c r="C76" s="87"/>
      <c r="D76" s="17">
        <f>SUM(D73:D75)</f>
        <v>2946.69</v>
      </c>
    </row>
    <row r="77" spans="1:5">
      <c r="A77" s="22"/>
      <c r="E77" s="23"/>
    </row>
    <row r="79" spans="1:5">
      <c r="A79" s="90" t="s">
        <v>65</v>
      </c>
      <c r="B79" s="90"/>
      <c r="C79" s="90"/>
      <c r="D79" s="90"/>
      <c r="E79" s="24"/>
    </row>
    <row r="80" spans="1:5" ht="12.75" customHeight="1">
      <c r="E80" s="23"/>
    </row>
    <row r="81" spans="1:4" ht="12.75" customHeight="1">
      <c r="A81" s="10">
        <v>3</v>
      </c>
      <c r="B81" s="93" t="s">
        <v>66</v>
      </c>
      <c r="C81" s="93"/>
      <c r="D81" s="10" t="s">
        <v>26</v>
      </c>
    </row>
    <row r="82" spans="1:4">
      <c r="A82" s="8" t="s">
        <v>2</v>
      </c>
      <c r="B82" s="25" t="s">
        <v>67</v>
      </c>
      <c r="C82" s="18">
        <f>TRUNC(((1/12)*5%),4)</f>
        <v>4.1000000000000003E-3</v>
      </c>
      <c r="D82" s="12">
        <f>TRUNC($D$33*C82,2)</f>
        <v>14.27</v>
      </c>
    </row>
    <row r="83" spans="1:4">
      <c r="A83" s="8" t="s">
        <v>4</v>
      </c>
      <c r="B83" s="25" t="s">
        <v>68</v>
      </c>
      <c r="C83" s="18">
        <v>0.08</v>
      </c>
      <c r="D83" s="12">
        <f>TRUNC(D82*C83,2)</f>
        <v>1.1399999999999999</v>
      </c>
    </row>
    <row r="84" spans="1:4">
      <c r="A84" s="8" t="s">
        <v>6</v>
      </c>
      <c r="B84" s="25" t="s">
        <v>69</v>
      </c>
      <c r="C84" s="18">
        <f>TRUNC(8%*5%*40%,4)</f>
        <v>1.6000000000000001E-3</v>
      </c>
      <c r="D84" s="12">
        <f>TRUNC($D$33*C84,2)</f>
        <v>5.56</v>
      </c>
    </row>
    <row r="85" spans="1:4">
      <c r="A85" s="8" t="s">
        <v>8</v>
      </c>
      <c r="B85" s="25" t="s">
        <v>70</v>
      </c>
      <c r="C85" s="18">
        <f>TRUNC(((7/30)/12)*95%,4)</f>
        <v>1.84E-2</v>
      </c>
      <c r="D85" s="12">
        <f>TRUNC($D$33*C85,2)</f>
        <v>64.040000000000006</v>
      </c>
    </row>
    <row r="86" spans="1:4" ht="25.5">
      <c r="A86" s="8" t="s">
        <v>31</v>
      </c>
      <c r="B86" s="25" t="s">
        <v>71</v>
      </c>
      <c r="C86" s="18">
        <f>C57</f>
        <v>0.36800000000000005</v>
      </c>
      <c r="D86" s="12">
        <f>TRUNC(D85*C86,2)</f>
        <v>23.56</v>
      </c>
    </row>
    <row r="87" spans="1:4">
      <c r="A87" s="8" t="s">
        <v>51</v>
      </c>
      <c r="B87" s="25" t="s">
        <v>72</v>
      </c>
      <c r="C87" s="18">
        <f>TRUNC(8%*95%*40%,4)</f>
        <v>3.04E-2</v>
      </c>
      <c r="D87" s="12">
        <f>TRUNC($D$33*C87,2)</f>
        <v>105.8</v>
      </c>
    </row>
    <row r="88" spans="1:4" ht="12.75" customHeight="1">
      <c r="A88" s="87" t="s">
        <v>35</v>
      </c>
      <c r="B88" s="87"/>
      <c r="C88" s="87"/>
      <c r="D88" s="17">
        <f>SUM(D82:D87)</f>
        <v>214.37</v>
      </c>
    </row>
    <row r="91" spans="1:4">
      <c r="A91" s="90" t="s">
        <v>73</v>
      </c>
      <c r="B91" s="90"/>
      <c r="C91" s="90"/>
      <c r="D91" s="90"/>
    </row>
    <row r="94" spans="1:4">
      <c r="A94" s="92" t="s">
        <v>74</v>
      </c>
      <c r="B94" s="92"/>
      <c r="C94" s="92"/>
      <c r="D94" s="92"/>
    </row>
    <row r="95" spans="1:4">
      <c r="A95" s="14"/>
    </row>
    <row r="96" spans="1:4" ht="12.75" customHeight="1">
      <c r="A96" s="10" t="s">
        <v>75</v>
      </c>
      <c r="B96" s="93" t="s">
        <v>76</v>
      </c>
      <c r="C96" s="93"/>
      <c r="D96" s="10" t="s">
        <v>26</v>
      </c>
    </row>
    <row r="97" spans="1:6">
      <c r="A97" s="8" t="s">
        <v>2</v>
      </c>
      <c r="B97" s="11" t="s">
        <v>77</v>
      </c>
      <c r="C97" s="18">
        <f>TRUNC(((1+1/3)/12)/12,4)</f>
        <v>9.1999999999999998E-3</v>
      </c>
      <c r="D97" s="12">
        <f t="shared" ref="D97:D102" si="1">TRUNC(($D$33+$D$76+$D$88)*C97,2)</f>
        <v>61.1</v>
      </c>
    </row>
    <row r="98" spans="1:6">
      <c r="A98" s="8" t="s">
        <v>4</v>
      </c>
      <c r="B98" s="11" t="s">
        <v>78</v>
      </c>
      <c r="C98" s="18">
        <f>TRUNC(((2/30)/12),4)</f>
        <v>5.4999999999999997E-3</v>
      </c>
      <c r="D98" s="12">
        <f t="shared" si="1"/>
        <v>36.520000000000003</v>
      </c>
    </row>
    <row r="99" spans="1:6">
      <c r="A99" s="8" t="s">
        <v>6</v>
      </c>
      <c r="B99" s="11" t="s">
        <v>79</v>
      </c>
      <c r="C99" s="18">
        <f>TRUNC(((5/30)/12)*2%,4)</f>
        <v>2.0000000000000001E-4</v>
      </c>
      <c r="D99" s="12">
        <f t="shared" si="1"/>
        <v>1.32</v>
      </c>
    </row>
    <row r="100" spans="1:6">
      <c r="A100" s="8" t="s">
        <v>8</v>
      </c>
      <c r="B100" s="11" t="s">
        <v>80</v>
      </c>
      <c r="C100" s="18">
        <f>TRUNC(((15/30)/12)*8%,4)</f>
        <v>3.3E-3</v>
      </c>
      <c r="D100" s="12">
        <f t="shared" si="1"/>
        <v>21.91</v>
      </c>
    </row>
    <row r="101" spans="1:6">
      <c r="A101" s="8" t="s">
        <v>31</v>
      </c>
      <c r="B101" s="11" t="s">
        <v>81</v>
      </c>
      <c r="C101" s="18">
        <f>((1+1/3)/12)*3%*(6/12)</f>
        <v>1.6666666666666666E-3</v>
      </c>
      <c r="D101" s="12">
        <f t="shared" si="1"/>
        <v>11.06</v>
      </c>
    </row>
    <row r="102" spans="1:6">
      <c r="A102" s="8" t="s">
        <v>51</v>
      </c>
      <c r="B102" s="11" t="s">
        <v>82</v>
      </c>
      <c r="C102" s="18"/>
      <c r="D102" s="12">
        <f t="shared" si="1"/>
        <v>0</v>
      </c>
    </row>
    <row r="103" spans="1:6" ht="12.75" customHeight="1">
      <c r="A103" s="87" t="s">
        <v>56</v>
      </c>
      <c r="B103" s="87"/>
      <c r="C103" s="87"/>
      <c r="D103" s="17">
        <f>SUM(D97:D102)</f>
        <v>131.91</v>
      </c>
      <c r="E103" s="24"/>
      <c r="F103" s="24"/>
    </row>
    <row r="106" spans="1:6">
      <c r="A106" s="92" t="s">
        <v>83</v>
      </c>
      <c r="B106" s="92"/>
      <c r="C106" s="92"/>
      <c r="D106" s="92"/>
    </row>
    <row r="107" spans="1:6">
      <c r="A107" s="14"/>
    </row>
    <row r="108" spans="1:6" ht="12.75" customHeight="1">
      <c r="A108" s="10" t="s">
        <v>84</v>
      </c>
      <c r="B108" s="93" t="s">
        <v>85</v>
      </c>
      <c r="C108" s="93"/>
      <c r="D108" s="10" t="s">
        <v>26</v>
      </c>
    </row>
    <row r="109" spans="1:6" ht="12.75" customHeight="1">
      <c r="A109" s="8" t="s">
        <v>2</v>
      </c>
      <c r="B109" s="88" t="s">
        <v>86</v>
      </c>
      <c r="C109" s="88"/>
      <c r="D109" s="12">
        <f>((D33+D76+D88)/220)*22*0</f>
        <v>0</v>
      </c>
    </row>
    <row r="110" spans="1:6" ht="12.75" customHeight="1">
      <c r="A110" s="87" t="s">
        <v>35</v>
      </c>
      <c r="B110" s="87"/>
      <c r="C110" s="87"/>
      <c r="D110" s="17">
        <f>SUM(D109)</f>
        <v>0</v>
      </c>
    </row>
    <row r="113" spans="1:4">
      <c r="A113" s="92" t="s">
        <v>87</v>
      </c>
      <c r="B113" s="92"/>
      <c r="C113" s="92"/>
      <c r="D113" s="92"/>
    </row>
    <row r="114" spans="1:4">
      <c r="A114" s="14"/>
    </row>
    <row r="115" spans="1:4" ht="12.75" customHeight="1">
      <c r="A115" s="10">
        <v>4</v>
      </c>
      <c r="B115" s="87" t="s">
        <v>88</v>
      </c>
      <c r="C115" s="87"/>
      <c r="D115" s="10" t="s">
        <v>26</v>
      </c>
    </row>
    <row r="116" spans="1:4" ht="12.75" customHeight="1">
      <c r="A116" s="8" t="s">
        <v>75</v>
      </c>
      <c r="B116" s="88" t="s">
        <v>76</v>
      </c>
      <c r="C116" s="88"/>
      <c r="D116" s="21">
        <f>D103</f>
        <v>131.91</v>
      </c>
    </row>
    <row r="117" spans="1:4" ht="12.75" customHeight="1">
      <c r="A117" s="8" t="s">
        <v>84</v>
      </c>
      <c r="B117" s="88" t="s">
        <v>85</v>
      </c>
      <c r="C117" s="88"/>
      <c r="D117" s="21">
        <f>D110</f>
        <v>0</v>
      </c>
    </row>
    <row r="118" spans="1:4" ht="12.75" customHeight="1">
      <c r="A118" s="87" t="s">
        <v>35</v>
      </c>
      <c r="B118" s="87"/>
      <c r="C118" s="87"/>
      <c r="D118" s="17">
        <f>SUM(D116:D117)</f>
        <v>131.91</v>
      </c>
    </row>
    <row r="121" spans="1:4">
      <c r="A121" s="90" t="s">
        <v>89</v>
      </c>
      <c r="B121" s="90"/>
      <c r="C121" s="90"/>
      <c r="D121" s="90"/>
    </row>
    <row r="123" spans="1:4" ht="12.75" customHeight="1">
      <c r="A123" s="10">
        <v>5</v>
      </c>
      <c r="B123" s="91" t="s">
        <v>90</v>
      </c>
      <c r="C123" s="91"/>
      <c r="D123" s="10" t="s">
        <v>26</v>
      </c>
    </row>
    <row r="124" spans="1:4">
      <c r="A124" s="8" t="s">
        <v>2</v>
      </c>
      <c r="B124" s="11" t="s">
        <v>91</v>
      </c>
      <c r="C124" s="11"/>
      <c r="D124" s="12">
        <v>4.53</v>
      </c>
    </row>
    <row r="125" spans="1:4">
      <c r="A125" s="8" t="s">
        <v>4</v>
      </c>
      <c r="B125" s="11" t="s">
        <v>92</v>
      </c>
      <c r="C125" s="11"/>
      <c r="D125" s="12"/>
    </row>
    <row r="126" spans="1:4">
      <c r="A126" s="8" t="s">
        <v>6</v>
      </c>
      <c r="B126" s="11" t="s">
        <v>93</v>
      </c>
      <c r="C126" s="11"/>
      <c r="D126" s="12"/>
    </row>
    <row r="127" spans="1:4">
      <c r="A127" s="8" t="s">
        <v>8</v>
      </c>
      <c r="B127" s="11" t="s">
        <v>34</v>
      </c>
      <c r="C127" s="11"/>
      <c r="D127" s="12"/>
    </row>
    <row r="128" spans="1:4" ht="12.75" customHeight="1">
      <c r="A128" s="87" t="s">
        <v>56</v>
      </c>
      <c r="B128" s="87"/>
      <c r="C128" s="87"/>
      <c r="D128" s="13">
        <f>SUM(D124:D127)</f>
        <v>4.53</v>
      </c>
    </row>
    <row r="131" spans="1:4">
      <c r="A131" s="90" t="s">
        <v>95</v>
      </c>
      <c r="B131" s="90"/>
      <c r="C131" s="90"/>
      <c r="D131" s="90"/>
    </row>
    <row r="133" spans="1:4">
      <c r="A133" s="10">
        <v>6</v>
      </c>
      <c r="B133" s="26" t="s">
        <v>96</v>
      </c>
      <c r="C133" s="10" t="s">
        <v>45</v>
      </c>
      <c r="D133" s="10" t="s">
        <v>26</v>
      </c>
    </row>
    <row r="134" spans="1:4">
      <c r="A134" s="8" t="s">
        <v>2</v>
      </c>
      <c r="B134" s="11" t="s">
        <v>97</v>
      </c>
      <c r="C134" s="18">
        <v>0.05</v>
      </c>
      <c r="D134" s="21">
        <f>D154*C134</f>
        <v>338.9015</v>
      </c>
    </row>
    <row r="135" spans="1:4">
      <c r="A135" s="8" t="s">
        <v>4</v>
      </c>
      <c r="B135" s="11" t="s">
        <v>98</v>
      </c>
      <c r="C135" s="18">
        <v>0.06</v>
      </c>
      <c r="D135" s="12">
        <f>(D154+D134)*C135</f>
        <v>427.01588999999996</v>
      </c>
    </row>
    <row r="136" spans="1:4">
      <c r="A136" s="8" t="s">
        <v>6</v>
      </c>
      <c r="B136" s="11" t="s">
        <v>99</v>
      </c>
      <c r="C136" s="15">
        <f>SUM(C137:C142)</f>
        <v>8.6499999999999994E-2</v>
      </c>
      <c r="D136" s="12">
        <f>(D154+D134+D135)*C136/(1-C136)</f>
        <v>714.34203528735634</v>
      </c>
    </row>
    <row r="137" spans="1:4">
      <c r="A137" s="8"/>
      <c r="B137" s="11" t="s">
        <v>100</v>
      </c>
      <c r="C137" s="18"/>
      <c r="D137" s="21">
        <f t="shared" ref="D137:D142" si="2">$D$156*C137</f>
        <v>0</v>
      </c>
    </row>
    <row r="138" spans="1:4">
      <c r="A138" s="8"/>
      <c r="B138" s="11" t="s">
        <v>101</v>
      </c>
      <c r="C138" s="18">
        <v>6.4999999999999997E-3</v>
      </c>
      <c r="D138" s="21">
        <f t="shared" si="2"/>
        <v>53.67888126436781</v>
      </c>
    </row>
    <row r="139" spans="1:4">
      <c r="A139" s="8"/>
      <c r="B139" s="11" t="s">
        <v>102</v>
      </c>
      <c r="C139" s="18">
        <v>0.03</v>
      </c>
      <c r="D139" s="21">
        <f t="shared" si="2"/>
        <v>247.74868275862067</v>
      </c>
    </row>
    <row r="140" spans="1:4">
      <c r="A140" s="8"/>
      <c r="B140" s="11" t="s">
        <v>103</v>
      </c>
      <c r="C140" s="8"/>
      <c r="D140" s="21">
        <f t="shared" si="2"/>
        <v>0</v>
      </c>
    </row>
    <row r="141" spans="1:4">
      <c r="A141" s="8"/>
      <c r="B141" s="11" t="s">
        <v>104</v>
      </c>
      <c r="C141" s="18"/>
      <c r="D141" s="21">
        <f t="shared" si="2"/>
        <v>0</v>
      </c>
    </row>
    <row r="142" spans="1:4">
      <c r="A142" s="8"/>
      <c r="B142" s="11" t="s">
        <v>105</v>
      </c>
      <c r="C142" s="18">
        <v>0.05</v>
      </c>
      <c r="D142" s="21">
        <f t="shared" si="2"/>
        <v>412.91447126436782</v>
      </c>
    </row>
    <row r="143" spans="1:4" ht="13.5" customHeight="1">
      <c r="A143" s="89" t="s">
        <v>56</v>
      </c>
      <c r="B143" s="89"/>
      <c r="C143" s="27">
        <f>(1+C135)*(1+C134)/(1-C136)-1</f>
        <v>0.21839080459770144</v>
      </c>
      <c r="D143" s="17">
        <f>SUM(D134:D136)</f>
        <v>1480.2594252873564</v>
      </c>
    </row>
    <row r="146" spans="1:4">
      <c r="A146" s="90" t="s">
        <v>106</v>
      </c>
      <c r="B146" s="90"/>
      <c r="C146" s="90"/>
      <c r="D146" s="90"/>
    </row>
    <row r="148" spans="1:4" ht="12.75" customHeight="1">
      <c r="A148" s="10"/>
      <c r="B148" s="87" t="s">
        <v>107</v>
      </c>
      <c r="C148" s="87"/>
      <c r="D148" s="10" t="s">
        <v>26</v>
      </c>
    </row>
    <row r="149" spans="1:4" ht="12.75" customHeight="1">
      <c r="A149" s="10" t="s">
        <v>2</v>
      </c>
      <c r="B149" s="88" t="s">
        <v>24</v>
      </c>
      <c r="C149" s="88"/>
      <c r="D149" s="28">
        <f>D33</f>
        <v>3480.53</v>
      </c>
    </row>
    <row r="150" spans="1:4" ht="12.75" customHeight="1">
      <c r="A150" s="10" t="s">
        <v>4</v>
      </c>
      <c r="B150" s="88" t="s">
        <v>36</v>
      </c>
      <c r="C150" s="88"/>
      <c r="D150" s="28">
        <f>D76</f>
        <v>2946.69</v>
      </c>
    </row>
    <row r="151" spans="1:4" ht="12.75" customHeight="1">
      <c r="A151" s="10" t="s">
        <v>6</v>
      </c>
      <c r="B151" s="88" t="s">
        <v>65</v>
      </c>
      <c r="C151" s="88"/>
      <c r="D151" s="28">
        <f>D88</f>
        <v>214.37</v>
      </c>
    </row>
    <row r="152" spans="1:4" ht="12.75" customHeight="1">
      <c r="A152" s="10" t="s">
        <v>8</v>
      </c>
      <c r="B152" s="88" t="s">
        <v>73</v>
      </c>
      <c r="C152" s="88"/>
      <c r="D152" s="28">
        <f>D118</f>
        <v>131.91</v>
      </c>
    </row>
    <row r="153" spans="1:4" ht="12.75" customHeight="1">
      <c r="A153" s="10" t="s">
        <v>31</v>
      </c>
      <c r="B153" s="88" t="s">
        <v>89</v>
      </c>
      <c r="C153" s="88"/>
      <c r="D153" s="28">
        <f>D128</f>
        <v>4.53</v>
      </c>
    </row>
    <row r="154" spans="1:4" ht="12.75" customHeight="1">
      <c r="A154" s="87" t="s">
        <v>108</v>
      </c>
      <c r="B154" s="87"/>
      <c r="C154" s="87"/>
      <c r="D154" s="29">
        <f>SUM(D149:D153)</f>
        <v>6778.03</v>
      </c>
    </row>
    <row r="155" spans="1:4" ht="12.75" customHeight="1">
      <c r="A155" s="10" t="s">
        <v>51</v>
      </c>
      <c r="B155" s="88" t="s">
        <v>109</v>
      </c>
      <c r="C155" s="88"/>
      <c r="D155" s="30">
        <f>D143</f>
        <v>1480.2594252873564</v>
      </c>
    </row>
    <row r="156" spans="1:4" ht="12.75" customHeight="1">
      <c r="A156" s="87" t="s">
        <v>110</v>
      </c>
      <c r="B156" s="87"/>
      <c r="C156" s="87"/>
      <c r="D156" s="29">
        <f>SUM(D154:D155)</f>
        <v>8258.2894252873557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firstPageNumber="0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18</vt:i4>
      </vt:variant>
      <vt:variant>
        <vt:lpstr>Intervalos nomeados</vt:lpstr>
      </vt:variant>
      <vt:variant>
        <vt:i4>2</vt:i4>
      </vt:variant>
    </vt:vector>
  </HeadingPairs>
  <TitlesOfParts>
    <vt:vector size="20" baseType="lpstr">
      <vt:lpstr>atend_I</vt:lpstr>
      <vt:lpstr>super_I</vt:lpstr>
      <vt:lpstr>Item1</vt:lpstr>
      <vt:lpstr>Item3</vt:lpstr>
      <vt:lpstr>Item4</vt:lpstr>
      <vt:lpstr>Item5</vt:lpstr>
      <vt:lpstr>atend_II</vt:lpstr>
      <vt:lpstr>analista_III</vt:lpstr>
      <vt:lpstr>analista_IV</vt:lpstr>
      <vt:lpstr>analista_V</vt:lpstr>
      <vt:lpstr>analista_VI</vt:lpstr>
      <vt:lpstr>analista_VII</vt:lpstr>
      <vt:lpstr>analista_VIII</vt:lpstr>
      <vt:lpstr>analista_IX</vt:lpstr>
      <vt:lpstr>analista_X</vt:lpstr>
      <vt:lpstr>lider_II_X</vt:lpstr>
      <vt:lpstr>analista_XI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revision>25</cp:revision>
  <cp:lastPrinted>2021-12-14T22:31:31Z</cp:lastPrinted>
  <dcterms:created xsi:type="dcterms:W3CDTF">2019-01-29T18:54:26Z</dcterms:created>
  <dcterms:modified xsi:type="dcterms:W3CDTF">2022-01-07T15:12:10Z</dcterms:modified>
  <dc:language>pt-BR</dc:language>
</cp:coreProperties>
</file>