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55" firstSheet="1" activeTab="19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19" r:id="rId19"/>
    <sheet name="Item20" sheetId="20" r:id="rId20"/>
    <sheet name="Item21" sheetId="21" r:id="rId21"/>
    <sheet name="Item22" sheetId="22" r:id="rId22"/>
    <sheet name="Item23" sheetId="23" r:id="rId23"/>
    <sheet name="Item24" sheetId="24" state="hidden" r:id="rId24"/>
    <sheet name="Item25" sheetId="25" state="hidden" r:id="rId25"/>
    <sheet name="Item26" sheetId="26" state="hidden" r:id="rId26"/>
    <sheet name="Item27" sheetId="27" state="hidden" r:id="rId27"/>
    <sheet name="Item28" sheetId="28" state="hidden" r:id="rId28"/>
    <sheet name="Item29" sheetId="29" state="hidden" r:id="rId29"/>
    <sheet name="Item30" sheetId="30" state="hidden" r:id="rId30"/>
    <sheet name="Item31" sheetId="31" state="hidden" r:id="rId31"/>
    <sheet name="Item32" sheetId="32" state="hidden" r:id="rId32"/>
    <sheet name="Item33" sheetId="33" state="hidden" r:id="rId33"/>
    <sheet name="Item40" sheetId="40" state="hidden" r:id="rId34"/>
    <sheet name="Item41" sheetId="41" state="hidden" r:id="rId35"/>
    <sheet name="Item42" sheetId="42" state="hidden" r:id="rId36"/>
    <sheet name="Item43" sheetId="43" state="hidden" r:id="rId37"/>
    <sheet name="Item44" sheetId="44" state="hidden" r:id="rId38"/>
    <sheet name="Item45" sheetId="45" state="hidden" r:id="rId39"/>
    <sheet name="Item46" sheetId="46" state="hidden" r:id="rId40"/>
    <sheet name="Item47" sheetId="47" state="hidden" r:id="rId41"/>
    <sheet name="Item48" sheetId="48" state="hidden" r:id="rId42"/>
    <sheet name="Item49" sheetId="49" state="hidden" r:id="rId43"/>
    <sheet name="Item50" sheetId="50" state="hidden" r:id="rId44"/>
    <sheet name="TOTAL" sheetId="51" r:id="rId45"/>
    <sheet name="menores" sheetId="52" r:id="rId46"/>
  </sheets>
  <definedNames>
    <definedName name="_xlnm.Print_Area" localSheetId="45">menores!$A$1:$F$49</definedName>
    <definedName name="_xlnm.Print_Area" localSheetId="44">TOTAL!$A$1:$H$33</definedName>
    <definedName name="Print_Area_0" localSheetId="44">TOTAL!$B$8:$G$33</definedName>
    <definedName name="Print_Area_0_0" localSheetId="44">TOTAL!$B$8:$G$33</definedName>
    <definedName name="_xlnm.Print_Titles" localSheetId="44">TOTAL!$8:$9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1" i="51" l="1"/>
  <c r="H22" i="51"/>
  <c r="H10" i="51"/>
  <c r="D48" i="52" l="1"/>
  <c r="C48" i="52"/>
  <c r="B48" i="52"/>
  <c r="D46" i="52"/>
  <c r="C46" i="52"/>
  <c r="B46" i="52"/>
  <c r="D44" i="52"/>
  <c r="C44" i="52"/>
  <c r="B44" i="52"/>
  <c r="D42" i="52"/>
  <c r="C42" i="52"/>
  <c r="B42" i="52"/>
  <c r="D40" i="52"/>
  <c r="C40" i="52"/>
  <c r="B40" i="52"/>
  <c r="D38" i="52"/>
  <c r="C38" i="52"/>
  <c r="B38" i="52"/>
  <c r="D36" i="52"/>
  <c r="C36" i="52"/>
  <c r="B36" i="52"/>
  <c r="D34" i="52"/>
  <c r="C34" i="52"/>
  <c r="B34" i="52"/>
  <c r="D32" i="52"/>
  <c r="C32" i="52"/>
  <c r="B32" i="52"/>
  <c r="D30" i="52"/>
  <c r="C30" i="52"/>
  <c r="B30" i="52"/>
  <c r="D28" i="52"/>
  <c r="C28" i="52"/>
  <c r="B28" i="52"/>
  <c r="D26" i="52"/>
  <c r="C26" i="52"/>
  <c r="B26" i="52"/>
  <c r="D24" i="52"/>
  <c r="C24" i="52"/>
  <c r="B24" i="52"/>
  <c r="D22" i="52"/>
  <c r="C22" i="52"/>
  <c r="B22" i="52"/>
  <c r="D20" i="52"/>
  <c r="C20" i="52"/>
  <c r="B20" i="52"/>
  <c r="D18" i="52"/>
  <c r="C18" i="52"/>
  <c r="B18" i="52"/>
  <c r="D16" i="52"/>
  <c r="C16" i="52"/>
  <c r="B16" i="52"/>
  <c r="D14" i="52"/>
  <c r="C14" i="52"/>
  <c r="B14" i="52"/>
  <c r="D12" i="52"/>
  <c r="C12" i="52"/>
  <c r="B12" i="52"/>
  <c r="D10" i="52"/>
  <c r="C10" i="52"/>
  <c r="B10" i="52"/>
  <c r="D8" i="52"/>
  <c r="C8" i="52"/>
  <c r="B8" i="52"/>
  <c r="D6" i="52"/>
  <c r="C6" i="52"/>
  <c r="B6" i="52"/>
  <c r="D4" i="52"/>
  <c r="C4" i="52"/>
  <c r="B4" i="52"/>
  <c r="E32" i="51"/>
  <c r="D32" i="51"/>
  <c r="C32" i="51"/>
  <c r="E31" i="51"/>
  <c r="D31" i="51"/>
  <c r="C31" i="51"/>
  <c r="E30" i="51"/>
  <c r="D30" i="51"/>
  <c r="C30" i="51"/>
  <c r="E29" i="51"/>
  <c r="D29" i="51"/>
  <c r="C29" i="51"/>
  <c r="E28" i="51"/>
  <c r="D28" i="51"/>
  <c r="C28" i="51"/>
  <c r="E27" i="51"/>
  <c r="D27" i="51"/>
  <c r="C27" i="51"/>
  <c r="E26" i="51"/>
  <c r="D26" i="51"/>
  <c r="C26" i="51"/>
  <c r="E25" i="51"/>
  <c r="D25" i="51"/>
  <c r="C25" i="51"/>
  <c r="E24" i="51"/>
  <c r="D24" i="51"/>
  <c r="C24" i="51"/>
  <c r="E23" i="51"/>
  <c r="D23" i="51"/>
  <c r="C23" i="51"/>
  <c r="E22" i="51"/>
  <c r="D22" i="51"/>
  <c r="C22" i="51"/>
  <c r="E21" i="51"/>
  <c r="D21" i="51"/>
  <c r="C21" i="51"/>
  <c r="E20" i="51"/>
  <c r="D20" i="51"/>
  <c r="C20" i="51"/>
  <c r="E19" i="51"/>
  <c r="D19" i="51"/>
  <c r="C19" i="51"/>
  <c r="E18" i="51"/>
  <c r="D18" i="51"/>
  <c r="C18" i="51"/>
  <c r="E17" i="51"/>
  <c r="D17" i="51"/>
  <c r="C17" i="51"/>
  <c r="E16" i="51"/>
  <c r="D16" i="51"/>
  <c r="C16" i="51"/>
  <c r="E15" i="51"/>
  <c r="D15" i="51"/>
  <c r="C15" i="51"/>
  <c r="E14" i="51"/>
  <c r="D14" i="51"/>
  <c r="C14" i="51"/>
  <c r="E13" i="51"/>
  <c r="D13" i="51"/>
  <c r="C13" i="51"/>
  <c r="E12" i="51"/>
  <c r="D12" i="51"/>
  <c r="C12" i="51"/>
  <c r="E11" i="51"/>
  <c r="D11" i="51"/>
  <c r="C11" i="51"/>
  <c r="E10" i="51"/>
  <c r="D10" i="51"/>
  <c r="C10" i="51"/>
  <c r="H20" i="50"/>
  <c r="G20" i="50" s="1"/>
  <c r="F20" i="50"/>
  <c r="E20" i="50"/>
  <c r="D20" i="50"/>
  <c r="B20" i="50"/>
  <c r="C20" i="50" s="1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I4" i="50"/>
  <c r="I3" i="50"/>
  <c r="F3" i="50"/>
  <c r="H20" i="49"/>
  <c r="G20" i="49" s="1"/>
  <c r="F20" i="49"/>
  <c r="D20" i="49"/>
  <c r="B20" i="49"/>
  <c r="A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I5" i="49"/>
  <c r="I4" i="49"/>
  <c r="I3" i="49"/>
  <c r="F3" i="49"/>
  <c r="H20" i="48"/>
  <c r="G20" i="48" s="1"/>
  <c r="F20" i="48"/>
  <c r="E20" i="48"/>
  <c r="D20" i="48"/>
  <c r="B20" i="48"/>
  <c r="C20" i="48" s="1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I4" i="48"/>
  <c r="I3" i="48"/>
  <c r="F3" i="48"/>
  <c r="H20" i="47"/>
  <c r="G20" i="47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F3" i="47"/>
  <c r="H20" i="46"/>
  <c r="G20" i="46" s="1"/>
  <c r="F20" i="46"/>
  <c r="E20" i="46"/>
  <c r="D20" i="46"/>
  <c r="B20" i="46"/>
  <c r="C20" i="46" s="1"/>
  <c r="I17" i="46"/>
  <c r="I16" i="46"/>
  <c r="I15" i="46"/>
  <c r="I14" i="46"/>
  <c r="I13" i="46"/>
  <c r="I12" i="46"/>
  <c r="I11" i="46"/>
  <c r="I10" i="46"/>
  <c r="I9" i="46"/>
  <c r="I8" i="46"/>
  <c r="I7" i="46"/>
  <c r="I6" i="46"/>
  <c r="I5" i="46"/>
  <c r="I4" i="46"/>
  <c r="I3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/>
  <c r="F3" i="45"/>
  <c r="H20" i="44"/>
  <c r="G20" i="44" s="1"/>
  <c r="F20" i="44"/>
  <c r="E20" i="44"/>
  <c r="D20" i="44"/>
  <c r="B20" i="44"/>
  <c r="C20" i="44" s="1"/>
  <c r="I17" i="44"/>
  <c r="I16" i="44"/>
  <c r="I15" i="44"/>
  <c r="I14" i="44"/>
  <c r="I13" i="44"/>
  <c r="I12" i="44"/>
  <c r="I11" i="44"/>
  <c r="I10" i="44"/>
  <c r="I9" i="44"/>
  <c r="I8" i="44"/>
  <c r="I7" i="44"/>
  <c r="I6" i="44"/>
  <c r="I5" i="44"/>
  <c r="I4" i="44"/>
  <c r="I3" i="44"/>
  <c r="F3" i="44"/>
  <c r="H20" i="43"/>
  <c r="G20" i="43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H20" i="42"/>
  <c r="G20" i="42" s="1"/>
  <c r="F20" i="42"/>
  <c r="E20" i="42"/>
  <c r="D20" i="42"/>
  <c r="B20" i="42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I4" i="42"/>
  <c r="I3" i="42"/>
  <c r="F3" i="42"/>
  <c r="H20" i="41"/>
  <c r="G20" i="41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5" i="41"/>
  <c r="I4" i="41"/>
  <c r="I3" i="41"/>
  <c r="F3" i="41"/>
  <c r="H20" i="40"/>
  <c r="G20" i="40" s="1"/>
  <c r="F20" i="40"/>
  <c r="E20" i="40"/>
  <c r="D20" i="40"/>
  <c r="B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I5" i="40"/>
  <c r="I4" i="40"/>
  <c r="I3" i="40"/>
  <c r="F3" i="40"/>
  <c r="H20" i="33"/>
  <c r="G20" i="33" s="1"/>
  <c r="F20" i="33"/>
  <c r="E20" i="33"/>
  <c r="D20" i="33"/>
  <c r="C20" i="33"/>
  <c r="H22" i="33" s="1"/>
  <c r="H23" i="33" s="1"/>
  <c r="B20" i="33"/>
  <c r="A20" i="33" s="1"/>
  <c r="I17" i="33"/>
  <c r="I16" i="33"/>
  <c r="I15" i="33"/>
  <c r="I14" i="33"/>
  <c r="I13" i="33"/>
  <c r="I12" i="33"/>
  <c r="I11" i="33"/>
  <c r="I10" i="33"/>
  <c r="I9" i="33"/>
  <c r="I8" i="33"/>
  <c r="I7" i="33"/>
  <c r="I5" i="33"/>
  <c r="I4" i="33"/>
  <c r="I3" i="33"/>
  <c r="F3" i="33"/>
  <c r="E3" i="33"/>
  <c r="H20" i="32"/>
  <c r="G20" i="32" s="1"/>
  <c r="F20" i="32"/>
  <c r="D20" i="32"/>
  <c r="B20" i="32"/>
  <c r="A20" i="32" s="1"/>
  <c r="C20" i="32" s="1"/>
  <c r="I17" i="32"/>
  <c r="I16" i="32"/>
  <c r="I15" i="32"/>
  <c r="I14" i="32"/>
  <c r="I13" i="32"/>
  <c r="I12" i="32"/>
  <c r="F3" i="32"/>
  <c r="H20" i="31"/>
  <c r="G20" i="31" s="1"/>
  <c r="F20" i="31"/>
  <c r="D20" i="31"/>
  <c r="B20" i="31"/>
  <c r="A20" i="31" s="1"/>
  <c r="C20" i="31" s="1"/>
  <c r="I17" i="31"/>
  <c r="I16" i="31"/>
  <c r="I15" i="31"/>
  <c r="I14" i="31"/>
  <c r="I13" i="31"/>
  <c r="I12" i="31"/>
  <c r="I11" i="31"/>
  <c r="F3" i="31"/>
  <c r="H20" i="30"/>
  <c r="G20" i="30" s="1"/>
  <c r="F20" i="30"/>
  <c r="D20" i="30"/>
  <c r="B20" i="30"/>
  <c r="A20" i="30" s="1"/>
  <c r="C20" i="30" s="1"/>
  <c r="I17" i="30"/>
  <c r="I16" i="30"/>
  <c r="I15" i="30"/>
  <c r="I14" i="30"/>
  <c r="I13" i="30"/>
  <c r="I12" i="30"/>
  <c r="I11" i="30"/>
  <c r="F3" i="30"/>
  <c r="H20" i="29"/>
  <c r="G20" i="29" s="1"/>
  <c r="F20" i="29"/>
  <c r="D20" i="29"/>
  <c r="B20" i="29"/>
  <c r="A20" i="29" s="1"/>
  <c r="C20" i="29" s="1"/>
  <c r="I17" i="29"/>
  <c r="I16" i="29"/>
  <c r="I15" i="29"/>
  <c r="I14" i="29"/>
  <c r="I13" i="29"/>
  <c r="I12" i="29"/>
  <c r="I11" i="29"/>
  <c r="I10" i="29"/>
  <c r="I9" i="29"/>
  <c r="I8" i="29"/>
  <c r="I7" i="29"/>
  <c r="F3" i="29"/>
  <c r="H20" i="28"/>
  <c r="G20" i="28" s="1"/>
  <c r="F20" i="28"/>
  <c r="D20" i="28"/>
  <c r="B20" i="28"/>
  <c r="A20" i="28" s="1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A20" i="27" s="1"/>
  <c r="C20" i="27" s="1"/>
  <c r="I17" i="27"/>
  <c r="I16" i="27"/>
  <c r="I15" i="27"/>
  <c r="I14" i="27"/>
  <c r="I13" i="27"/>
  <c r="I12" i="27"/>
  <c r="I11" i="27"/>
  <c r="I10" i="27"/>
  <c r="I9" i="27"/>
  <c r="I8" i="27"/>
  <c r="I7" i="27"/>
  <c r="I6" i="27"/>
  <c r="I5" i="27"/>
  <c r="F3" i="27"/>
  <c r="H20" i="26"/>
  <c r="G20" i="26" s="1"/>
  <c r="F20" i="26"/>
  <c r="D20" i="26"/>
  <c r="B20" i="26"/>
  <c r="A20" i="26" s="1"/>
  <c r="C20" i="26" s="1"/>
  <c r="I17" i="26"/>
  <c r="I16" i="26"/>
  <c r="I15" i="26"/>
  <c r="I14" i="26"/>
  <c r="I13" i="26"/>
  <c r="I12" i="26"/>
  <c r="I11" i="26"/>
  <c r="I10" i="26"/>
  <c r="I9" i="26"/>
  <c r="I8" i="26"/>
  <c r="I7" i="26"/>
  <c r="F3" i="26"/>
  <c r="H20" i="25"/>
  <c r="G20" i="25" s="1"/>
  <c r="F20" i="25"/>
  <c r="D20" i="25"/>
  <c r="B20" i="25"/>
  <c r="A20" i="25" s="1"/>
  <c r="C20" i="25" s="1"/>
  <c r="I17" i="25"/>
  <c r="I16" i="25"/>
  <c r="I15" i="25"/>
  <c r="I14" i="25"/>
  <c r="I13" i="25"/>
  <c r="I12" i="25"/>
  <c r="I11" i="25"/>
  <c r="I10" i="25"/>
  <c r="I9" i="25"/>
  <c r="I8" i="25"/>
  <c r="F3" i="25"/>
  <c r="H20" i="24"/>
  <c r="G20" i="24" s="1"/>
  <c r="F20" i="24"/>
  <c r="D20" i="24"/>
  <c r="B20" i="24"/>
  <c r="A20" i="24" s="1"/>
  <c r="C20" i="24" s="1"/>
  <c r="I17" i="24"/>
  <c r="I16" i="24"/>
  <c r="I15" i="24"/>
  <c r="I14" i="24"/>
  <c r="I13" i="24"/>
  <c r="I12" i="24"/>
  <c r="F3" i="24"/>
  <c r="H20" i="23"/>
  <c r="G20" i="23" s="1"/>
  <c r="B47" i="52" s="1"/>
  <c r="F20" i="23"/>
  <c r="D20" i="23"/>
  <c r="B20" i="23"/>
  <c r="A20" i="23" s="1"/>
  <c r="C20" i="23" s="1"/>
  <c r="I17" i="23"/>
  <c r="I16" i="23"/>
  <c r="I15" i="23"/>
  <c r="I14" i="23"/>
  <c r="I13" i="23"/>
  <c r="I12" i="23"/>
  <c r="I11" i="23"/>
  <c r="I10" i="23"/>
  <c r="I9" i="23"/>
  <c r="I8" i="23"/>
  <c r="I7" i="23"/>
  <c r="F3" i="23"/>
  <c r="E48" i="52" s="1"/>
  <c r="F48" i="52" s="1"/>
  <c r="H20" i="22"/>
  <c r="G20" i="22" s="1"/>
  <c r="B45" i="52" s="1"/>
  <c r="F20" i="22"/>
  <c r="D20" i="22"/>
  <c r="B20" i="22"/>
  <c r="I17" i="22"/>
  <c r="I16" i="22"/>
  <c r="I15" i="22"/>
  <c r="I14" i="22"/>
  <c r="I13" i="22"/>
  <c r="I12" i="22"/>
  <c r="I11" i="22"/>
  <c r="I10" i="22"/>
  <c r="I9" i="22"/>
  <c r="I8" i="22"/>
  <c r="I7" i="22"/>
  <c r="I5" i="22"/>
  <c r="F3" i="22"/>
  <c r="E46" i="52" s="1"/>
  <c r="H20" i="21"/>
  <c r="G20" i="21" s="1"/>
  <c r="B43" i="52" s="1"/>
  <c r="F20" i="21"/>
  <c r="D20" i="21"/>
  <c r="B20" i="21"/>
  <c r="A20" i="21" s="1"/>
  <c r="C20" i="21" s="1"/>
  <c r="I17" i="21"/>
  <c r="I16" i="21"/>
  <c r="I15" i="21"/>
  <c r="I14" i="21"/>
  <c r="I13" i="21"/>
  <c r="I12" i="21"/>
  <c r="I11" i="21"/>
  <c r="I10" i="21"/>
  <c r="I9" i="21"/>
  <c r="I8" i="21"/>
  <c r="F3" i="21"/>
  <c r="E44" i="52" s="1"/>
  <c r="F44" i="52" s="1"/>
  <c r="H20" i="20"/>
  <c r="G20" i="20" s="1"/>
  <c r="B41" i="52" s="1"/>
  <c r="F20" i="20"/>
  <c r="D20" i="20"/>
  <c r="B20" i="20"/>
  <c r="A20" i="20" s="1"/>
  <c r="I17" i="20"/>
  <c r="I16" i="20"/>
  <c r="I15" i="20"/>
  <c r="I14" i="20"/>
  <c r="I13" i="20"/>
  <c r="I12" i="20"/>
  <c r="I11" i="20"/>
  <c r="I10" i="20"/>
  <c r="I9" i="20"/>
  <c r="I8" i="20"/>
  <c r="I7" i="20"/>
  <c r="I5" i="20"/>
  <c r="F3" i="20"/>
  <c r="E42" i="52" s="1"/>
  <c r="H20" i="19"/>
  <c r="G20" i="19" s="1"/>
  <c r="B39" i="52" s="1"/>
  <c r="F20" i="19"/>
  <c r="D20" i="19"/>
  <c r="B20" i="19"/>
  <c r="A20" i="19" s="1"/>
  <c r="I17" i="19"/>
  <c r="I16" i="19"/>
  <c r="I15" i="19"/>
  <c r="I14" i="19"/>
  <c r="I13" i="19"/>
  <c r="I12" i="19"/>
  <c r="I11" i="19"/>
  <c r="I8" i="19"/>
  <c r="I5" i="19"/>
  <c r="F3" i="19"/>
  <c r="E40" i="52" s="1"/>
  <c r="F40" i="52" s="1"/>
  <c r="H20" i="18"/>
  <c r="G20" i="18" s="1"/>
  <c r="B37" i="52" s="1"/>
  <c r="F20" i="18"/>
  <c r="D20" i="18"/>
  <c r="B20" i="18"/>
  <c r="I17" i="18"/>
  <c r="I16" i="18"/>
  <c r="I15" i="18"/>
  <c r="I14" i="18"/>
  <c r="I13" i="18"/>
  <c r="I12" i="18"/>
  <c r="I11" i="18"/>
  <c r="I10" i="18"/>
  <c r="I9" i="18"/>
  <c r="I8" i="18"/>
  <c r="I7" i="18"/>
  <c r="F3" i="18"/>
  <c r="E38" i="52" s="1"/>
  <c r="H20" i="17"/>
  <c r="G20" i="17" s="1"/>
  <c r="B35" i="52" s="1"/>
  <c r="F20" i="17"/>
  <c r="D20" i="17"/>
  <c r="B20" i="17"/>
  <c r="A20" i="17" s="1"/>
  <c r="I17" i="17"/>
  <c r="I16" i="17"/>
  <c r="I15" i="17"/>
  <c r="I14" i="17"/>
  <c r="I13" i="17"/>
  <c r="I12" i="17"/>
  <c r="I11" i="17"/>
  <c r="I10" i="17"/>
  <c r="I8" i="17"/>
  <c r="F3" i="17"/>
  <c r="E36" i="52" s="1"/>
  <c r="F36" i="52" s="1"/>
  <c r="H20" i="16"/>
  <c r="G20" i="16" s="1"/>
  <c r="B33" i="52" s="1"/>
  <c r="F20" i="16"/>
  <c r="D20" i="16"/>
  <c r="B20" i="16"/>
  <c r="A20" i="16"/>
  <c r="I17" i="16"/>
  <c r="I16" i="16"/>
  <c r="I15" i="16"/>
  <c r="I14" i="16"/>
  <c r="I13" i="16"/>
  <c r="I12" i="16"/>
  <c r="I11" i="16"/>
  <c r="I10" i="16"/>
  <c r="I9" i="16"/>
  <c r="I8" i="16"/>
  <c r="I7" i="16"/>
  <c r="I5" i="16"/>
  <c r="F3" i="16"/>
  <c r="E34" i="52" s="1"/>
  <c r="H20" i="15"/>
  <c r="G20" i="15" s="1"/>
  <c r="B31" i="52" s="1"/>
  <c r="F20" i="15"/>
  <c r="D20" i="15"/>
  <c r="B20" i="15"/>
  <c r="A20" i="15" s="1"/>
  <c r="I17" i="15"/>
  <c r="I16" i="15"/>
  <c r="I15" i="15"/>
  <c r="I14" i="15"/>
  <c r="I13" i="15"/>
  <c r="I12" i="15"/>
  <c r="I11" i="15"/>
  <c r="I10" i="15"/>
  <c r="I9" i="15"/>
  <c r="I8" i="15"/>
  <c r="I7" i="15"/>
  <c r="I5" i="15"/>
  <c r="F3" i="15"/>
  <c r="E32" i="52" s="1"/>
  <c r="F32" i="52" s="1"/>
  <c r="H20" i="14"/>
  <c r="G20" i="14" s="1"/>
  <c r="B29" i="52" s="1"/>
  <c r="F20" i="14"/>
  <c r="D20" i="14"/>
  <c r="B20" i="14"/>
  <c r="I17" i="14"/>
  <c r="I16" i="14"/>
  <c r="I15" i="14"/>
  <c r="I14" i="14"/>
  <c r="I13" i="14"/>
  <c r="I12" i="14"/>
  <c r="I11" i="14"/>
  <c r="I10" i="14"/>
  <c r="I9" i="14"/>
  <c r="I8" i="14"/>
  <c r="I7" i="14"/>
  <c r="I6" i="14"/>
  <c r="I5" i="14"/>
  <c r="F3" i="14"/>
  <c r="E30" i="52" s="1"/>
  <c r="H20" i="13"/>
  <c r="G20" i="13" s="1"/>
  <c r="B27" i="52" s="1"/>
  <c r="F20" i="13"/>
  <c r="D20" i="13"/>
  <c r="B20" i="13"/>
  <c r="I17" i="13"/>
  <c r="I16" i="13"/>
  <c r="I15" i="13"/>
  <c r="I14" i="13"/>
  <c r="I13" i="13"/>
  <c r="I12" i="13"/>
  <c r="I11" i="13"/>
  <c r="I10" i="13"/>
  <c r="I9" i="13"/>
  <c r="I8" i="13"/>
  <c r="I7" i="13"/>
  <c r="I5" i="13"/>
  <c r="F3" i="13"/>
  <c r="E28" i="52" s="1"/>
  <c r="H20" i="12"/>
  <c r="G20" i="12" s="1"/>
  <c r="B25" i="52" s="1"/>
  <c r="F20" i="12"/>
  <c r="D20" i="12"/>
  <c r="B20" i="12"/>
  <c r="A20" i="12"/>
  <c r="I17" i="12"/>
  <c r="I16" i="12"/>
  <c r="I15" i="12"/>
  <c r="I14" i="12"/>
  <c r="I13" i="12"/>
  <c r="I12" i="12"/>
  <c r="I11" i="12"/>
  <c r="I10" i="12"/>
  <c r="I9" i="12"/>
  <c r="I8" i="12"/>
  <c r="I7" i="12"/>
  <c r="I5" i="12"/>
  <c r="F3" i="12"/>
  <c r="E26" i="52" s="1"/>
  <c r="H20" i="11"/>
  <c r="G20" i="11" s="1"/>
  <c r="B23" i="52" s="1"/>
  <c r="F20" i="11"/>
  <c r="D20" i="11"/>
  <c r="B20" i="11"/>
  <c r="A20" i="11" s="1"/>
  <c r="C20" i="11" s="1"/>
  <c r="E20" i="11" s="1"/>
  <c r="I17" i="11"/>
  <c r="I16" i="11"/>
  <c r="I15" i="11"/>
  <c r="I14" i="11"/>
  <c r="I13" i="11"/>
  <c r="I12" i="11"/>
  <c r="I11" i="11"/>
  <c r="I10" i="11"/>
  <c r="I9" i="11"/>
  <c r="I8" i="11"/>
  <c r="I5" i="11"/>
  <c r="F3" i="11"/>
  <c r="E24" i="52" s="1"/>
  <c r="F24" i="52" s="1"/>
  <c r="H20" i="10"/>
  <c r="G20" i="10" s="1"/>
  <c r="B21" i="52" s="1"/>
  <c r="F20" i="10"/>
  <c r="D20" i="10"/>
  <c r="B20" i="10"/>
  <c r="A20" i="10"/>
  <c r="I17" i="10"/>
  <c r="I16" i="10"/>
  <c r="I15" i="10"/>
  <c r="I14" i="10"/>
  <c r="I13" i="10"/>
  <c r="I12" i="10"/>
  <c r="I11" i="10"/>
  <c r="I8" i="10"/>
  <c r="I5" i="10"/>
  <c r="F3" i="10"/>
  <c r="E22" i="52" s="1"/>
  <c r="H20" i="9"/>
  <c r="G20" i="9" s="1"/>
  <c r="B19" i="52" s="1"/>
  <c r="F20" i="9"/>
  <c r="D20" i="9"/>
  <c r="B20" i="9"/>
  <c r="I17" i="9"/>
  <c r="I16" i="9"/>
  <c r="I15" i="9"/>
  <c r="I14" i="9"/>
  <c r="I13" i="9"/>
  <c r="I12" i="9"/>
  <c r="I11" i="9"/>
  <c r="I10" i="9"/>
  <c r="I9" i="9"/>
  <c r="I8" i="9"/>
  <c r="I7" i="9"/>
  <c r="I6" i="9"/>
  <c r="I5" i="9"/>
  <c r="F3" i="9"/>
  <c r="E20" i="52" s="1"/>
  <c r="F20" i="52" s="1"/>
  <c r="H20" i="8"/>
  <c r="G20" i="8" s="1"/>
  <c r="B17" i="52" s="1"/>
  <c r="F20" i="8"/>
  <c r="D20" i="8"/>
  <c r="B20" i="8"/>
  <c r="A20" i="8" s="1"/>
  <c r="C20" i="8" s="1"/>
  <c r="I17" i="8"/>
  <c r="I16" i="8"/>
  <c r="I15" i="8"/>
  <c r="I14" i="8"/>
  <c r="I13" i="8"/>
  <c r="I12" i="8"/>
  <c r="I11" i="8"/>
  <c r="I10" i="8"/>
  <c r="I9" i="8"/>
  <c r="I8" i="8"/>
  <c r="I7" i="8"/>
  <c r="I6" i="8"/>
  <c r="F3" i="8"/>
  <c r="E18" i="52" s="1"/>
  <c r="H20" i="7"/>
  <c r="G20" i="7" s="1"/>
  <c r="B15" i="52" s="1"/>
  <c r="F20" i="7"/>
  <c r="D20" i="7"/>
  <c r="B20" i="7"/>
  <c r="A20" i="7"/>
  <c r="I17" i="7"/>
  <c r="I16" i="7"/>
  <c r="I15" i="7"/>
  <c r="I14" i="7"/>
  <c r="I13" i="7"/>
  <c r="I12" i="7"/>
  <c r="I11" i="7"/>
  <c r="I10" i="7"/>
  <c r="I9" i="7"/>
  <c r="I8" i="7"/>
  <c r="I7" i="7"/>
  <c r="I5" i="7"/>
  <c r="F3" i="7"/>
  <c r="E16" i="52" s="1"/>
  <c r="F16" i="52" s="1"/>
  <c r="H20" i="6"/>
  <c r="G20" i="6" s="1"/>
  <c r="B13" i="52" s="1"/>
  <c r="F20" i="6"/>
  <c r="D20" i="6"/>
  <c r="B20" i="6"/>
  <c r="A20" i="6" s="1"/>
  <c r="C20" i="6" s="1"/>
  <c r="I17" i="6"/>
  <c r="I16" i="6"/>
  <c r="I15" i="6"/>
  <c r="I14" i="6"/>
  <c r="I13" i="6"/>
  <c r="I12" i="6"/>
  <c r="I11" i="6"/>
  <c r="I10" i="6"/>
  <c r="I9" i="6"/>
  <c r="F3" i="6"/>
  <c r="E14" i="52" s="1"/>
  <c r="H20" i="5"/>
  <c r="G20" i="5" s="1"/>
  <c r="B11" i="52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F3" i="5"/>
  <c r="E12" i="52" s="1"/>
  <c r="F12" i="52" s="1"/>
  <c r="H20" i="4"/>
  <c r="G20" i="4" s="1"/>
  <c r="B9" i="52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I8" i="4"/>
  <c r="I7" i="4"/>
  <c r="F3" i="4"/>
  <c r="E10" i="52" s="1"/>
  <c r="F10" i="52" s="1"/>
  <c r="H20" i="3"/>
  <c r="G20" i="3" s="1"/>
  <c r="B7" i="52" s="1"/>
  <c r="F20" i="3"/>
  <c r="D20" i="3"/>
  <c r="B20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F3" i="3"/>
  <c r="E8" i="52" s="1"/>
  <c r="F8" i="52" s="1"/>
  <c r="H20" i="2"/>
  <c r="G20" i="2" s="1"/>
  <c r="B5" i="52" s="1"/>
  <c r="F20" i="2"/>
  <c r="D20" i="2"/>
  <c r="B20" i="2"/>
  <c r="A20" i="2" s="1"/>
  <c r="I17" i="2"/>
  <c r="I16" i="2"/>
  <c r="I15" i="2"/>
  <c r="I14" i="2"/>
  <c r="I13" i="2"/>
  <c r="I12" i="2"/>
  <c r="I11" i="2"/>
  <c r="I10" i="2"/>
  <c r="I9" i="2"/>
  <c r="I8" i="2"/>
  <c r="I7" i="2"/>
  <c r="F3" i="2"/>
  <c r="E6" i="52" s="1"/>
  <c r="H20" i="1"/>
  <c r="G20" i="1" s="1"/>
  <c r="B3" i="52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F3" i="1"/>
  <c r="E4" i="52" s="1"/>
  <c r="C20" i="12" l="1"/>
  <c r="I4" i="12" s="1"/>
  <c r="C20" i="20"/>
  <c r="I3" i="20" s="1"/>
  <c r="C20" i="19"/>
  <c r="I3" i="19" s="1"/>
  <c r="C20" i="17"/>
  <c r="C20" i="16"/>
  <c r="I3" i="16" s="1"/>
  <c r="E20" i="16" s="1"/>
  <c r="C20" i="15"/>
  <c r="I4" i="15" s="1"/>
  <c r="C20" i="10"/>
  <c r="I7" i="10" s="1"/>
  <c r="C20" i="7"/>
  <c r="I3" i="7" s="1"/>
  <c r="E20" i="7" s="1"/>
  <c r="C20" i="4"/>
  <c r="I5" i="4" s="1"/>
  <c r="C20" i="3"/>
  <c r="I4" i="3" s="1"/>
  <c r="C20" i="2"/>
  <c r="I4" i="2" s="1"/>
  <c r="A20" i="1"/>
  <c r="C20" i="1" s="1"/>
  <c r="A20" i="9"/>
  <c r="E20" i="3"/>
  <c r="E3" i="3" s="1"/>
  <c r="F12" i="51" s="1"/>
  <c r="G12" i="51" s="1"/>
  <c r="A20" i="3"/>
  <c r="F28" i="52"/>
  <c r="F14" i="52"/>
  <c r="F4" i="52"/>
  <c r="F34" i="52"/>
  <c r="F6" i="52"/>
  <c r="F18" i="52"/>
  <c r="F30" i="52"/>
  <c r="F38" i="52"/>
  <c r="F46" i="52"/>
  <c r="A20" i="5"/>
  <c r="C20" i="5" s="1"/>
  <c r="A20" i="13"/>
  <c r="C20" i="9"/>
  <c r="A20" i="14"/>
  <c r="A20" i="18"/>
  <c r="A20" i="22"/>
  <c r="C20" i="22" s="1"/>
  <c r="I4" i="22" s="1"/>
  <c r="C20" i="14"/>
  <c r="E3" i="14" s="1"/>
  <c r="F23" i="51" s="1"/>
  <c r="G23" i="51" s="1"/>
  <c r="F22" i="52"/>
  <c r="F26" i="52"/>
  <c r="F42" i="52"/>
  <c r="I6" i="4"/>
  <c r="I7" i="30"/>
  <c r="I6" i="30"/>
  <c r="E20" i="30" s="1"/>
  <c r="I5" i="30"/>
  <c r="I10" i="30"/>
  <c r="I4" i="30"/>
  <c r="I9" i="30"/>
  <c r="I3" i="30"/>
  <c r="I8" i="30"/>
  <c r="I6" i="2"/>
  <c r="I5" i="2"/>
  <c r="I3" i="2"/>
  <c r="E20" i="2" s="1"/>
  <c r="I7" i="24"/>
  <c r="E3" i="24"/>
  <c r="I6" i="24"/>
  <c r="I11" i="24"/>
  <c r="I5" i="24"/>
  <c r="I10" i="24"/>
  <c r="I4" i="24"/>
  <c r="I9" i="24"/>
  <c r="I3" i="24"/>
  <c r="H22" i="24"/>
  <c r="H23" i="24" s="1"/>
  <c r="I8" i="24"/>
  <c r="E3" i="28"/>
  <c r="I5" i="28"/>
  <c r="I4" i="28"/>
  <c r="I3" i="28"/>
  <c r="H22" i="28"/>
  <c r="H23" i="28" s="1"/>
  <c r="I4" i="21"/>
  <c r="I3" i="21"/>
  <c r="E20" i="21" s="1"/>
  <c r="E3" i="21" s="1"/>
  <c r="F30" i="51" s="1"/>
  <c r="G30" i="51" s="1"/>
  <c r="I7" i="21"/>
  <c r="I6" i="21"/>
  <c r="I5" i="21"/>
  <c r="I4" i="23"/>
  <c r="I3" i="23"/>
  <c r="I6" i="23"/>
  <c r="I5" i="23"/>
  <c r="E20" i="23" s="1"/>
  <c r="I6" i="26"/>
  <c r="I5" i="26"/>
  <c r="I4" i="26"/>
  <c r="I3" i="26"/>
  <c r="H22" i="26"/>
  <c r="H23" i="26" s="1"/>
  <c r="I4" i="27"/>
  <c r="I3" i="27"/>
  <c r="E20" i="27" s="1"/>
  <c r="I7" i="6"/>
  <c r="I6" i="6"/>
  <c r="I5" i="6"/>
  <c r="I4" i="6"/>
  <c r="I3" i="6"/>
  <c r="I8" i="6"/>
  <c r="I5" i="8"/>
  <c r="I4" i="8"/>
  <c r="I3" i="8"/>
  <c r="E20" i="8" s="1"/>
  <c r="E3" i="8" s="1"/>
  <c r="F17" i="51" s="1"/>
  <c r="G17" i="51" s="1"/>
  <c r="I4" i="25"/>
  <c r="I3" i="25"/>
  <c r="E20" i="25" s="1"/>
  <c r="I7" i="25"/>
  <c r="I6" i="25"/>
  <c r="I5" i="25"/>
  <c r="I7" i="32"/>
  <c r="I6" i="32"/>
  <c r="I11" i="32"/>
  <c r="I5" i="32"/>
  <c r="I10" i="32"/>
  <c r="I4" i="32"/>
  <c r="I9" i="32"/>
  <c r="I3" i="32"/>
  <c r="I8" i="32"/>
  <c r="I4" i="29"/>
  <c r="I3" i="29"/>
  <c r="E20" i="29" s="1"/>
  <c r="I6" i="29"/>
  <c r="I5" i="29"/>
  <c r="I10" i="31"/>
  <c r="I4" i="31"/>
  <c r="I9" i="31"/>
  <c r="I3" i="31"/>
  <c r="I8" i="31"/>
  <c r="I7" i="31"/>
  <c r="I6" i="31"/>
  <c r="E20" i="31" s="1"/>
  <c r="I5" i="31"/>
  <c r="H22" i="14"/>
  <c r="H23" i="14" s="1"/>
  <c r="A20" i="41"/>
  <c r="E20" i="41"/>
  <c r="C20" i="41"/>
  <c r="A20" i="43"/>
  <c r="E20" i="43"/>
  <c r="C20" i="43"/>
  <c r="A20" i="45"/>
  <c r="E20" i="45"/>
  <c r="C20" i="45"/>
  <c r="I6" i="7"/>
  <c r="I9" i="10"/>
  <c r="I6" i="11"/>
  <c r="I3" i="12"/>
  <c r="I6" i="13"/>
  <c r="I3" i="14"/>
  <c r="I6" i="15"/>
  <c r="I6" i="17"/>
  <c r="I6" i="19"/>
  <c r="I6" i="33"/>
  <c r="H22" i="50"/>
  <c r="H23" i="50" s="1"/>
  <c r="E3" i="50"/>
  <c r="E20" i="6"/>
  <c r="H22" i="6" s="1"/>
  <c r="H23" i="6" s="1"/>
  <c r="I4" i="10"/>
  <c r="I10" i="10"/>
  <c r="E3" i="11"/>
  <c r="F20" i="51" s="1"/>
  <c r="G20" i="51" s="1"/>
  <c r="I7" i="11"/>
  <c r="I4" i="14"/>
  <c r="I7" i="17"/>
  <c r="I7" i="19"/>
  <c r="E20" i="24"/>
  <c r="E20" i="26"/>
  <c r="E3" i="26" s="1"/>
  <c r="E20" i="28"/>
  <c r="E20" i="32"/>
  <c r="E3" i="32" s="1"/>
  <c r="H22" i="40"/>
  <c r="H23" i="40" s="1"/>
  <c r="E3" i="40"/>
  <c r="H22" i="42"/>
  <c r="H23" i="42" s="1"/>
  <c r="E3" i="42"/>
  <c r="H22" i="44"/>
  <c r="H23" i="44" s="1"/>
  <c r="E3" i="44"/>
  <c r="H22" i="46"/>
  <c r="H23" i="46" s="1"/>
  <c r="E3" i="46"/>
  <c r="H22" i="48"/>
  <c r="H23" i="48" s="1"/>
  <c r="E3" i="48"/>
  <c r="H22" i="11"/>
  <c r="H23" i="11" s="1"/>
  <c r="I6" i="10"/>
  <c r="I3" i="11"/>
  <c r="I6" i="12"/>
  <c r="I6" i="16"/>
  <c r="I9" i="17"/>
  <c r="I6" i="18"/>
  <c r="I9" i="19"/>
  <c r="I6" i="20"/>
  <c r="I6" i="22"/>
  <c r="I4" i="7"/>
  <c r="I4" i="11"/>
  <c r="I10" i="19"/>
  <c r="C20" i="47"/>
  <c r="C20" i="49"/>
  <c r="A20" i="40"/>
  <c r="A20" i="42"/>
  <c r="A20" i="44"/>
  <c r="A20" i="46"/>
  <c r="A20" i="48"/>
  <c r="A20" i="50"/>
  <c r="E20" i="47"/>
  <c r="E20" i="49"/>
  <c r="E20" i="12" l="1"/>
  <c r="I4" i="4"/>
  <c r="E20" i="4" s="1"/>
  <c r="I3" i="4"/>
  <c r="I4" i="17"/>
  <c r="I5" i="17"/>
  <c r="I3" i="22"/>
  <c r="E20" i="22" s="1"/>
  <c r="E3" i="22" s="1"/>
  <c r="F31" i="51" s="1"/>
  <c r="G31" i="51" s="1"/>
  <c r="I4" i="20"/>
  <c r="E20" i="20" s="1"/>
  <c r="E3" i="20" s="1"/>
  <c r="F29" i="51" s="1"/>
  <c r="G29" i="51" s="1"/>
  <c r="I4" i="19"/>
  <c r="E20" i="19" s="1"/>
  <c r="C20" i="18"/>
  <c r="I3" i="17"/>
  <c r="E20" i="17" s="1"/>
  <c r="H22" i="17" s="1"/>
  <c r="H23" i="17" s="1"/>
  <c r="H22" i="21"/>
  <c r="H23" i="21" s="1"/>
  <c r="I4" i="16"/>
  <c r="I3" i="15"/>
  <c r="E20" i="15" s="1"/>
  <c r="E20" i="14"/>
  <c r="C20" i="13"/>
  <c r="I4" i="13" s="1"/>
  <c r="I3" i="10"/>
  <c r="E20" i="10" s="1"/>
  <c r="E20" i="9"/>
  <c r="H22" i="9" s="1"/>
  <c r="H23" i="9" s="1"/>
  <c r="I3" i="9"/>
  <c r="I4" i="9"/>
  <c r="E20" i="5"/>
  <c r="E3" i="5"/>
  <c r="F14" i="51" s="1"/>
  <c r="G14" i="51" s="1"/>
  <c r="I4" i="5"/>
  <c r="H22" i="5"/>
  <c r="H23" i="5" s="1"/>
  <c r="I3" i="5"/>
  <c r="I3" i="3"/>
  <c r="I4" i="1"/>
  <c r="I3" i="1"/>
  <c r="E20" i="1" s="1"/>
  <c r="H22" i="3"/>
  <c r="H23" i="3" s="1"/>
  <c r="H22" i="8"/>
  <c r="H23" i="8" s="1"/>
  <c r="F49" i="52"/>
  <c r="E3" i="15"/>
  <c r="F24" i="51" s="1"/>
  <c r="G24" i="51" s="1"/>
  <c r="H22" i="15"/>
  <c r="H23" i="15" s="1"/>
  <c r="E3" i="29"/>
  <c r="H22" i="29"/>
  <c r="H23" i="29" s="1"/>
  <c r="E3" i="30"/>
  <c r="H22" i="30"/>
  <c r="H23" i="30" s="1"/>
  <c r="H22" i="25"/>
  <c r="H23" i="25" s="1"/>
  <c r="E3" i="25"/>
  <c r="E3" i="10"/>
  <c r="F19" i="51" s="1"/>
  <c r="G19" i="51" s="1"/>
  <c r="H22" i="10"/>
  <c r="H23" i="10" s="1"/>
  <c r="H22" i="7"/>
  <c r="H23" i="7" s="1"/>
  <c r="E3" i="7"/>
  <c r="F16" i="51" s="1"/>
  <c r="G16" i="51" s="1"/>
  <c r="E3" i="12"/>
  <c r="F21" i="51" s="1"/>
  <c r="G21" i="51" s="1"/>
  <c r="H22" i="12"/>
  <c r="H23" i="12" s="1"/>
  <c r="H22" i="13"/>
  <c r="H23" i="13" s="1"/>
  <c r="E3" i="13"/>
  <c r="F22" i="51" s="1"/>
  <c r="G22" i="51" s="1"/>
  <c r="E3" i="1"/>
  <c r="F10" i="51" s="1"/>
  <c r="G10" i="51" s="1"/>
  <c r="H22" i="1"/>
  <c r="H23" i="1" s="1"/>
  <c r="H22" i="16"/>
  <c r="H23" i="16" s="1"/>
  <c r="E3" i="16"/>
  <c r="F25" i="51" s="1"/>
  <c r="G25" i="51" s="1"/>
  <c r="E3" i="31"/>
  <c r="H22" i="31"/>
  <c r="H23" i="31" s="1"/>
  <c r="H22" i="27"/>
  <c r="H23" i="27" s="1"/>
  <c r="E3" i="27"/>
  <c r="E3" i="4"/>
  <c r="F13" i="51" s="1"/>
  <c r="G13" i="51" s="1"/>
  <c r="H22" i="4"/>
  <c r="H23" i="4" s="1"/>
  <c r="H22" i="2"/>
  <c r="H23" i="2" s="1"/>
  <c r="E3" i="2"/>
  <c r="F11" i="51" s="1"/>
  <c r="G11" i="51" s="1"/>
  <c r="H22" i="23"/>
  <c r="H23" i="23" s="1"/>
  <c r="E3" i="23"/>
  <c r="F32" i="51" s="1"/>
  <c r="G32" i="51" s="1"/>
  <c r="H22" i="49"/>
  <c r="H23" i="49" s="1"/>
  <c r="E3" i="49"/>
  <c r="H22" i="32"/>
  <c r="H23" i="32" s="1"/>
  <c r="H22" i="47"/>
  <c r="H23" i="47" s="1"/>
  <c r="E3" i="47"/>
  <c r="H22" i="43"/>
  <c r="H23" i="43" s="1"/>
  <c r="E3" i="43"/>
  <c r="E3" i="6"/>
  <c r="F15" i="51" s="1"/>
  <c r="G15" i="51" s="1"/>
  <c r="H22" i="45"/>
  <c r="H23" i="45" s="1"/>
  <c r="E3" i="45"/>
  <c r="H22" i="41"/>
  <c r="H23" i="41" s="1"/>
  <c r="E3" i="41"/>
  <c r="E3" i="19" l="1"/>
  <c r="F28" i="51" s="1"/>
  <c r="G28" i="51" s="1"/>
  <c r="H22" i="19"/>
  <c r="H23" i="19" s="1"/>
  <c r="I3" i="18"/>
  <c r="I5" i="18"/>
  <c r="H22" i="22"/>
  <c r="H23" i="22" s="1"/>
  <c r="H22" i="20"/>
  <c r="H23" i="20" s="1"/>
  <c r="I4" i="18"/>
  <c r="E3" i="17"/>
  <c r="F26" i="51" s="1"/>
  <c r="G26" i="51" s="1"/>
  <c r="I3" i="13"/>
  <c r="E20" i="13" s="1"/>
  <c r="E3" i="9"/>
  <c r="F18" i="51" s="1"/>
  <c r="G18" i="51" s="1"/>
  <c r="E20" i="18" l="1"/>
  <c r="E3" i="18" s="1"/>
  <c r="F27" i="51" s="1"/>
  <c r="G27" i="51" s="1"/>
  <c r="H26" i="51" l="1"/>
  <c r="H33" i="51" s="1"/>
  <c r="G33" i="51"/>
  <c r="H22" i="18"/>
  <c r="H23" i="18" s="1"/>
</calcChain>
</file>

<file path=xl/sharedStrings.xml><?xml version="1.0" encoding="utf-8"?>
<sst xmlns="http://schemas.openxmlformats.org/spreadsheetml/2006/main" count="1368" uniqueCount="173">
  <si>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</si>
  <si>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</si>
  <si>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</si>
  <si>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</si>
  <si>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</si>
  <si>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</si>
  <si>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</si>
  <si>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</si>
  <si>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</si>
  <si>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</si>
  <si>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</si>
  <si>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AMERICANAS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</si>
  <si>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</si>
  <si>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</si>
  <si>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</si>
  <si>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</si>
  <si>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</si>
  <si>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</si>
  <si>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</si>
  <si>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</si>
  <si>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</si>
  <si>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</si>
  <si>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</si>
  <si>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</si>
  <si>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</si>
  <si>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</si>
  <si>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</si>
  <si>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</si>
  <si>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</si>
  <si>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MAGAZINE LUIZA</t>
  </si>
  <si>
    <t>ITEM 3</t>
  </si>
  <si>
    <t>ITEM 4</t>
  </si>
  <si>
    <t>ITEM 5</t>
  </si>
  <si>
    <t>ITEM 6</t>
  </si>
  <si>
    <t>COMERCIAL DE UTILIDADES MOURA LTDA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</si>
  <si>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</si>
  <si>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</si>
  <si>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</si>
  <si>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</si>
  <si>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</si>
  <si>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</si>
  <si>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</si>
  <si>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</si>
  <si>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</si>
  <si>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</si>
  <si>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</si>
  <si>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</si>
  <si>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EASYTECH INFORMATICA E SERVICOS LTDA</t>
  </si>
  <si>
    <t>ITEM 19</t>
  </si>
  <si>
    <t>ITEM 20</t>
  </si>
  <si>
    <t>ITEM 21</t>
  </si>
  <si>
    <t>I2SEG SOLUCOES EM SEGURANCA EIRELI</t>
  </si>
  <si>
    <t>ITEM 22</t>
  </si>
  <si>
    <t>ORGANIZACOES MSL COMERCIO E INDUSTRIA DE MATERIAIS ELETRICOS LTDA</t>
  </si>
  <si>
    <t>ITEM 23</t>
  </si>
  <si>
    <t>AUGUSTU S INFORMATICA EIRELI</t>
  </si>
  <si>
    <t>ITEM 24</t>
  </si>
  <si>
    <t>MOUSE OPTICO  Com 02 (dois) botões para seleção (click) e um botão de rolagem “scroll”.  Cor preta. Conexão USB.</t>
  </si>
  <si>
    <t>AAZ COMERCIAL EIRELI</t>
  </si>
  <si>
    <t>JAIRO ANTONIO MALLMANN CONSULTORIA</t>
  </si>
  <si>
    <t>GP TRADE COMPANY ELETRONICOS IMPORTACAO E EXPORTACAO LTDA</t>
  </si>
  <si>
    <t>SENSUS X TECNOLOGIA S.A</t>
  </si>
  <si>
    <t>R G XAVIER GUIMARAES EIRELI</t>
  </si>
  <si>
    <t>BILHETECO LTDA</t>
  </si>
  <si>
    <t>RM2 COMERCIO DE MATERIAIS PARA INFORMATICA LTDA</t>
  </si>
  <si>
    <t>ITEM 25</t>
  </si>
  <si>
    <t xml:space="preserve">MEMÓRIA PORTÁTIL PARA MICROCOMPUTADOR CAPACIDADE MEMÓRIA 32GB Interface USB 2.0. Aplicação: Armazenamento de dados. Adaptador USB Tipo Pen Drive. Acondicionados em embalagem individual. </t>
  </si>
  <si>
    <t>FF EQUIPAMENTOS, INFORMATICA E REPRESENTACOES LTDA</t>
  </si>
  <si>
    <t>BALSAS EMPRESA GRAFICA E EDITORA LTDA</t>
  </si>
  <si>
    <t>COMERCIAL FREDSON LTDA</t>
  </si>
  <si>
    <t>ITEM 26</t>
  </si>
  <si>
    <t>FILTRO DE LINHA Mínimo de 5 tomadas 2P+T. Comprimento mínimo do fio: 3 m. Tensão nominal: 127/220V (bivolt). Formato tipo retangular. Conexão à rede elétrica no padrão brasileiro Em conformidade com a norma ABNT NBR 14136.</t>
  </si>
  <si>
    <t>MARIA DE FATIMA DA SILVA NUNES</t>
  </si>
  <si>
    <t>SUPRIVALE - SUPRIMENTOS DO VALE COMERCIO E SERVICOS LTDA</t>
  </si>
  <si>
    <t>IVANETE APARECIDA MIRANDA</t>
  </si>
  <si>
    <t>ITEM 27</t>
  </si>
  <si>
    <t>RÉGUA DE TOMADA  Com mínimo de 4 tomadas 2P+T. Comprimento mínimo do fio: 3 m. Tensão nominal: 127/220V (bivolt). Formato tipo retangular /axial. Tomadas dispostas em diagonal  (Conforme modelo no final da página). Conexão à rede elétrica no padrão brasileiro. Em conformidade com as normas ABNT NBR 14136 e ABNT NBR NM 243/2009.</t>
  </si>
  <si>
    <t>ELETROQUIP COMERCIO E LICITACOES LTDA</t>
  </si>
  <si>
    <t>LICERI COMERCIO DE PRODUTOS EM GERAL LTDA</t>
  </si>
  <si>
    <t>ITEM 28</t>
  </si>
  <si>
    <t>FONE DE OUVIDO Com almofadas fechadas nos fones para máximo isolamento. Haste ajustável. Faixa de freqüência mínima entre 20 Hz e 20 kHz. Impedância: 32 Ohms. Conector P2 estéreo de 3,5mm para conexão com a urna eletrônica. Sem microfone integrado. Acondicionados em embalagem individual com o nome do fabricante e especificações técnicas.</t>
  </si>
  <si>
    <t>KABUM</t>
  </si>
  <si>
    <t>ITEM 29</t>
  </si>
  <si>
    <t>FONE DE OUVIDO COM MICROFONE FLEXÍVEL Tipo headphone. Haste ajustável. Concha em couro. Cor predominante: preta. Entrada tipo USB. Acondicionados em embalagem individual com o nome do fabricante e especificações técnicas.</t>
  </si>
  <si>
    <t>ANGRA PRODUCOES EIRELI</t>
  </si>
  <si>
    <t>EVOLUE COMERCIO DE EQUIPAMENTOS PARA TELECOMUNICACOES LTDA</t>
  </si>
  <si>
    <t>EDMAR MACHADO JUNIOR 72236655134</t>
  </si>
  <si>
    <t>K.M.L.R. PINHEIRO INFORMATICA</t>
  </si>
  <si>
    <t>ITEM 30</t>
  </si>
  <si>
    <t>PILHA ALCALINA PEQUENA Tipo AA  Embalagem com 02 unidades. Tensão: 1,5 V . Adequada à Resolução nº 401/2008 – CONAMA. Indicação expressa do nome do fabricante. Indicação de prazo de validade não inferior a um ano contado da data de recebimento definitivo.</t>
  </si>
  <si>
    <t>embalagem</t>
  </si>
  <si>
    <t>W. A DOS SANTOS RIVEIRA COMERCIO E SERVICOS</t>
  </si>
  <si>
    <t>ESTRADA DISTRIBUIDORA E COMERCIO EIRELI</t>
  </si>
  <si>
    <t>COMERCIAL T&amp;T EIRELI</t>
  </si>
  <si>
    <t>ROSENEIDE DA SILVA 31624995691</t>
  </si>
  <si>
    <t>BRUNO EDUARDO M. DE OLIVEIRA</t>
  </si>
  <si>
    <t>INFOTRIZ COMERCIAL EIRELI</t>
  </si>
  <si>
    <t>LEDI FERREIRA 33458260706</t>
  </si>
  <si>
    <t>ITEM 31</t>
  </si>
  <si>
    <t>PILHA ALCALINA PALITO Tipo AAA Embalagem com 04 unidades. Adequada à Resolução nº 401/2008 – CONAMA. Indicação expressa do nome do fabricante. Indicação de prazo de validade não inferior a um ano, contado da data de recebimento definitivo.</t>
  </si>
  <si>
    <t>ONLINE COMERCIO IMPORTACAO E EXPORTACAO EIRELI</t>
  </si>
  <si>
    <t>MARY DUDA COMERCIO DE MATERIAL PARA CONSTRUCAO E SERVICOS DE DECORACAO EIRELI</t>
  </si>
  <si>
    <t>MARIA DAS VITORIAS ANA DOS SANTOS 05348998460</t>
  </si>
  <si>
    <t>GRAFICA E EDITORA LUAR EIRELI</t>
  </si>
  <si>
    <t>JR PORTELLA COMERCIO DE ACESSORIOS E SERVICOS AUTOMOTIVOS EIRELI</t>
  </si>
  <si>
    <t>MARIA CONSUELO SOARES DA MATA</t>
  </si>
  <si>
    <t>ITEM 32</t>
  </si>
  <si>
    <t>PILHA 9V Alcalina; Tensão: 9 V Cartela com 01 unidade Adequada à Resolução nº 401/2008 - CONAMA Indicação expressa do nome do fabricante; Indicação de prazo de validade não inferior a um ano contado da data de recebimento definitivo.</t>
  </si>
  <si>
    <t>SUPRY OFFICE DISTRIBUIDORA DE MATERIAIS E SERVICOS LTDA</t>
  </si>
  <si>
    <t>DJ.MATERIAL DE CONSTRUCAO LTDA</t>
  </si>
  <si>
    <t>INTERBRINQ COMERCIAL EIRELI</t>
  </si>
  <si>
    <t>LIMARI MATERIAIS DE CONSTRUCOES EIRELI</t>
  </si>
  <si>
    <t>TECHSHORE COMERCIO E SERVICOS EIRELI</t>
  </si>
  <si>
    <t>H L P COMERCIO ELETRO FONIA EIRELI</t>
  </si>
  <si>
    <t>ITEM 33</t>
  </si>
  <si>
    <t xml:space="preserve">FITA PARA GRAVAÇÃO DE DADOS Tipo LTO Ultrium 6,  Capacidade 2,5 Aplicação armazenagem de dados. </t>
  </si>
  <si>
    <t>BRAZIL IT SOLUCOES EM INFORMATICA LTDA</t>
  </si>
  <si>
    <t>LUANDA COMERCIO DE SUPRIMENTOS PARA INFORMATICA LTDA</t>
  </si>
  <si>
    <t>GOLDEN STORAGE</t>
  </si>
  <si>
    <t>LTO ULTRIUM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</si>
  <si>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</si>
  <si>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</si>
  <si>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</si>
  <si>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</si>
  <si>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</si>
  <si>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</si>
  <si>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</si>
  <si>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</si>
  <si>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</si>
  <si>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</si>
  <si>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</si>
  <si>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</si>
  <si>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</si>
  <si>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</si>
  <si>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</si>
  <si>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</si>
  <si>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</si>
  <si>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</si>
  <si>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</si>
  <si>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</si>
  <si>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</si>
  <si>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</si>
  <si>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Mesa de escritório com tampo em formato “L”</t>
  </si>
  <si>
    <t>undidade</t>
  </si>
  <si>
    <t xml:space="preserve">Mesa de escritório com tampo em formato peninsular 
</t>
  </si>
  <si>
    <t xml:space="preserve">Mesa de escritório com tampo em formato retangular </t>
  </si>
  <si>
    <t>Mesa de escritório com tampo em formato retangular</t>
  </si>
  <si>
    <t xml:space="preserve">Mesa de escritório com tampo em formato peninsular </t>
  </si>
  <si>
    <t>Mesa de reunião com tampo em formato circular</t>
  </si>
  <si>
    <t xml:space="preserve">Mesa de reunião com tampo em formato elíptico </t>
  </si>
  <si>
    <t>Gaveteiro volante</t>
  </si>
  <si>
    <t>Gaveteiro mesa</t>
  </si>
  <si>
    <t>Armário médio</t>
  </si>
  <si>
    <t>Armário alto</t>
  </si>
  <si>
    <t>Armário baixo</t>
  </si>
  <si>
    <t>Cadeira giratória operacional com espaldar médio</t>
  </si>
  <si>
    <t>Cadeira de diálogo – com braços</t>
  </si>
  <si>
    <t>Cadeira de diálogo – sem braços</t>
  </si>
  <si>
    <t>Cadeiras sobre longarina – 2 lugares</t>
  </si>
  <si>
    <t>Cadeiras sobre longarina – 3 lugares</t>
  </si>
  <si>
    <t xml:space="preserve">Cadeira giratória operacional com espaldar alto 
</t>
  </si>
  <si>
    <t>Cadeira giratória operacional com espaldar alto e apoio de cabeça</t>
  </si>
  <si>
    <t>GABINETT</t>
  </si>
  <si>
    <t>FLEXIBASE</t>
  </si>
  <si>
    <t>MENOR LANCE PE 04/21 SENAC -ATUALIZADO</t>
  </si>
  <si>
    <t>MENOR LANCE PE 26/22 HOSP MUNICIPAL</t>
  </si>
  <si>
    <t>MENOR LANCE PE 20/22  FORN G MEDICAL</t>
  </si>
  <si>
    <t>PROPOSTA TCNO 2000 ATUALIZADO</t>
  </si>
  <si>
    <t xml:space="preserve"> PAINEL -CENTRA MÓVEIS S/A - ATUALIZ</t>
  </si>
  <si>
    <t>lotes</t>
  </si>
  <si>
    <t>Total do Lote</t>
  </si>
  <si>
    <t>MENOR LANCE PE 04/21 INST FED PARÁ</t>
  </si>
  <si>
    <t>MENOR LANCE PE 08/22 comando da marinha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</si>
</sst>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d&quot; de &quot;mmmm&quot; de &quot;yyyy"/>
    <numFmt numFmtId="166" formatCode="&quot; R$ &quot;* #,##0.00\ ;&quot;-R$ &quot;* #,##0.00\ ;&quot; R$ &quot;* \-#\ ;@\ "/>
  </numFmts>
  <fonts count="20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9"/>
      <name val="Arial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</borders>
  <cellStyleXfs count="21">
    <xf numFmtId="0" fontId="0" fillId="0" borderId="0"/>
    <xf numFmtId="166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80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5" fillId="0" borderId="2" xfId="0" applyFont="1" applyBorder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left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6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6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2" fillId="10" borderId="8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166" fontId="10" fillId="10" borderId="3" xfId="1" applyFont="1" applyFill="1" applyBorder="1" applyAlignment="1" applyProtection="1">
      <alignment vertical="center" wrapText="1"/>
    </xf>
    <xf numFmtId="166" fontId="11" fillId="9" borderId="7" xfId="0" applyNumberFormat="1" applyFont="1" applyFill="1" applyBorder="1" applyAlignment="1">
      <alignment wrapText="1"/>
    </xf>
    <xf numFmtId="0" fontId="12" fillId="10" borderId="3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9" fillId="11" borderId="7" xfId="0" applyFont="1" applyFill="1" applyBorder="1"/>
    <xf numFmtId="0" fontId="0" fillId="0" borderId="15" xfId="0" applyBorder="1"/>
    <xf numFmtId="0" fontId="11" fillId="0" borderId="16" xfId="0" applyFont="1" applyBorder="1" applyAlignment="1">
      <alignment wrapText="1"/>
    </xf>
    <xf numFmtId="166" fontId="11" fillId="9" borderId="18" xfId="0" applyNumberFormat="1" applyFont="1" applyFill="1" applyBorder="1" applyAlignment="1">
      <alignment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6" fillId="0" borderId="0" xfId="0" applyFont="1" applyBorder="1" applyAlignment="1">
      <alignment horizontal="center" vertical="center"/>
    </xf>
    <xf numFmtId="0" fontId="11" fillId="9" borderId="17" xfId="0" applyFont="1" applyFill="1" applyBorder="1" applyAlignment="1">
      <alignment horizontal="center" wrapText="1"/>
    </xf>
    <xf numFmtId="0" fontId="0" fillId="11" borderId="9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 wrapText="1"/>
    </xf>
    <xf numFmtId="0" fontId="11" fillId="9" borderId="13" xfId="0" applyFont="1" applyFill="1" applyBorder="1" applyAlignment="1">
      <alignment horizontal="center" vertical="center" wrapText="1"/>
    </xf>
    <xf numFmtId="0" fontId="11" fillId="9" borderId="14" xfId="0" applyFont="1" applyFill="1" applyBorder="1" applyAlignment="1">
      <alignment horizontal="center" vertical="center" wrapText="1"/>
    </xf>
    <xf numFmtId="166" fontId="10" fillId="10" borderId="7" xfId="1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8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3362325</xdr:colOff>
      <xdr:row>0</xdr:row>
      <xdr:rowOff>0</xdr:rowOff>
    </xdr:from>
    <xdr:to>
      <xdr:col>3</xdr:col>
      <xdr:colOff>457200</xdr:colOff>
      <xdr:row>6</xdr:row>
      <xdr:rowOff>126301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1050" y="0"/>
          <a:ext cx="2886075" cy="10978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142</v>
      </c>
      <c r="C3" s="62" t="s">
        <v>143</v>
      </c>
      <c r="D3" s="63">
        <v>10</v>
      </c>
      <c r="E3" s="64">
        <f>IF(C20&lt;=25%,D20,MIN(E20:F20))</f>
        <v>2659.5</v>
      </c>
      <c r="F3" s="64">
        <f>MIN(H3:H17)</f>
        <v>2442</v>
      </c>
      <c r="G3" s="6" t="s">
        <v>162</v>
      </c>
      <c r="H3" s="7">
        <v>2877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2442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307.59144981614816</v>
      </c>
      <c r="B20" s="19">
        <f>COUNT(H3:H17)</f>
        <v>2</v>
      </c>
      <c r="C20" s="20">
        <f>IF(B20&lt;2,"N/A",(A20/D20))</f>
        <v>0.11565762354433094</v>
      </c>
      <c r="D20" s="21">
        <f>ROUND(AVERAGE(H3:H17),2)</f>
        <v>2659.5</v>
      </c>
      <c r="E20" s="22" t="str">
        <f>IFERROR(ROUND(IF(B20&lt;2,"N/A",(IF(C20&lt;=25%,"N/A",AVERAGE(I3:I17)))),2),"N/A")</f>
        <v>N/A</v>
      </c>
      <c r="F20" s="22">
        <f>ROUND(MEDIAN(H3:H17),2)</f>
        <v>2659.5</v>
      </c>
      <c r="G20" s="23" t="str">
        <f>INDEX(G3:G17,MATCH(H20,H3:H17,0))</f>
        <v>FLEXIBASE</v>
      </c>
      <c r="H20" s="24">
        <f>MIN(H3:H17)</f>
        <v>2442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2659.5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26595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J4" sqref="J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38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149</v>
      </c>
      <c r="C3" s="62" t="s">
        <v>10</v>
      </c>
      <c r="D3" s="63">
        <v>10</v>
      </c>
      <c r="E3" s="64">
        <f>IF(C20&lt;=25%,D20,MIN(E20:F20))</f>
        <v>2648.5</v>
      </c>
      <c r="F3" s="64">
        <f>MIN(H3:H17)</f>
        <v>2185</v>
      </c>
      <c r="G3" s="6" t="s">
        <v>162</v>
      </c>
      <c r="H3" s="7">
        <v>3112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2185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655.48798615992951</v>
      </c>
      <c r="B20" s="19">
        <f>COUNT(H3:H17)</f>
        <v>2</v>
      </c>
      <c r="C20" s="20">
        <f>IF(B20&lt;2,"N/A",(A20/D20))</f>
        <v>0.24749404801205568</v>
      </c>
      <c r="D20" s="21">
        <f>ROUND(AVERAGE(H3:H17),2)</f>
        <v>2648.5</v>
      </c>
      <c r="E20" s="22" t="str">
        <f>IFERROR(ROUND(IF(B20&lt;2,"N/A",(IF(C20&lt;=25%,"N/A",AVERAGE(I3:I17)))),2),"N/A")</f>
        <v>N/A</v>
      </c>
      <c r="F20" s="22">
        <f>ROUND(MEDIAN(H3:H17),2)</f>
        <v>2648.5</v>
      </c>
      <c r="G20" s="23" t="str">
        <f>INDEX(G3:G17,MATCH(H20,H3:H17,0))</f>
        <v>FLEXIBASE</v>
      </c>
      <c r="H20" s="24">
        <f>MIN(H3:H17)</f>
        <v>2185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2648.5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26485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150</v>
      </c>
      <c r="C3" s="62" t="s">
        <v>10</v>
      </c>
      <c r="D3" s="63">
        <v>400</v>
      </c>
      <c r="E3" s="64">
        <f>IF(C20&lt;=25%,D20,MIN(E20:F20))</f>
        <v>1509</v>
      </c>
      <c r="F3" s="64">
        <f>MIN(H3:H17)</f>
        <v>1360</v>
      </c>
      <c r="G3" s="6" t="s">
        <v>162</v>
      </c>
      <c r="H3" s="7">
        <v>1360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1658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210.71782079359116</v>
      </c>
      <c r="B20" s="19">
        <f>COUNT(H3:H17)</f>
        <v>2</v>
      </c>
      <c r="C20" s="20">
        <f>IF(B20&lt;2,"N/A",(A20/D20))</f>
        <v>0.13964070297786027</v>
      </c>
      <c r="D20" s="21">
        <f>ROUND(AVERAGE(H3:H17),2)</f>
        <v>1509</v>
      </c>
      <c r="E20" s="22" t="str">
        <f>IFERROR(ROUND(IF(B20&lt;2,"N/A",(IF(C20&lt;=25%,"N/A",AVERAGE(I3:I17)))),2),"N/A")</f>
        <v>N/A</v>
      </c>
      <c r="F20" s="22">
        <f>ROUND(MEDIAN(H3:H17),2)</f>
        <v>1509</v>
      </c>
      <c r="G20" s="23" t="str">
        <f>INDEX(G3:G17,MATCH(H20,H3:H17,0))</f>
        <v>GABINETT</v>
      </c>
      <c r="H20" s="24">
        <f>MIN(H3:H17)</f>
        <v>1360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1509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603600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6" sqref="H6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40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151</v>
      </c>
      <c r="C3" s="62" t="s">
        <v>10</v>
      </c>
      <c r="D3" s="63">
        <v>200</v>
      </c>
      <c r="E3" s="64">
        <f>IF(C20&lt;=25%,D20,MIN(E20:F20))</f>
        <v>2018</v>
      </c>
      <c r="F3" s="64">
        <f>MIN(H3:H17)</f>
        <v>1500</v>
      </c>
      <c r="G3" s="6" t="s">
        <v>162</v>
      </c>
      <c r="H3" s="7">
        <v>2536</v>
      </c>
      <c r="I3" s="8">
        <f t="shared" ref="I3:I17" si="0">IF(H3="","",(IF($C$20&lt;25%,"N/A",IF(H3&lt;=($D$20+$A$20),H3,"Descartado"))))</f>
        <v>2536</v>
      </c>
    </row>
    <row r="4" spans="1:9">
      <c r="A4" s="60"/>
      <c r="B4" s="61"/>
      <c r="C4" s="62"/>
      <c r="D4" s="63"/>
      <c r="E4" s="64"/>
      <c r="F4" s="64"/>
      <c r="G4" s="6" t="s">
        <v>166</v>
      </c>
      <c r="H4" s="7">
        <v>1500</v>
      </c>
      <c r="I4" s="8">
        <f t="shared" si="0"/>
        <v>1500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732.56262530926324</v>
      </c>
      <c r="B20" s="19">
        <f>COUNT(H3:H17)</f>
        <v>2</v>
      </c>
      <c r="C20" s="20">
        <f>IF(B20&lt;2,"N/A",(A20/D20))</f>
        <v>0.3630141849897241</v>
      </c>
      <c r="D20" s="21">
        <f>ROUND(AVERAGE(H3:H17),2)</f>
        <v>2018</v>
      </c>
      <c r="E20" s="22">
        <f>IFERROR(ROUND(IF(B20&lt;2,"N/A",(IF(C20&lt;=25%,"N/A",AVERAGE(I3:I17)))),2),"N/A")</f>
        <v>2018</v>
      </c>
      <c r="F20" s="22">
        <f>ROUND(MEDIAN(H3:H17),2)</f>
        <v>2018</v>
      </c>
      <c r="G20" s="23" t="str">
        <f>INDEX(G3:G17,MATCH(H20,H3:H17,0))</f>
        <v>MENOR LANCE PE 20/22  FORN G MEDICAL</v>
      </c>
      <c r="H20" s="24">
        <f>MIN(H3:H17)</f>
        <v>1500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2018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403600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3" sqref="H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152</v>
      </c>
      <c r="C3" s="62" t="s">
        <v>10</v>
      </c>
      <c r="D3" s="63">
        <v>80</v>
      </c>
      <c r="E3" s="64">
        <f>IF(C20&lt;=25%,D20,MIN(E20:F20))</f>
        <v>2507.5</v>
      </c>
      <c r="F3" s="64">
        <f>MIN(H3:H17)</f>
        <v>2479</v>
      </c>
      <c r="G3" s="6" t="s">
        <v>162</v>
      </c>
      <c r="H3" s="7">
        <v>2536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2479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40.305086527633208</v>
      </c>
      <c r="B20" s="19">
        <f>COUNT(H3:H17)</f>
        <v>2</v>
      </c>
      <c r="C20" s="20">
        <f>IF(B20&lt;2,"N/A",(A20/D20))</f>
        <v>1.6073813171538668E-2</v>
      </c>
      <c r="D20" s="21">
        <f>ROUND(AVERAGE(H3:H17),2)</f>
        <v>2507.5</v>
      </c>
      <c r="E20" s="22" t="str">
        <f>IFERROR(ROUND(IF(B20&lt;2,"N/A",(IF(C20&lt;=25%,"N/A",AVERAGE(I3:I17)))),2),"N/A")</f>
        <v>N/A</v>
      </c>
      <c r="F20" s="22">
        <f>ROUND(MEDIAN(H3:H17),2)</f>
        <v>2507.5</v>
      </c>
      <c r="G20" s="23" t="str">
        <f>INDEX(G3:G17,MATCH(H20,H3:H17,0))</f>
        <v>FLEXIBASE</v>
      </c>
      <c r="H20" s="24">
        <f>MIN(H3:H17)</f>
        <v>2479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2507.5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200600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J4" sqref="J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152</v>
      </c>
      <c r="C3" s="62" t="s">
        <v>10</v>
      </c>
      <c r="D3" s="63">
        <v>80</v>
      </c>
      <c r="E3" s="64">
        <f>IF(C20&lt;=25%,D20,MIN(E20:F20))</f>
        <v>2290</v>
      </c>
      <c r="F3" s="64">
        <f>MIN(H3:H17)</f>
        <v>2233</v>
      </c>
      <c r="G3" s="6" t="s">
        <v>162</v>
      </c>
      <c r="H3" s="7">
        <v>2347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2233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80.610173055266415</v>
      </c>
      <c r="B20" s="19">
        <f>COUNT(H3:H17)</f>
        <v>2</v>
      </c>
      <c r="C20" s="20">
        <f>IF(B20&lt;2,"N/A",(A20/D20))</f>
        <v>3.5200948932430746E-2</v>
      </c>
      <c r="D20" s="21">
        <f>ROUND(AVERAGE(H3:H17),2)</f>
        <v>2290</v>
      </c>
      <c r="E20" s="22" t="str">
        <f>IFERROR(ROUND(IF(B20&lt;2,"N/A",(IF(C20&lt;=25%,"N/A",AVERAGE(I3:I17)))),2),"N/A")</f>
        <v>N/A</v>
      </c>
      <c r="F20" s="22">
        <f>ROUND(MEDIAN(H3:H17),2)</f>
        <v>2290</v>
      </c>
      <c r="G20" s="23" t="str">
        <f>INDEX(G3:G17,MATCH(H20,H3:H17,0))</f>
        <v>FLEXIBASE</v>
      </c>
      <c r="H20" s="24">
        <f>MIN(H3:H17)</f>
        <v>2233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2290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183200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J4" sqref="J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153</v>
      </c>
      <c r="C3" s="62" t="s">
        <v>10</v>
      </c>
      <c r="D3" s="63">
        <v>200</v>
      </c>
      <c r="E3" s="64">
        <f>IF(C20&lt;=25%,D20,MIN(E20:F20))</f>
        <v>3055.5</v>
      </c>
      <c r="F3" s="64">
        <f>MIN(H3:H17)</f>
        <v>2989</v>
      </c>
      <c r="G3" s="6" t="s">
        <v>162</v>
      </c>
      <c r="H3" s="7">
        <v>2989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3122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94.045201897810827</v>
      </c>
      <c r="B20" s="19">
        <f>COUNT(H3:H17)</f>
        <v>2</v>
      </c>
      <c r="C20" s="20">
        <f>IF(B20&lt;2,"N/A",(A20/D20))</f>
        <v>3.0778989329998636E-2</v>
      </c>
      <c r="D20" s="21">
        <f>ROUND(AVERAGE(H3:H17),2)</f>
        <v>3055.5</v>
      </c>
      <c r="E20" s="22" t="str">
        <f>IFERROR(ROUND(IF(B20&lt;2,"N/A",(IF(C20&lt;=25%,"N/A",AVERAGE(I3:I17)))),2),"N/A")</f>
        <v>N/A</v>
      </c>
      <c r="F20" s="22">
        <f>ROUND(MEDIAN(H3:H17),2)</f>
        <v>3055.5</v>
      </c>
      <c r="G20" s="23" t="str">
        <f>INDEX(G3:G17,MATCH(H20,H3:H17,0))</f>
        <v>GABINETT</v>
      </c>
      <c r="H20" s="24">
        <f>MIN(H3:H17)</f>
        <v>2989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3055.5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611100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154</v>
      </c>
      <c r="C3" s="62" t="s">
        <v>10</v>
      </c>
      <c r="D3" s="63">
        <v>70</v>
      </c>
      <c r="E3" s="64">
        <f>IF(C20&lt;=25%,D20,MIN(E20:F20))</f>
        <v>1575</v>
      </c>
      <c r="F3" s="64">
        <f>MIN(H3:H17)</f>
        <v>1405</v>
      </c>
      <c r="G3" s="6" t="s">
        <v>162</v>
      </c>
      <c r="H3" s="7">
        <v>1745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1405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240.41630560342617</v>
      </c>
      <c r="B20" s="19">
        <f>COUNT(H3:H17)</f>
        <v>2</v>
      </c>
      <c r="C20" s="20">
        <f>IF(B20&lt;2,"N/A",(A20/D20))</f>
        <v>0.15264527339900075</v>
      </c>
      <c r="D20" s="21">
        <f>ROUND(AVERAGE(H3:H17),2)</f>
        <v>1575</v>
      </c>
      <c r="E20" s="22" t="str">
        <f>IFERROR(ROUND(IF(B20&lt;2,"N/A",(IF(C20&lt;=25%,"N/A",AVERAGE(I3:I17)))),2),"N/A")</f>
        <v>N/A</v>
      </c>
      <c r="F20" s="22">
        <f>ROUND(MEDIAN(H3:H17),2)</f>
        <v>1575</v>
      </c>
      <c r="G20" s="23" t="str">
        <f>INDEX(G3:G17,MATCH(H20,H3:H17,0))</f>
        <v>FLEXIBASE</v>
      </c>
      <c r="H20" s="24">
        <f>MIN(H3:H17)</f>
        <v>1405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1575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110250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5" sqref="G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155</v>
      </c>
      <c r="C3" s="62" t="s">
        <v>10</v>
      </c>
      <c r="D3" s="63">
        <v>400</v>
      </c>
      <c r="E3" s="64">
        <f>IF(C20&lt;=25%,D20,MIN(E20:F20))</f>
        <v>1616.86</v>
      </c>
      <c r="F3" s="64">
        <f>MIN(H3:H17)</f>
        <v>857.14</v>
      </c>
      <c r="G3" s="6" t="s">
        <v>163</v>
      </c>
      <c r="H3" s="7">
        <v>1697</v>
      </c>
      <c r="I3" s="8">
        <f t="shared" ref="I3:I17" si="0">IF(H3="","",(IF($C$20&lt;25%,"N/A",IF(H3&lt;=($D$20+$A$20),H3,"Descartado"))))</f>
        <v>1697</v>
      </c>
    </row>
    <row r="4" spans="1:9">
      <c r="A4" s="60"/>
      <c r="B4" s="61"/>
      <c r="C4" s="62"/>
      <c r="D4" s="63"/>
      <c r="E4" s="64"/>
      <c r="F4" s="64"/>
      <c r="G4" s="6" t="s">
        <v>164</v>
      </c>
      <c r="H4" s="7">
        <v>2296.4499999999998</v>
      </c>
      <c r="I4" s="8">
        <f t="shared" si="0"/>
        <v>2296.4499999999998</v>
      </c>
    </row>
    <row r="5" spans="1:9">
      <c r="A5" s="60"/>
      <c r="B5" s="61"/>
      <c r="C5" s="62"/>
      <c r="D5" s="63"/>
      <c r="E5" s="64"/>
      <c r="F5" s="64"/>
      <c r="G5" s="6" t="s">
        <v>165</v>
      </c>
      <c r="H5" s="7">
        <v>857.14</v>
      </c>
      <c r="I5" s="8">
        <f t="shared" si="0"/>
        <v>857.14</v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722.99359128095466</v>
      </c>
      <c r="B20" s="19">
        <f>COUNT(H3:H17)</f>
        <v>3</v>
      </c>
      <c r="C20" s="20">
        <f>IF(B20&lt;2,"N/A",(A20/D20))</f>
        <v>0.44715905599801758</v>
      </c>
      <c r="D20" s="21">
        <f>ROUND(AVERAGE(H3:H17),2)</f>
        <v>1616.86</v>
      </c>
      <c r="E20" s="22">
        <f>IFERROR(ROUND(IF(B20&lt;2,"N/A",(IF(C20&lt;=25%,"N/A",AVERAGE(I3:I17)))),2),"N/A")</f>
        <v>1616.86</v>
      </c>
      <c r="F20" s="22">
        <f>ROUND(MEDIAN(H3:H17),2)</f>
        <v>1697</v>
      </c>
      <c r="G20" s="23" t="str">
        <f>INDEX(G3:G17,MATCH(H20,H3:H17,0))</f>
        <v>MENOR LANCE PE 26/22 HOSP MUNICIPAL</v>
      </c>
      <c r="H20" s="24">
        <f>MIN(H3:H17)</f>
        <v>857.14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1616.86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646744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5" sqref="G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46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156</v>
      </c>
      <c r="C3" s="62" t="s">
        <v>10</v>
      </c>
      <c r="D3" s="63">
        <v>200</v>
      </c>
      <c r="E3" s="64">
        <f>IF(C20&lt;=25%,D20,MIN(E20:F20))</f>
        <v>1048.99</v>
      </c>
      <c r="F3" s="64">
        <f>MIN(H3:H17)</f>
        <v>549.6</v>
      </c>
      <c r="G3" s="6" t="s">
        <v>163</v>
      </c>
      <c r="H3" s="7">
        <v>1462</v>
      </c>
      <c r="I3" s="8">
        <f t="shared" ref="I3:I17" si="0">IF(H3="","",(IF($C$20&lt;25%,"N/A",IF(H3&lt;=($D$20+$A$20),H3,"Descartado"))))</f>
        <v>1462</v>
      </c>
    </row>
    <row r="4" spans="1:9">
      <c r="A4" s="60"/>
      <c r="B4" s="61"/>
      <c r="C4" s="62"/>
      <c r="D4" s="63"/>
      <c r="E4" s="64"/>
      <c r="F4" s="64"/>
      <c r="G4" s="6" t="s">
        <v>165</v>
      </c>
      <c r="H4" s="7">
        <v>549.6</v>
      </c>
      <c r="I4" s="8">
        <f t="shared" si="0"/>
        <v>549.6</v>
      </c>
    </row>
    <row r="5" spans="1:9">
      <c r="A5" s="60"/>
      <c r="B5" s="61"/>
      <c r="C5" s="62"/>
      <c r="D5" s="63"/>
      <c r="E5" s="64"/>
      <c r="F5" s="64"/>
      <c r="G5" s="6" t="s">
        <v>171</v>
      </c>
      <c r="H5" s="7">
        <v>1135.3699999999999</v>
      </c>
      <c r="I5" s="8">
        <f t="shared" si="0"/>
        <v>1135.3699999999999</v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462.29273009641861</v>
      </c>
      <c r="B20" s="19">
        <f>COUNT(H3:H17)</f>
        <v>3</v>
      </c>
      <c r="C20" s="20">
        <f>IF(B20&lt;2,"N/A",(A20/D20))</f>
        <v>0.44070270459815497</v>
      </c>
      <c r="D20" s="21">
        <f>ROUND(AVERAGE(H3:H17),2)</f>
        <v>1048.99</v>
      </c>
      <c r="E20" s="22">
        <f>IFERROR(ROUND(IF(B20&lt;2,"N/A",(IF(C20&lt;=25%,"N/A",AVERAGE(I3:I17)))),2),"N/A")</f>
        <v>1048.99</v>
      </c>
      <c r="F20" s="22">
        <f>ROUND(MEDIAN(H3:H17),2)</f>
        <v>1135.3699999999999</v>
      </c>
      <c r="G20" s="23" t="str">
        <f>INDEX(G3:G17,MATCH(H20,H3:H17,0))</f>
        <v>MENOR LANCE PE 26/22 HOSP MUNICIPAL</v>
      </c>
      <c r="H20" s="24">
        <f>MIN(H3:H17)</f>
        <v>549.6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1048.99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209798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4" sqref="G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157</v>
      </c>
      <c r="C3" s="62" t="s">
        <v>10</v>
      </c>
      <c r="D3" s="63">
        <v>200</v>
      </c>
      <c r="E3" s="64">
        <f>IF(C20&lt;=25%,D20,MIN(E20:F20))</f>
        <v>1180.8900000000001</v>
      </c>
      <c r="F3" s="64">
        <f>MIN(H3:H17)</f>
        <v>766.77</v>
      </c>
      <c r="G3" s="6" t="s">
        <v>163</v>
      </c>
      <c r="H3" s="7">
        <v>1595</v>
      </c>
      <c r="I3" s="8">
        <f t="shared" ref="I3:I17" si="0">IF(H3="","",(IF($C$20&lt;25%,"N/A",IF(H3&lt;=($D$20+$A$20),H3,"Descartado"))))</f>
        <v>1595</v>
      </c>
    </row>
    <row r="4" spans="1:9">
      <c r="A4" s="60"/>
      <c r="B4" s="61"/>
      <c r="C4" s="62"/>
      <c r="D4" s="63"/>
      <c r="E4" s="64"/>
      <c r="F4" s="64"/>
      <c r="G4" s="6" t="s">
        <v>171</v>
      </c>
      <c r="H4" s="7">
        <v>766.77</v>
      </c>
      <c r="I4" s="8">
        <f t="shared" si="0"/>
        <v>766.77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585.64704938213436</v>
      </c>
      <c r="B20" s="19">
        <f>COUNT(H3:H17)</f>
        <v>2</v>
      </c>
      <c r="C20" s="20">
        <f>IF(B20&lt;2,"N/A",(A20/D20))</f>
        <v>0.49593700461697049</v>
      </c>
      <c r="D20" s="21">
        <f>ROUND(AVERAGE(H3:H17),2)</f>
        <v>1180.8900000000001</v>
      </c>
      <c r="E20" s="22">
        <f>IFERROR(ROUND(IF(B20&lt;2,"N/A",(IF(C20&lt;=25%,"N/A",AVERAGE(I3:I17)))),2),"N/A")</f>
        <v>1180.8900000000001</v>
      </c>
      <c r="F20" s="22">
        <f>ROUND(MEDIAN(H3:H17),2)</f>
        <v>1180.8900000000001</v>
      </c>
      <c r="G20" s="23" t="str">
        <f>INDEX(G3:G17,MATCH(H20,H3:H17,0))</f>
        <v>MENOR LANCE PE 04/21 INST FED PARÁ</v>
      </c>
      <c r="H20" s="24">
        <f>MIN(H3:H17)</f>
        <v>766.77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1180.8900000000001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236178.00000000003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J4" sqref="J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142</v>
      </c>
      <c r="C3" s="62" t="s">
        <v>10</v>
      </c>
      <c r="D3" s="63">
        <v>200</v>
      </c>
      <c r="E3" s="64">
        <f>IF(C20&lt;=25%,D20,MIN(E20:F20))</f>
        <v>2510.5</v>
      </c>
      <c r="F3" s="64">
        <f>MIN(H3:H17)</f>
        <v>2297</v>
      </c>
      <c r="G3" s="6" t="s">
        <v>162</v>
      </c>
      <c r="H3" s="7">
        <v>2724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2297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301.93459556665579</v>
      </c>
      <c r="B20" s="19">
        <f>COUNT(H3:H17)</f>
        <v>2</v>
      </c>
      <c r="C20" s="20">
        <f>IF(B20&lt;2,"N/A",(A20/D20))</f>
        <v>0.1202687096461485</v>
      </c>
      <c r="D20" s="21">
        <f>ROUND(AVERAGE(H3:H17),2)</f>
        <v>2510.5</v>
      </c>
      <c r="E20" s="22" t="str">
        <f>IFERROR(ROUND(IF(B20&lt;2,"N/A",(IF(C20&lt;=25%,"N/A",AVERAGE(I3:I17)))),2),"N/A")</f>
        <v>N/A</v>
      </c>
      <c r="F20" s="22">
        <f>ROUND(MEDIAN(H3:H17),2)</f>
        <v>2510.5</v>
      </c>
      <c r="G20" s="23" t="str">
        <f>INDEX(G3:G17,MATCH(H20,H3:H17,0))</f>
        <v>FLEXIBASE</v>
      </c>
      <c r="H20" s="24">
        <f>MIN(H3:H17)</f>
        <v>2297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2510.5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502100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tabSelected="1" view="pageBreakPreview" zoomScaleNormal="100" workbookViewId="0">
      <selection activeCell="G4" sqref="G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158</v>
      </c>
      <c r="C3" s="62" t="s">
        <v>10</v>
      </c>
      <c r="D3" s="63">
        <v>50</v>
      </c>
      <c r="E3" s="64">
        <f>IF(C20&lt;=25%,D20,MIN(E20:F20))</f>
        <v>2194.35</v>
      </c>
      <c r="F3" s="64">
        <f>MIN(H3:H17)</f>
        <v>2011.7</v>
      </c>
      <c r="G3" s="6" t="s">
        <v>163</v>
      </c>
      <c r="H3" s="7">
        <v>2377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171</v>
      </c>
      <c r="H4" s="7">
        <v>2011.7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258.30610716744576</v>
      </c>
      <c r="B20" s="19">
        <f>COUNT(H3:H17)</f>
        <v>2</v>
      </c>
      <c r="C20" s="20">
        <f>IF(B20&lt;2,"N/A",(A20/D20))</f>
        <v>0.11771417830676317</v>
      </c>
      <c r="D20" s="21">
        <f>ROUND(AVERAGE(H3:H17),2)</f>
        <v>2194.35</v>
      </c>
      <c r="E20" s="22" t="str">
        <f>IFERROR(ROUND(IF(B20&lt;2,"N/A",(IF(C20&lt;=25%,"N/A",AVERAGE(I3:I17)))),2),"N/A")</f>
        <v>N/A</v>
      </c>
      <c r="F20" s="22">
        <f>ROUND(MEDIAN(H3:H17),2)</f>
        <v>2194.35</v>
      </c>
      <c r="G20" s="23" t="str">
        <f>INDEX(G3:G17,MATCH(H20,H3:H17,0))</f>
        <v>MENOR LANCE PE 04/21 INST FED PARÁ</v>
      </c>
      <c r="H20" s="24">
        <f>MIN(H3:H17)</f>
        <v>2011.7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2194.35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109717.5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1" sqref="G1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159</v>
      </c>
      <c r="C3" s="62" t="s">
        <v>10</v>
      </c>
      <c r="D3" s="63">
        <v>50</v>
      </c>
      <c r="E3" s="64">
        <f>IF(C20&lt;=25%,D20,MIN(E20:F20))</f>
        <v>2996.57</v>
      </c>
      <c r="F3" s="64">
        <f>MIN(H3:H17)</f>
        <v>1280</v>
      </c>
      <c r="G3" s="6" t="s">
        <v>163</v>
      </c>
      <c r="H3" s="7">
        <v>3422</v>
      </c>
      <c r="I3" s="8">
        <f t="shared" ref="I3:I17" si="0">IF(H3="","",(IF($C$20&lt;25%,"N/A",IF(H3&lt;=($D$20+$A$20),H3,"Descartado"))))</f>
        <v>3422</v>
      </c>
    </row>
    <row r="4" spans="1:9">
      <c r="A4" s="60"/>
      <c r="B4" s="61"/>
      <c r="C4" s="62"/>
      <c r="D4" s="63"/>
      <c r="E4" s="64"/>
      <c r="F4" s="64"/>
      <c r="G4" s="6" t="s">
        <v>171</v>
      </c>
      <c r="H4" s="7">
        <v>4287.72</v>
      </c>
      <c r="I4" s="8">
        <f t="shared" si="0"/>
        <v>4287.72</v>
      </c>
    </row>
    <row r="5" spans="1:9">
      <c r="A5" s="60"/>
      <c r="B5" s="61"/>
      <c r="C5" s="62"/>
      <c r="D5" s="63"/>
      <c r="E5" s="64"/>
      <c r="F5" s="64"/>
      <c r="G5" s="6" t="s">
        <v>172</v>
      </c>
      <c r="H5" s="7">
        <v>1280</v>
      </c>
      <c r="I5" s="8">
        <f t="shared" si="0"/>
        <v>1280</v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1548.3332283889442</v>
      </c>
      <c r="B20" s="19">
        <f>COUNT(H3:H17)</f>
        <v>3</v>
      </c>
      <c r="C20" s="20">
        <f>IF(B20&lt;2,"N/A",(A20/D20))</f>
        <v>0.51670183856507412</v>
      </c>
      <c r="D20" s="21">
        <f>ROUND(AVERAGE(H3:H17),2)</f>
        <v>2996.57</v>
      </c>
      <c r="E20" s="22">
        <f>IFERROR(ROUND(IF(B20&lt;2,"N/A",(IF(C20&lt;=25%,"N/A",AVERAGE(I3:I17)))),2),"N/A")</f>
        <v>2996.57</v>
      </c>
      <c r="F20" s="22">
        <f>ROUND(MEDIAN(H3:H17),2)</f>
        <v>3422</v>
      </c>
      <c r="G20" s="23" t="str">
        <f>INDEX(G3:G17,MATCH(H20,H3:H17,0))</f>
        <v>MENOR LANCE PE 08/22 comando da marinha</v>
      </c>
      <c r="H20" s="24">
        <f>MIN(H3:H17)</f>
        <v>1280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2996.57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149828.5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5" sqref="G1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160</v>
      </c>
      <c r="C3" s="62" t="s">
        <v>10</v>
      </c>
      <c r="D3" s="63">
        <v>50</v>
      </c>
      <c r="E3" s="64">
        <f>IF(C20&lt;=25%,D20,MIN(E20:F20))</f>
        <v>2065.19</v>
      </c>
      <c r="F3" s="64">
        <f>MIN(H3:H17)</f>
        <v>1537.37</v>
      </c>
      <c r="G3" s="6" t="s">
        <v>163</v>
      </c>
      <c r="H3" s="7">
        <v>2593</v>
      </c>
      <c r="I3" s="8">
        <f t="shared" ref="I3:I17" si="0">IF(H3="","",(IF($C$20&lt;25%,"N/A",IF(H3&lt;=($D$20+$A$20),H3,"Descartado"))))</f>
        <v>2593</v>
      </c>
    </row>
    <row r="4" spans="1:9">
      <c r="A4" s="60"/>
      <c r="B4" s="61"/>
      <c r="C4" s="62"/>
      <c r="D4" s="63"/>
      <c r="E4" s="64"/>
      <c r="F4" s="64"/>
      <c r="G4" s="6" t="s">
        <v>167</v>
      </c>
      <c r="H4" s="7">
        <v>1537.37</v>
      </c>
      <c r="I4" s="8">
        <f t="shared" si="0"/>
        <v>1537.37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746.44313142395481</v>
      </c>
      <c r="B20" s="19">
        <f>COUNT(H3:H17)</f>
        <v>2</v>
      </c>
      <c r="C20" s="20">
        <f>IF(B20&lt;2,"N/A",(A20/D20))</f>
        <v>0.36144041537289778</v>
      </c>
      <c r="D20" s="21">
        <f>ROUND(AVERAGE(H3:H17),2)</f>
        <v>2065.19</v>
      </c>
      <c r="E20" s="22">
        <f>IFERROR(ROUND(IF(B20&lt;2,"N/A",(IF(C20&lt;=25%,"N/A",AVERAGE(I3:I17)))),2),"N/A")</f>
        <v>2065.19</v>
      </c>
      <c r="F20" s="22">
        <f>ROUND(MEDIAN(H3:H17),2)</f>
        <v>2065.19</v>
      </c>
      <c r="G20" s="23" t="str">
        <f>INDEX(G3:G17,MATCH(H20,H3:H17,0))</f>
        <v>PROPOSTA TCNO 2000 ATUALIZADO</v>
      </c>
      <c r="H20" s="24">
        <f>MIN(H3:H17)</f>
        <v>1537.37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2065.19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103259.5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9" sqref="G9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54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161</v>
      </c>
      <c r="C3" s="62" t="s">
        <v>10</v>
      </c>
      <c r="D3" s="63">
        <v>20</v>
      </c>
      <c r="E3" s="64">
        <f>IF(C20&lt;=25%,D20,MIN(E20:F20))</f>
        <v>2226.08</v>
      </c>
      <c r="F3" s="64">
        <f>MIN(H3:H17)</f>
        <v>1628.4</v>
      </c>
      <c r="G3" s="6" t="s">
        <v>167</v>
      </c>
      <c r="H3" s="7">
        <v>1628.4</v>
      </c>
      <c r="I3" s="8">
        <f t="shared" ref="I3:I17" si="0">IF(H3="","",(IF($C$20&lt;25%,"N/A",IF(H3&lt;=($D$20+$A$20),H3,"Descartado"))))</f>
        <v>1628.4</v>
      </c>
    </row>
    <row r="4" spans="1:9">
      <c r="A4" s="60"/>
      <c r="B4" s="61"/>
      <c r="C4" s="62"/>
      <c r="D4" s="63"/>
      <c r="E4" s="64"/>
      <c r="F4" s="64"/>
      <c r="G4" s="6" t="s">
        <v>168</v>
      </c>
      <c r="H4" s="7">
        <v>2823.76</v>
      </c>
      <c r="I4" s="8">
        <f t="shared" si="0"/>
        <v>2823.76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845.24716195915312</v>
      </c>
      <c r="B20" s="19">
        <f>COUNT(H3:H17)</f>
        <v>2</v>
      </c>
      <c r="C20" s="20">
        <f>IF(B20&lt;2,"N/A",(A20/D20))</f>
        <v>0.37970206010527613</v>
      </c>
      <c r="D20" s="21">
        <f>ROUND(AVERAGE(H3:H17),2)</f>
        <v>2226.08</v>
      </c>
      <c r="E20" s="22">
        <f>IFERROR(ROUND(IF(B20&lt;2,"N/A",(IF(C20&lt;=25%,"N/A",AVERAGE(I3:I17)))),2),"N/A")</f>
        <v>2226.08</v>
      </c>
      <c r="F20" s="22">
        <f>ROUND(MEDIAN(H3:H17),2)</f>
        <v>2226.08</v>
      </c>
      <c r="G20" s="23" t="str">
        <f>INDEX(G3:G17,MATCH(H20,H3:H17,0))</f>
        <v>PROPOSTA TCNO 2000 ATUALIZADO</v>
      </c>
      <c r="H20" s="24">
        <f>MIN(H3:H17)</f>
        <v>1628.4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2226.08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44521.599999999999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56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57</v>
      </c>
      <c r="C3" s="62" t="s">
        <v>10</v>
      </c>
      <c r="D3" s="63">
        <v>200</v>
      </c>
      <c r="E3" s="64">
        <f>IF(C20&lt;=25%,D20,MIN(E20:F20))</f>
        <v>9.42</v>
      </c>
      <c r="F3" s="64">
        <f>MIN(H3:H17)</f>
        <v>6.9</v>
      </c>
      <c r="G3" s="6" t="s">
        <v>58</v>
      </c>
      <c r="H3" s="7">
        <v>6.9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59</v>
      </c>
      <c r="H4" s="7">
        <v>7.8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 t="s">
        <v>60</v>
      </c>
      <c r="H5" s="7">
        <v>7.88</v>
      </c>
      <c r="I5" s="8" t="str">
        <f t="shared" si="0"/>
        <v>N/A</v>
      </c>
    </row>
    <row r="6" spans="1:9">
      <c r="A6" s="60"/>
      <c r="B6" s="61"/>
      <c r="C6" s="62"/>
      <c r="D6" s="63"/>
      <c r="E6" s="64"/>
      <c r="F6" s="64"/>
      <c r="G6" s="6" t="s">
        <v>61</v>
      </c>
      <c r="H6" s="7">
        <v>8.1999999999999993</v>
      </c>
      <c r="I6" s="8" t="str">
        <f t="shared" si="0"/>
        <v>N/A</v>
      </c>
    </row>
    <row r="7" spans="1:9">
      <c r="A7" s="60"/>
      <c r="B7" s="61"/>
      <c r="C7" s="62"/>
      <c r="D7" s="63"/>
      <c r="E7" s="64"/>
      <c r="F7" s="64"/>
      <c r="G7" s="6" t="s">
        <v>47</v>
      </c>
      <c r="H7" s="7">
        <v>9.98</v>
      </c>
      <c r="I7" s="8" t="str">
        <f t="shared" si="0"/>
        <v>N/A</v>
      </c>
    </row>
    <row r="8" spans="1:9">
      <c r="A8" s="60"/>
      <c r="B8" s="61"/>
      <c r="C8" s="62"/>
      <c r="D8" s="63"/>
      <c r="E8" s="64"/>
      <c r="F8" s="64"/>
      <c r="G8" s="6" t="s">
        <v>34</v>
      </c>
      <c r="H8" s="7">
        <v>10</v>
      </c>
      <c r="I8" s="8" t="str">
        <f t="shared" si="0"/>
        <v>N/A</v>
      </c>
    </row>
    <row r="9" spans="1:9">
      <c r="A9" s="60"/>
      <c r="B9" s="61"/>
      <c r="C9" s="62"/>
      <c r="D9" s="63"/>
      <c r="E9" s="64"/>
      <c r="F9" s="64"/>
      <c r="G9" s="6" t="s">
        <v>62</v>
      </c>
      <c r="H9" s="7">
        <v>10.28</v>
      </c>
      <c r="I9" s="8" t="str">
        <f t="shared" si="0"/>
        <v>N/A</v>
      </c>
    </row>
    <row r="10" spans="1:9">
      <c r="A10" s="60"/>
      <c r="B10" s="61"/>
      <c r="C10" s="62"/>
      <c r="D10" s="63"/>
      <c r="E10" s="64"/>
      <c r="F10" s="64"/>
      <c r="G10" s="6" t="s">
        <v>63</v>
      </c>
      <c r="H10" s="7">
        <v>11.26</v>
      </c>
      <c r="I10" s="8" t="str">
        <f t="shared" si="0"/>
        <v>N/A</v>
      </c>
    </row>
    <row r="11" spans="1:9">
      <c r="A11" s="60"/>
      <c r="B11" s="61"/>
      <c r="C11" s="62"/>
      <c r="D11" s="63"/>
      <c r="E11" s="64"/>
      <c r="F11" s="64"/>
      <c r="G11" s="6" t="s">
        <v>64</v>
      </c>
      <c r="H11" s="7">
        <v>12.45</v>
      </c>
      <c r="I11" s="8" t="str">
        <f t="shared" si="0"/>
        <v>N/A</v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1.829986338746822</v>
      </c>
      <c r="B20" s="19">
        <f>COUNT(H3:H17)</f>
        <v>9</v>
      </c>
      <c r="C20" s="20">
        <f>IF(B20&lt;2,"N/A",(A20/D20))</f>
        <v>0.19426606568437602</v>
      </c>
      <c r="D20" s="21">
        <f>ROUND(AVERAGE(H3:H17),2)</f>
        <v>9.42</v>
      </c>
      <c r="E20" s="22" t="str">
        <f>IFERROR(ROUND(IF(B20&lt;2,"N/A",(IF(C20&lt;=25%,"N/A",AVERAGE(I3:I17)))),2),"N/A")</f>
        <v>N/A</v>
      </c>
      <c r="F20" s="22">
        <f>ROUND(MEDIAN(H3:H17),2)</f>
        <v>9.98</v>
      </c>
      <c r="G20" s="23" t="str">
        <f>INDEX(G3:G17,MATCH(H20,H3:H17,0))</f>
        <v>AAZ COMERCIAL EIRELI</v>
      </c>
      <c r="H20" s="24">
        <f>MIN(H3:H17)</f>
        <v>6.9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9.42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1884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65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66</v>
      </c>
      <c r="C3" s="62" t="s">
        <v>10</v>
      </c>
      <c r="D3" s="63">
        <v>400</v>
      </c>
      <c r="E3" s="64">
        <f>IF(C20&lt;=25%,D20,MIN(E20:F20))</f>
        <v>30.5</v>
      </c>
      <c r="F3" s="64">
        <f>MIN(H3:H17)</f>
        <v>27.98</v>
      </c>
      <c r="G3" s="6" t="s">
        <v>47</v>
      </c>
      <c r="H3" s="7">
        <v>27.98</v>
      </c>
      <c r="I3" s="8">
        <f t="shared" ref="I3:I17" si="0">IF(H3="","",(IF($C$20&lt;25%,"N/A",IF(H3&lt;=($D$20+$A$20),H3,"Descartado"))))</f>
        <v>27.98</v>
      </c>
    </row>
    <row r="4" spans="1:9">
      <c r="A4" s="60"/>
      <c r="B4" s="61"/>
      <c r="C4" s="62"/>
      <c r="D4" s="63"/>
      <c r="E4" s="64"/>
      <c r="F4" s="64"/>
      <c r="G4" s="6" t="s">
        <v>51</v>
      </c>
      <c r="H4" s="7">
        <v>29.45</v>
      </c>
      <c r="I4" s="8">
        <f t="shared" si="0"/>
        <v>29.45</v>
      </c>
    </row>
    <row r="5" spans="1:9">
      <c r="A5" s="60"/>
      <c r="B5" s="61"/>
      <c r="C5" s="62"/>
      <c r="D5" s="63"/>
      <c r="E5" s="64"/>
      <c r="F5" s="64"/>
      <c r="G5" s="6" t="s">
        <v>67</v>
      </c>
      <c r="H5" s="7">
        <v>31.56</v>
      </c>
      <c r="I5" s="8">
        <f t="shared" si="0"/>
        <v>31.56</v>
      </c>
    </row>
    <row r="6" spans="1:9">
      <c r="A6" s="60"/>
      <c r="B6" s="61"/>
      <c r="C6" s="62"/>
      <c r="D6" s="63"/>
      <c r="E6" s="64"/>
      <c r="F6" s="64"/>
      <c r="G6" s="6" t="s">
        <v>68</v>
      </c>
      <c r="H6" s="7">
        <v>33</v>
      </c>
      <c r="I6" s="8">
        <f t="shared" si="0"/>
        <v>33</v>
      </c>
    </row>
    <row r="7" spans="1:9">
      <c r="A7" s="60"/>
      <c r="B7" s="61"/>
      <c r="C7" s="62"/>
      <c r="D7" s="63"/>
      <c r="E7" s="64"/>
      <c r="F7" s="64"/>
      <c r="G7" s="6" t="s">
        <v>69</v>
      </c>
      <c r="H7" s="7">
        <v>52.9</v>
      </c>
      <c r="I7" s="8" t="str">
        <f t="shared" si="0"/>
        <v>Descartado</v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10.202010586154099</v>
      </c>
      <c r="B20" s="19">
        <f>COUNT(H3:H17)</f>
        <v>5</v>
      </c>
      <c r="C20" s="20">
        <f>IF(B20&lt;2,"N/A",(A20/D20))</f>
        <v>0.29165267541892798</v>
      </c>
      <c r="D20" s="21">
        <f>ROUND(AVERAGE(H3:H17),2)</f>
        <v>34.979999999999997</v>
      </c>
      <c r="E20" s="22">
        <f>IFERROR(ROUND(IF(B20&lt;2,"N/A",(IF(C20&lt;=25%,"N/A",AVERAGE(I3:I17)))),2),"N/A")</f>
        <v>30.5</v>
      </c>
      <c r="F20" s="22">
        <f>ROUND(MEDIAN(H3:H17),2)</f>
        <v>31.56</v>
      </c>
      <c r="G20" s="23" t="str">
        <f>INDEX(G3:G17,MATCH(H20,H3:H17,0))</f>
        <v>EASYTECH INFORMATICA E SERVICOS LTDA</v>
      </c>
      <c r="H20" s="24">
        <f>MIN(H3:H17)</f>
        <v>27.98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30.5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12200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70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71</v>
      </c>
      <c r="C3" s="62" t="s">
        <v>10</v>
      </c>
      <c r="D3" s="63">
        <v>500</v>
      </c>
      <c r="E3" s="64">
        <f>IF(C20&lt;=25%,D20,MIN(E20:F20))</f>
        <v>21.57</v>
      </c>
      <c r="F3" s="64">
        <f>MIN(H3:H17)</f>
        <v>19.899999999999999</v>
      </c>
      <c r="G3" s="6" t="s">
        <v>72</v>
      </c>
      <c r="H3" s="7">
        <v>19.899999999999999</v>
      </c>
      <c r="I3" s="8">
        <f t="shared" ref="I3:I17" si="0">IF(H3="","",(IF($C$20&lt;25%,"N/A",IF(H3&lt;=($D$20+$A$20),H3,"Descartado"))))</f>
        <v>19.899999999999999</v>
      </c>
    </row>
    <row r="4" spans="1:9">
      <c r="A4" s="60"/>
      <c r="B4" s="61"/>
      <c r="C4" s="62"/>
      <c r="D4" s="63"/>
      <c r="E4" s="64"/>
      <c r="F4" s="64"/>
      <c r="G4" s="6" t="s">
        <v>53</v>
      </c>
      <c r="H4" s="7">
        <v>22</v>
      </c>
      <c r="I4" s="8">
        <f t="shared" si="0"/>
        <v>22</v>
      </c>
    </row>
    <row r="5" spans="1:9">
      <c r="A5" s="60"/>
      <c r="B5" s="61"/>
      <c r="C5" s="62"/>
      <c r="D5" s="63"/>
      <c r="E5" s="64"/>
      <c r="F5" s="64"/>
      <c r="G5" s="6" t="s">
        <v>73</v>
      </c>
      <c r="H5" s="7">
        <v>22.8</v>
      </c>
      <c r="I5" s="8">
        <f t="shared" si="0"/>
        <v>22.8</v>
      </c>
    </row>
    <row r="6" spans="1:9">
      <c r="A6" s="60"/>
      <c r="B6" s="61"/>
      <c r="C6" s="62"/>
      <c r="D6" s="63"/>
      <c r="E6" s="64"/>
      <c r="F6" s="64"/>
      <c r="G6" s="6" t="s">
        <v>74</v>
      </c>
      <c r="H6" s="7">
        <v>35.64</v>
      </c>
      <c r="I6" s="8" t="str">
        <f t="shared" si="0"/>
        <v>Descartado</v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7.1421448692485416</v>
      </c>
      <c r="B20" s="19">
        <f>COUNT(H3:H17)</f>
        <v>4</v>
      </c>
      <c r="C20" s="20">
        <f>IF(B20&lt;2,"N/A",(A20/D20))</f>
        <v>0.28466101511552577</v>
      </c>
      <c r="D20" s="21">
        <f>ROUND(AVERAGE(H3:H17),2)</f>
        <v>25.09</v>
      </c>
      <c r="E20" s="22">
        <f>IFERROR(ROUND(IF(B20&lt;2,"N/A",(IF(C20&lt;=25%,"N/A",AVERAGE(I3:I17)))),2),"N/A")</f>
        <v>21.57</v>
      </c>
      <c r="F20" s="22">
        <f>ROUND(MEDIAN(H3:H17),2)</f>
        <v>22.4</v>
      </c>
      <c r="G20" s="23" t="str">
        <f>INDEX(G3:G17,MATCH(H20,H3:H17,0))</f>
        <v>MARIA DE FATIMA DA SILVA NUNES</v>
      </c>
      <c r="H20" s="24">
        <f>MIN(H3:H17)</f>
        <v>19.899999999999999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21.57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10785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75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76</v>
      </c>
      <c r="C3" s="62" t="s">
        <v>10</v>
      </c>
      <c r="D3" s="63">
        <v>500</v>
      </c>
      <c r="E3" s="64">
        <f>IF(C20&lt;=25%,D20,MIN(E20:F20))</f>
        <v>41.34</v>
      </c>
      <c r="F3" s="64">
        <f>MIN(H3:H17)</f>
        <v>28.98</v>
      </c>
      <c r="G3" s="34" t="s">
        <v>77</v>
      </c>
      <c r="H3" s="7">
        <v>28.98</v>
      </c>
      <c r="I3" s="8">
        <f t="shared" ref="I3:I17" si="0">IF(H3="","",(IF($C$20&lt;25%,"N/A",IF(H3&lt;=($D$20+$A$20),H3,"Descartado"))))</f>
        <v>28.98</v>
      </c>
    </row>
    <row r="4" spans="1:9">
      <c r="A4" s="60"/>
      <c r="B4" s="61"/>
      <c r="C4" s="62"/>
      <c r="D4" s="63"/>
      <c r="E4" s="64"/>
      <c r="F4" s="64"/>
      <c r="G4" s="6" t="s">
        <v>78</v>
      </c>
      <c r="H4" s="7">
        <v>53.69</v>
      </c>
      <c r="I4" s="8">
        <f t="shared" si="0"/>
        <v>53.69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17.472608563119575</v>
      </c>
      <c r="B20" s="19">
        <f>COUNT(H3:H17)</f>
        <v>2</v>
      </c>
      <c r="C20" s="20">
        <f>IF(B20&lt;2,"N/A",(A20/D20))</f>
        <v>0.42265623036089922</v>
      </c>
      <c r="D20" s="21">
        <f>ROUND(AVERAGE(H3:H17),2)</f>
        <v>41.34</v>
      </c>
      <c r="E20" s="22">
        <f>IFERROR(ROUND(IF(B20&lt;2,"N/A",(IF(C20&lt;=25%,"N/A",AVERAGE(I3:I17)))),2),"N/A")</f>
        <v>41.34</v>
      </c>
      <c r="F20" s="22">
        <f>ROUND(MEDIAN(H3:H17),2)</f>
        <v>41.34</v>
      </c>
      <c r="G20" s="23" t="str">
        <f>INDEX(G3:G17,MATCH(H20,H3:H17,0))</f>
        <v>ELETROQUIP COMERCIO E LICITACOES LTDA</v>
      </c>
      <c r="H20" s="24">
        <f>MIN(H3:H17)</f>
        <v>28.98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41.34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20670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79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80</v>
      </c>
      <c r="C3" s="62" t="s">
        <v>10</v>
      </c>
      <c r="D3" s="63">
        <v>2000</v>
      </c>
      <c r="E3" s="64">
        <f>IF(C20&lt;=25%,D20,MIN(E20:F20))</f>
        <v>33.79</v>
      </c>
      <c r="F3" s="64">
        <f>MIN(H3:H17)</f>
        <v>29</v>
      </c>
      <c r="G3" s="34" t="s">
        <v>11</v>
      </c>
      <c r="H3" s="7">
        <v>29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81</v>
      </c>
      <c r="H4" s="7">
        <v>29.9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 t="s">
        <v>29</v>
      </c>
      <c r="H5" s="7">
        <v>42.46</v>
      </c>
      <c r="I5" s="8" t="str">
        <f t="shared" si="0"/>
        <v>N/A</v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7.5247945708393393</v>
      </c>
      <c r="B20" s="19">
        <f>COUNT(H3:H17)</f>
        <v>3</v>
      </c>
      <c r="C20" s="20">
        <f>IF(B20&lt;2,"N/A",(A20/D20))</f>
        <v>0.22269294379518614</v>
      </c>
      <c r="D20" s="21">
        <f>ROUND(AVERAGE(H3:H17),2)</f>
        <v>33.79</v>
      </c>
      <c r="E20" s="22" t="str">
        <f>IFERROR(ROUND(IF(B20&lt;2,"N/A",(IF(C20&lt;=25%,"N/A",AVERAGE(I3:I17)))),2),"N/A")</f>
        <v>N/A</v>
      </c>
      <c r="F20" s="22">
        <f>ROUND(MEDIAN(H3:H17),2)</f>
        <v>29.9</v>
      </c>
      <c r="G20" s="23" t="str">
        <f>INDEX(G3:G17,MATCH(H20,H3:H17,0))</f>
        <v>AMERICANAS</v>
      </c>
      <c r="H20" s="24">
        <f>MIN(H3:H17)</f>
        <v>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33.79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67580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82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83</v>
      </c>
      <c r="C3" s="62" t="s">
        <v>10</v>
      </c>
      <c r="D3" s="63">
        <v>100</v>
      </c>
      <c r="E3" s="64">
        <f>IF(C20&lt;=25%,D20,MIN(E20:F20))</f>
        <v>89.99</v>
      </c>
      <c r="F3" s="64">
        <f>MIN(H3:H17)</f>
        <v>69.98</v>
      </c>
      <c r="G3" s="6" t="s">
        <v>84</v>
      </c>
      <c r="H3" s="7">
        <v>69.98</v>
      </c>
      <c r="I3" s="8">
        <f t="shared" ref="I3:I17" si="0">IF(H3="","",(IF($C$20&lt;25%,"N/A",IF(H3&lt;=($D$20+$A$20),H3,"Descartado"))))</f>
        <v>69.98</v>
      </c>
    </row>
    <row r="4" spans="1:9">
      <c r="A4" s="60"/>
      <c r="B4" s="61"/>
      <c r="C4" s="62"/>
      <c r="D4" s="63"/>
      <c r="E4" s="64"/>
      <c r="F4" s="64"/>
      <c r="G4" s="6" t="s">
        <v>85</v>
      </c>
      <c r="H4" s="7">
        <v>100</v>
      </c>
      <c r="I4" s="8">
        <f t="shared" si="0"/>
        <v>100</v>
      </c>
    </row>
    <row r="5" spans="1:9">
      <c r="A5" s="60"/>
      <c r="B5" s="61"/>
      <c r="C5" s="62"/>
      <c r="D5" s="63"/>
      <c r="E5" s="64"/>
      <c r="F5" s="64"/>
      <c r="G5" s="6" t="s">
        <v>86</v>
      </c>
      <c r="H5" s="7">
        <v>100</v>
      </c>
      <c r="I5" s="8">
        <f t="shared" si="0"/>
        <v>100</v>
      </c>
    </row>
    <row r="6" spans="1:9">
      <c r="A6" s="60"/>
      <c r="B6" s="61"/>
      <c r="C6" s="62"/>
      <c r="D6" s="63"/>
      <c r="E6" s="64"/>
      <c r="F6" s="64"/>
      <c r="G6" s="6" t="s">
        <v>87</v>
      </c>
      <c r="H6" s="7">
        <v>200</v>
      </c>
      <c r="I6" s="8" t="str">
        <f t="shared" si="0"/>
        <v>Descartado</v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56.794660253701061</v>
      </c>
      <c r="B20" s="19">
        <f>COUNT(H3:H17)</f>
        <v>4</v>
      </c>
      <c r="C20" s="20">
        <f>IF(B20&lt;2,"N/A",(A20/D20))</f>
        <v>0.48335881066979625</v>
      </c>
      <c r="D20" s="21">
        <f>ROUND(AVERAGE(H3:H17),2)</f>
        <v>117.5</v>
      </c>
      <c r="E20" s="22">
        <f>IFERROR(ROUND(IF(B20&lt;2,"N/A",(IF(C20&lt;=25%,"N/A",AVERAGE(I3:I17)))),2),"N/A")</f>
        <v>89.99</v>
      </c>
      <c r="F20" s="22">
        <f>ROUND(MEDIAN(H3:H17),2)</f>
        <v>100</v>
      </c>
      <c r="G20" s="23" t="str">
        <f>INDEX(G3:G17,MATCH(H20,H3:H17,0))</f>
        <v>ANGRA PRODUCOES EIRELI</v>
      </c>
      <c r="H20" s="24">
        <f>MIN(H3:H17)</f>
        <v>69.98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89.99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8999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3" sqref="H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142</v>
      </c>
      <c r="C3" s="62" t="s">
        <v>10</v>
      </c>
      <c r="D3" s="63">
        <v>200</v>
      </c>
      <c r="E3" s="64">
        <f>IF(C20&lt;=25%,D20,MIN(E20:F20))</f>
        <v>2510.5</v>
      </c>
      <c r="F3" s="64">
        <f>MIN(H3:H17)</f>
        <v>2297</v>
      </c>
      <c r="G3" s="6" t="s">
        <v>162</v>
      </c>
      <c r="H3" s="7">
        <v>2724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2297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301.93459556665579</v>
      </c>
      <c r="B20" s="19">
        <f>COUNT(H3:H17)</f>
        <v>2</v>
      </c>
      <c r="C20" s="20">
        <f>IF(B20&lt;2,"N/A",(A20/D20))</f>
        <v>0.1202687096461485</v>
      </c>
      <c r="D20" s="21">
        <f>ROUND(AVERAGE(H3:H17),2)</f>
        <v>2510.5</v>
      </c>
      <c r="E20" s="22" t="str">
        <f>IFERROR(ROUND(IF(B20&lt;2,"N/A",(IF(C20&lt;=25%,"N/A",AVERAGE(I3:I17)))),2),"N/A")</f>
        <v>N/A</v>
      </c>
      <c r="F20" s="22">
        <f>ROUND(MEDIAN(H3:H17),2)</f>
        <v>2510.5</v>
      </c>
      <c r="G20" s="23" t="str">
        <f>INDEX(G3:G17,MATCH(H20,H3:H17,0))</f>
        <v>FLEXIBASE</v>
      </c>
      <c r="H20" s="24">
        <f>MIN(H3:H17)</f>
        <v>2297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2510.5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502100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88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89</v>
      </c>
      <c r="C3" s="62" t="s">
        <v>90</v>
      </c>
      <c r="D3" s="63">
        <v>600</v>
      </c>
      <c r="E3" s="64">
        <f>IF(C20&lt;=25%,D20,MIN(E20:F20))</f>
        <v>2.29</v>
      </c>
      <c r="F3" s="64">
        <f>MIN(H3:H17)</f>
        <v>1.51</v>
      </c>
      <c r="G3" s="6" t="s">
        <v>91</v>
      </c>
      <c r="H3" s="7">
        <v>1.51</v>
      </c>
      <c r="I3" s="8">
        <f t="shared" ref="I3:I17" si="0">IF(H3="","",(IF($C$20&lt;25%,"N/A",IF(H3&lt;=($D$20+$A$20),H3,"Descartado"))))</f>
        <v>1.51</v>
      </c>
    </row>
    <row r="4" spans="1:9">
      <c r="A4" s="60"/>
      <c r="B4" s="61"/>
      <c r="C4" s="62"/>
      <c r="D4" s="63"/>
      <c r="E4" s="64"/>
      <c r="F4" s="64"/>
      <c r="G4" s="6" t="s">
        <v>92</v>
      </c>
      <c r="H4" s="7">
        <v>1.9</v>
      </c>
      <c r="I4" s="8">
        <f t="shared" si="0"/>
        <v>1.9</v>
      </c>
    </row>
    <row r="5" spans="1:9">
      <c r="A5" s="60"/>
      <c r="B5" s="61"/>
      <c r="C5" s="62"/>
      <c r="D5" s="63"/>
      <c r="E5" s="64"/>
      <c r="F5" s="64"/>
      <c r="G5" s="6" t="s">
        <v>93</v>
      </c>
      <c r="H5" s="7">
        <v>2</v>
      </c>
      <c r="I5" s="8">
        <f t="shared" si="0"/>
        <v>2</v>
      </c>
    </row>
    <row r="6" spans="1:9">
      <c r="A6" s="60"/>
      <c r="B6" s="61"/>
      <c r="C6" s="62"/>
      <c r="D6" s="63"/>
      <c r="E6" s="64"/>
      <c r="F6" s="64"/>
      <c r="G6" s="6" t="s">
        <v>94</v>
      </c>
      <c r="H6" s="7">
        <v>2.5</v>
      </c>
      <c r="I6" s="8">
        <f t="shared" si="0"/>
        <v>2.5</v>
      </c>
    </row>
    <row r="7" spans="1:9">
      <c r="A7" s="60"/>
      <c r="B7" s="61"/>
      <c r="C7" s="62"/>
      <c r="D7" s="63"/>
      <c r="E7" s="64"/>
      <c r="F7" s="64"/>
      <c r="G7" s="6" t="s">
        <v>95</v>
      </c>
      <c r="H7" s="7">
        <v>2.5299999999999998</v>
      </c>
      <c r="I7" s="8">
        <f t="shared" si="0"/>
        <v>2.5299999999999998</v>
      </c>
    </row>
    <row r="8" spans="1:9">
      <c r="A8" s="60"/>
      <c r="B8" s="61"/>
      <c r="C8" s="62"/>
      <c r="D8" s="63"/>
      <c r="E8" s="64"/>
      <c r="F8" s="64"/>
      <c r="G8" s="6" t="s">
        <v>96</v>
      </c>
      <c r="H8" s="7">
        <v>3.3</v>
      </c>
      <c r="I8" s="8">
        <f t="shared" si="0"/>
        <v>3.3</v>
      </c>
    </row>
    <row r="9" spans="1:9">
      <c r="A9" s="60"/>
      <c r="B9" s="61"/>
      <c r="C9" s="62"/>
      <c r="D9" s="63"/>
      <c r="E9" s="64"/>
      <c r="F9" s="64"/>
      <c r="G9" s="6" t="s">
        <v>97</v>
      </c>
      <c r="H9" s="7">
        <v>3.44</v>
      </c>
      <c r="I9" s="8" t="str">
        <f t="shared" si="0"/>
        <v>Descartado</v>
      </c>
    </row>
    <row r="10" spans="1:9">
      <c r="A10" s="60"/>
      <c r="B10" s="61"/>
      <c r="C10" s="62"/>
      <c r="D10" s="63"/>
      <c r="E10" s="64"/>
      <c r="F10" s="64"/>
      <c r="G10" s="6" t="s">
        <v>55</v>
      </c>
      <c r="H10" s="7">
        <v>3.54</v>
      </c>
      <c r="I10" s="8" t="str">
        <f t="shared" si="0"/>
        <v>Descartado</v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0.76824475266675329</v>
      </c>
      <c r="B20" s="19">
        <f>COUNT(H3:H17)</f>
        <v>8</v>
      </c>
      <c r="C20" s="20">
        <f>IF(B20&lt;2,"N/A",(A20/D20))</f>
        <v>0.29661959562422907</v>
      </c>
      <c r="D20" s="21">
        <f>ROUND(AVERAGE(H3:H17),2)</f>
        <v>2.59</v>
      </c>
      <c r="E20" s="22">
        <f>IFERROR(ROUND(IF(B20&lt;2,"N/A",(IF(C20&lt;=25%,"N/A",AVERAGE(I3:I17)))),2),"N/A")</f>
        <v>2.29</v>
      </c>
      <c r="F20" s="22">
        <f>ROUND(MEDIAN(H3:H17),2)</f>
        <v>2.52</v>
      </c>
      <c r="G20" s="23" t="str">
        <f>INDEX(G3:G17,MATCH(H20,H3:H17,0))</f>
        <v>W. A DOS SANTOS RIVEIRA COMERCIO E SERVICOS</v>
      </c>
      <c r="H20" s="24">
        <f>MIN(H3:H17)</f>
        <v>1.51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2.29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1374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98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99</v>
      </c>
      <c r="C3" s="62" t="s">
        <v>90</v>
      </c>
      <c r="D3" s="63">
        <v>600</v>
      </c>
      <c r="E3" s="64">
        <f>IF(C20&lt;=25%,D20,MIN(E20:F20))</f>
        <v>4.1500000000000004</v>
      </c>
      <c r="F3" s="64">
        <f>MIN(H3:H17)</f>
        <v>2.14</v>
      </c>
      <c r="G3" s="6" t="s">
        <v>100</v>
      </c>
      <c r="H3" s="7">
        <v>2.14</v>
      </c>
      <c r="I3" s="8">
        <f t="shared" ref="I3:I17" si="0">IF(H3="","",(IF($C$20&lt;25%,"N/A",IF(H3&lt;=($D$20+$A$20),H3,"Descartado"))))</f>
        <v>2.14</v>
      </c>
    </row>
    <row r="4" spans="1:9">
      <c r="A4" s="60"/>
      <c r="B4" s="61"/>
      <c r="C4" s="62"/>
      <c r="D4" s="63"/>
      <c r="E4" s="64"/>
      <c r="F4" s="64"/>
      <c r="G4" s="6" t="s">
        <v>101</v>
      </c>
      <c r="H4" s="7">
        <v>2.65</v>
      </c>
      <c r="I4" s="8">
        <f t="shared" si="0"/>
        <v>2.65</v>
      </c>
    </row>
    <row r="5" spans="1:9">
      <c r="A5" s="60"/>
      <c r="B5" s="61"/>
      <c r="C5" s="62"/>
      <c r="D5" s="63"/>
      <c r="E5" s="64"/>
      <c r="F5" s="64"/>
      <c r="G5" s="6" t="s">
        <v>91</v>
      </c>
      <c r="H5" s="7">
        <v>3.12</v>
      </c>
      <c r="I5" s="8">
        <f t="shared" si="0"/>
        <v>3.12</v>
      </c>
    </row>
    <row r="6" spans="1:9">
      <c r="A6" s="60"/>
      <c r="B6" s="61"/>
      <c r="C6" s="62"/>
      <c r="D6" s="63"/>
      <c r="E6" s="64"/>
      <c r="F6" s="64"/>
      <c r="G6" s="6" t="s">
        <v>94</v>
      </c>
      <c r="H6" s="7">
        <v>5</v>
      </c>
      <c r="I6" s="8">
        <f t="shared" si="0"/>
        <v>5</v>
      </c>
    </row>
    <row r="7" spans="1:9">
      <c r="A7" s="60"/>
      <c r="B7" s="61"/>
      <c r="C7" s="62"/>
      <c r="D7" s="63"/>
      <c r="E7" s="64"/>
      <c r="F7" s="64"/>
      <c r="G7" s="6" t="s">
        <v>102</v>
      </c>
      <c r="H7" s="7">
        <v>5.26</v>
      </c>
      <c r="I7" s="8">
        <f t="shared" si="0"/>
        <v>5.26</v>
      </c>
    </row>
    <row r="8" spans="1:9">
      <c r="A8" s="60"/>
      <c r="B8" s="61"/>
      <c r="C8" s="62"/>
      <c r="D8" s="63"/>
      <c r="E8" s="64"/>
      <c r="F8" s="64"/>
      <c r="G8" s="6" t="s">
        <v>103</v>
      </c>
      <c r="H8" s="7">
        <v>5.4</v>
      </c>
      <c r="I8" s="8">
        <f t="shared" si="0"/>
        <v>5.4</v>
      </c>
    </row>
    <row r="9" spans="1:9">
      <c r="A9" s="60"/>
      <c r="B9" s="61"/>
      <c r="C9" s="62"/>
      <c r="D9" s="63"/>
      <c r="E9" s="64"/>
      <c r="F9" s="64"/>
      <c r="G9" s="6" t="s">
        <v>104</v>
      </c>
      <c r="H9" s="7">
        <v>5.5</v>
      </c>
      <c r="I9" s="8">
        <f t="shared" si="0"/>
        <v>5.5</v>
      </c>
    </row>
    <row r="10" spans="1:9">
      <c r="A10" s="60"/>
      <c r="B10" s="61"/>
      <c r="C10" s="62"/>
      <c r="D10" s="63"/>
      <c r="E10" s="64"/>
      <c r="F10" s="64"/>
      <c r="G10" s="6" t="s">
        <v>105</v>
      </c>
      <c r="H10" s="7">
        <v>6</v>
      </c>
      <c r="I10" s="8" t="str">
        <f t="shared" si="0"/>
        <v>Descartado</v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1.496471445004643</v>
      </c>
      <c r="B20" s="19">
        <f>COUNT(H3:H17)</f>
        <v>8</v>
      </c>
      <c r="C20" s="20">
        <f>IF(B20&lt;2,"N/A",(A20/D20))</f>
        <v>0.34166014726133404</v>
      </c>
      <c r="D20" s="21">
        <f>ROUND(AVERAGE(H3:H17),2)</f>
        <v>4.38</v>
      </c>
      <c r="E20" s="22">
        <f>IFERROR(ROUND(IF(B20&lt;2,"N/A",(IF(C20&lt;=25%,"N/A",AVERAGE(I3:I17)))),2),"N/A")</f>
        <v>4.1500000000000004</v>
      </c>
      <c r="F20" s="22">
        <f>ROUND(MEDIAN(H3:H17),2)</f>
        <v>5.13</v>
      </c>
      <c r="G20" s="23" t="str">
        <f>INDEX(G3:G17,MATCH(H20,H3:H17,0))</f>
        <v>ONLINE COMERCIO IMPORTACAO E EXPORTACAO EIRELI</v>
      </c>
      <c r="H20" s="24">
        <f>MIN(H3:H17)</f>
        <v>2.14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4.1500000000000004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2490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106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107</v>
      </c>
      <c r="C3" s="62" t="s">
        <v>10</v>
      </c>
      <c r="D3" s="63">
        <v>200</v>
      </c>
      <c r="E3" s="64">
        <f>IF(C20&lt;=25%,D20,MIN(E20:F20))</f>
        <v>7.87</v>
      </c>
      <c r="F3" s="64">
        <f>MIN(H3:H17)</f>
        <v>6.03</v>
      </c>
      <c r="G3" s="6" t="s">
        <v>108</v>
      </c>
      <c r="H3" s="7">
        <v>6.03</v>
      </c>
      <c r="I3" s="8">
        <f t="shared" ref="I3:I17" si="0">IF(H3="","",(IF($C$20&lt;25%,"N/A",IF(H3&lt;=($D$20+$A$20),H3,"Descartado"))))</f>
        <v>6.03</v>
      </c>
    </row>
    <row r="4" spans="1:9">
      <c r="A4" s="60"/>
      <c r="B4" s="61"/>
      <c r="C4" s="62"/>
      <c r="D4" s="63"/>
      <c r="E4" s="64"/>
      <c r="F4" s="64"/>
      <c r="G4" s="6" t="s">
        <v>94</v>
      </c>
      <c r="H4" s="7">
        <v>6.5</v>
      </c>
      <c r="I4" s="8">
        <f t="shared" si="0"/>
        <v>6.5</v>
      </c>
    </row>
    <row r="5" spans="1:9">
      <c r="A5" s="60"/>
      <c r="B5" s="61"/>
      <c r="C5" s="62"/>
      <c r="D5" s="63"/>
      <c r="E5" s="64"/>
      <c r="F5" s="64"/>
      <c r="G5" s="6" t="s">
        <v>95</v>
      </c>
      <c r="H5" s="7">
        <v>7.1</v>
      </c>
      <c r="I5" s="8">
        <f t="shared" si="0"/>
        <v>7.1</v>
      </c>
    </row>
    <row r="6" spans="1:9">
      <c r="A6" s="60"/>
      <c r="B6" s="61"/>
      <c r="C6" s="62"/>
      <c r="D6" s="63"/>
      <c r="E6" s="64"/>
      <c r="F6" s="64"/>
      <c r="G6" s="6" t="s">
        <v>109</v>
      </c>
      <c r="H6" s="7">
        <v>7.8</v>
      </c>
      <c r="I6" s="8">
        <f t="shared" si="0"/>
        <v>7.8</v>
      </c>
    </row>
    <row r="7" spans="1:9">
      <c r="A7" s="60"/>
      <c r="B7" s="61"/>
      <c r="C7" s="62"/>
      <c r="D7" s="63"/>
      <c r="E7" s="64"/>
      <c r="F7" s="64"/>
      <c r="G7" s="6" t="s">
        <v>110</v>
      </c>
      <c r="H7" s="7">
        <v>7.87</v>
      </c>
      <c r="I7" s="8">
        <f t="shared" si="0"/>
        <v>7.87</v>
      </c>
    </row>
    <row r="8" spans="1:9">
      <c r="A8" s="60"/>
      <c r="B8" s="61"/>
      <c r="C8" s="62"/>
      <c r="D8" s="63"/>
      <c r="E8" s="64"/>
      <c r="F8" s="64"/>
      <c r="G8" s="6" t="s">
        <v>111</v>
      </c>
      <c r="H8" s="7">
        <v>8.5</v>
      </c>
      <c r="I8" s="8">
        <f t="shared" si="0"/>
        <v>8.5</v>
      </c>
    </row>
    <row r="9" spans="1:9">
      <c r="A9" s="60"/>
      <c r="B9" s="61"/>
      <c r="C9" s="62"/>
      <c r="D9" s="63"/>
      <c r="E9" s="64"/>
      <c r="F9" s="64"/>
      <c r="G9" s="6" t="s">
        <v>105</v>
      </c>
      <c r="H9" s="7">
        <v>10.27</v>
      </c>
      <c r="I9" s="8">
        <f t="shared" si="0"/>
        <v>10.27</v>
      </c>
    </row>
    <row r="10" spans="1:9">
      <c r="A10" s="60"/>
      <c r="B10" s="61"/>
      <c r="C10" s="62"/>
      <c r="D10" s="63"/>
      <c r="E10" s="64"/>
      <c r="F10" s="64"/>
      <c r="G10" s="6" t="s">
        <v>112</v>
      </c>
      <c r="H10" s="7">
        <v>11.49</v>
      </c>
      <c r="I10" s="8">
        <f t="shared" si="0"/>
        <v>11.49</v>
      </c>
    </row>
    <row r="11" spans="1:9">
      <c r="A11" s="60"/>
      <c r="B11" s="61"/>
      <c r="C11" s="62"/>
      <c r="D11" s="63"/>
      <c r="E11" s="64"/>
      <c r="F11" s="64"/>
      <c r="G11" s="6" t="s">
        <v>113</v>
      </c>
      <c r="H11" s="7">
        <v>14.8</v>
      </c>
      <c r="I11" s="8" t="str">
        <f t="shared" si="0"/>
        <v>Descartado</v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2.8074741514591204</v>
      </c>
      <c r="B20" s="19">
        <f>COUNT(H3:H17)</f>
        <v>9</v>
      </c>
      <c r="C20" s="20">
        <f>IF(B20&lt;2,"N/A",(A20/D20))</f>
        <v>0.3143868030749295</v>
      </c>
      <c r="D20" s="21">
        <f>ROUND(AVERAGE(H3:H17),2)</f>
        <v>8.93</v>
      </c>
      <c r="E20" s="22">
        <f>IFERROR(ROUND(IF(B20&lt;2,"N/A",(IF(C20&lt;=25%,"N/A",AVERAGE(I3:I17)))),2),"N/A")</f>
        <v>8.1999999999999993</v>
      </c>
      <c r="F20" s="22">
        <f>ROUND(MEDIAN(H3:H17),2)</f>
        <v>7.87</v>
      </c>
      <c r="G20" s="23" t="str">
        <f>INDEX(G3:G17,MATCH(H20,H3:H17,0))</f>
        <v>SUPRY OFFICE DISTRIBUIDORA DE MATERIAIS E SERVICOS LTDA</v>
      </c>
      <c r="H20" s="24">
        <f>MIN(H3:H17)</f>
        <v>6.03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7.87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1574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B1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114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115</v>
      </c>
      <c r="C3" s="62" t="s">
        <v>10</v>
      </c>
      <c r="D3" s="63">
        <v>200</v>
      </c>
      <c r="E3" s="64">
        <f>IF(C20&lt;=25%,D20,MIN(E20:F20))</f>
        <v>248.86</v>
      </c>
      <c r="F3" s="64">
        <f>MIN(H3:H17)</f>
        <v>219</v>
      </c>
      <c r="G3" s="6" t="s">
        <v>116</v>
      </c>
      <c r="H3" s="7">
        <v>219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117</v>
      </c>
      <c r="H4" s="7">
        <v>234.3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 t="s">
        <v>118</v>
      </c>
      <c r="H5" s="7">
        <v>264</v>
      </c>
      <c r="I5" s="8" t="str">
        <f t="shared" si="0"/>
        <v>N/A</v>
      </c>
    </row>
    <row r="6" spans="1:9">
      <c r="A6" s="60"/>
      <c r="B6" s="61"/>
      <c r="C6" s="62"/>
      <c r="D6" s="63"/>
      <c r="E6" s="64"/>
      <c r="F6" s="64"/>
      <c r="G6" s="6" t="s">
        <v>119</v>
      </c>
      <c r="H6" s="7">
        <v>278.14</v>
      </c>
      <c r="I6" s="8" t="str">
        <f t="shared" si="0"/>
        <v>N/A</v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27.019444849959438</v>
      </c>
      <c r="B20" s="19">
        <f>COUNT(H3:H17)</f>
        <v>4</v>
      </c>
      <c r="C20" s="20">
        <f>IF(B20&lt;2,"N/A",(A20/D20))</f>
        <v>0.10857287169476589</v>
      </c>
      <c r="D20" s="21">
        <f>ROUND(AVERAGE(H3:H17),2)</f>
        <v>248.86</v>
      </c>
      <c r="E20" s="22" t="str">
        <f>IFERROR(ROUND(IF(B20&lt;2,"N/A",(IF(C20&lt;=25%,"N/A",AVERAGE(I3:I17)))),2),"N/A")</f>
        <v>N/A</v>
      </c>
      <c r="F20" s="22">
        <f>ROUND(MEDIAN(H3:H17),2)</f>
        <v>249.15</v>
      </c>
      <c r="G20" s="23" t="str">
        <f>INDEX(G3:G17,MATCH(H20,H3:H17,0))</f>
        <v>BRAZIL IT SOLUCOES EM INFORMATICA LTDA</v>
      </c>
      <c r="H20" s="24">
        <f>MIN(H3:H17)</f>
        <v>219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248.86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49772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18" sqref="D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5" sqref="G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145</v>
      </c>
      <c r="C3" s="62" t="s">
        <v>10</v>
      </c>
      <c r="D3" s="63">
        <v>200</v>
      </c>
      <c r="E3" s="64">
        <f>IF(C20&lt;=25%,D20,MIN(E20:F20))</f>
        <v>1517.67</v>
      </c>
      <c r="F3" s="64">
        <f>MIN(H3:H17)</f>
        <v>1344</v>
      </c>
      <c r="G3" s="6" t="s">
        <v>162</v>
      </c>
      <c r="H3" s="7">
        <v>1709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1344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 t="s">
        <v>166</v>
      </c>
      <c r="H5" s="7">
        <v>1500</v>
      </c>
      <c r="I5" s="8" t="str">
        <f t="shared" si="0"/>
        <v>N/A</v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183.14020130308182</v>
      </c>
      <c r="B20" s="19">
        <f>COUNT(H3:H17)</f>
        <v>3</v>
      </c>
      <c r="C20" s="20">
        <f>IF(B20&lt;2,"N/A",(A20/D20))</f>
        <v>0.12067195194151681</v>
      </c>
      <c r="D20" s="21">
        <f>ROUND(AVERAGE(H3:H17),2)</f>
        <v>1517.67</v>
      </c>
      <c r="E20" s="22" t="str">
        <f>IFERROR(ROUND(IF(B20&lt;2,"N/A",(IF(C20&lt;=25%,"N/A",AVERAGE(I3:I17)))),2),"N/A")</f>
        <v>N/A</v>
      </c>
      <c r="F20" s="22">
        <f>ROUND(MEDIAN(H3:H17),2)</f>
        <v>1500</v>
      </c>
      <c r="G20" s="23" t="str">
        <f>INDEX(G3:G17,MATCH(H20,H3:H17,0))</f>
        <v>FLEXIBASE</v>
      </c>
      <c r="H20" s="24">
        <f>MIN(H3:H17)</f>
        <v>1344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1517.67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303534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130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/>
      <c r="C3" s="62" t="s">
        <v>10</v>
      </c>
      <c r="D3" s="63"/>
      <c r="E3" s="64" t="e">
        <f>IF(C20&lt;=25%,D20,MIN(E20:F20))</f>
        <v>#NUM!</v>
      </c>
      <c r="F3" s="64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60"/>
      <c r="B4" s="61"/>
      <c r="C4" s="62"/>
      <c r="D4" s="63"/>
      <c r="E4" s="64"/>
      <c r="F4" s="64"/>
      <c r="G4" s="6"/>
      <c r="H4" s="7"/>
      <c r="I4" s="8" t="str">
        <f t="shared" si="0"/>
        <v/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66"/>
      <c r="E23" s="66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"/>
  <sheetViews>
    <sheetView view="pageBreakPreview" zoomScaleNormal="100" zoomScaleSheetLayoutView="100" workbookViewId="0">
      <selection activeCell="C12" sqref="C12"/>
    </sheetView>
  </sheetViews>
  <sheetFormatPr defaultColWidth="9.28515625" defaultRowHeight="12.75"/>
  <cols>
    <col min="1" max="1" width="9.28515625" customWidth="1"/>
    <col min="2" max="2" width="9.140625" style="35" customWidth="1"/>
    <col min="3" max="3" width="86.85546875" style="35" customWidth="1"/>
    <col min="4" max="6" width="13.28515625" style="35" customWidth="1"/>
    <col min="7" max="8" width="17.28515625" style="35" customWidth="1"/>
    <col min="9" max="15" width="9.140625" style="36" customWidth="1"/>
    <col min="16" max="65" width="9.140625" style="35" customWidth="1"/>
    <col min="1025" max="1026" width="11.5703125" customWidth="1"/>
  </cols>
  <sheetData>
    <row r="1" spans="1:8" ht="12.75" customHeight="1">
      <c r="B1" s="37"/>
      <c r="C1" s="38"/>
      <c r="D1" s="39"/>
      <c r="E1" s="39"/>
      <c r="F1" s="39"/>
      <c r="G1" s="39"/>
      <c r="H1" s="39"/>
    </row>
    <row r="2" spans="1:8" ht="12.75" customHeight="1">
      <c r="B2" s="37"/>
      <c r="C2" s="38"/>
      <c r="D2" s="39"/>
      <c r="E2" s="39"/>
      <c r="F2" s="39"/>
      <c r="G2" s="39"/>
      <c r="H2" s="39"/>
    </row>
    <row r="3" spans="1:8" ht="12.75" customHeight="1">
      <c r="B3" s="37"/>
      <c r="C3" s="38"/>
      <c r="D3" s="39"/>
      <c r="E3" s="39"/>
      <c r="F3" s="39"/>
      <c r="G3" s="39"/>
      <c r="H3" s="39"/>
    </row>
    <row r="4" spans="1:8" ht="12.75" customHeight="1">
      <c r="B4" s="37"/>
      <c r="C4" s="38"/>
      <c r="D4" s="39"/>
      <c r="E4" s="39"/>
      <c r="F4" s="39"/>
      <c r="G4" s="39"/>
      <c r="H4" s="39"/>
    </row>
    <row r="5" spans="1:8" ht="12.75" customHeight="1">
      <c r="B5" s="69"/>
      <c r="C5" s="69"/>
      <c r="D5" s="69"/>
      <c r="E5" s="69"/>
      <c r="F5" s="69"/>
      <c r="G5" s="69"/>
      <c r="H5" s="48"/>
    </row>
    <row r="6" spans="1:8" ht="12.75" customHeight="1">
      <c r="B6" s="69"/>
      <c r="C6" s="69"/>
      <c r="D6" s="69"/>
      <c r="E6" s="69"/>
      <c r="F6" s="69"/>
      <c r="G6" s="69"/>
      <c r="H6" s="48"/>
    </row>
    <row r="7" spans="1:8" ht="12.75" customHeight="1">
      <c r="B7" s="37"/>
      <c r="C7" s="38"/>
      <c r="D7" s="39"/>
      <c r="E7" s="39"/>
      <c r="F7" s="39"/>
      <c r="G7" s="39"/>
      <c r="H7" s="39"/>
    </row>
    <row r="8" spans="1:8" ht="15.75" customHeight="1">
      <c r="A8" s="74" t="s">
        <v>131</v>
      </c>
      <c r="B8" s="75"/>
      <c r="C8" s="75"/>
      <c r="D8" s="75"/>
      <c r="E8" s="75"/>
      <c r="F8" s="75"/>
      <c r="G8" s="75"/>
      <c r="H8" s="76"/>
    </row>
    <row r="9" spans="1:8" ht="25.5">
      <c r="A9" s="55" t="s">
        <v>169</v>
      </c>
      <c r="B9" s="49" t="s">
        <v>132</v>
      </c>
      <c r="C9" s="40" t="s">
        <v>133</v>
      </c>
      <c r="D9" s="40" t="s">
        <v>134</v>
      </c>
      <c r="E9" s="40" t="s">
        <v>135</v>
      </c>
      <c r="F9" s="40" t="s">
        <v>136</v>
      </c>
      <c r="G9" s="53" t="s">
        <v>137</v>
      </c>
      <c r="H9" s="54" t="s">
        <v>170</v>
      </c>
    </row>
    <row r="10" spans="1:8">
      <c r="A10" s="71">
        <v>1</v>
      </c>
      <c r="B10" s="50">
        <v>1</v>
      </c>
      <c r="C10" s="42" t="str">
        <f>Item1!B3</f>
        <v>Mesa de escritório com tampo em formato “L”</v>
      </c>
      <c r="D10" s="41" t="str">
        <f>Item1!C3</f>
        <v>undidade</v>
      </c>
      <c r="E10" s="41">
        <f>Item1!D3</f>
        <v>10</v>
      </c>
      <c r="F10" s="43">
        <f>Item1!E3</f>
        <v>2659.5</v>
      </c>
      <c r="G10" s="51">
        <f t="shared" ref="G10:G32" si="0">(ROUND(F10,2)*E10)</f>
        <v>26595</v>
      </c>
      <c r="H10" s="77">
        <f>G10+G11+G12+G13+G14+G15+G16+G17+G18+G19+G20+G21</f>
        <v>2655151.5</v>
      </c>
    </row>
    <row r="11" spans="1:8">
      <c r="A11" s="72"/>
      <c r="B11" s="50">
        <v>2</v>
      </c>
      <c r="C11" s="42" t="str">
        <f>Item2!B3</f>
        <v>Mesa de escritório com tampo em formato “L”</v>
      </c>
      <c r="D11" s="41" t="str">
        <f>Item2!C3</f>
        <v>unidade</v>
      </c>
      <c r="E11" s="41">
        <f>Item2!D3</f>
        <v>200</v>
      </c>
      <c r="F11" s="43">
        <f>Item2!E3</f>
        <v>2510.5</v>
      </c>
      <c r="G11" s="51">
        <f t="shared" si="0"/>
        <v>502100</v>
      </c>
      <c r="H11" s="77"/>
    </row>
    <row r="12" spans="1:8">
      <c r="A12" s="72"/>
      <c r="B12" s="50">
        <v>3</v>
      </c>
      <c r="C12" s="42" t="str">
        <f>Item3!B3</f>
        <v>Mesa de escritório com tampo em formato “L”</v>
      </c>
      <c r="D12" s="41" t="str">
        <f>Item3!C3</f>
        <v>unidade</v>
      </c>
      <c r="E12" s="41">
        <f>Item3!D3</f>
        <v>200</v>
      </c>
      <c r="F12" s="43">
        <f>Item3!E3</f>
        <v>2510.5</v>
      </c>
      <c r="G12" s="51">
        <f t="shared" si="0"/>
        <v>502100</v>
      </c>
      <c r="H12" s="77"/>
    </row>
    <row r="13" spans="1:8">
      <c r="A13" s="72"/>
      <c r="B13" s="50">
        <v>4</v>
      </c>
      <c r="C13" s="42" t="str">
        <f>Item4!B3</f>
        <v xml:space="preserve">Mesa de escritório com tampo em formato retangular </v>
      </c>
      <c r="D13" s="41" t="str">
        <f>Item4!C3</f>
        <v>unidade</v>
      </c>
      <c r="E13" s="41">
        <f>Item4!D3</f>
        <v>200</v>
      </c>
      <c r="F13" s="43">
        <f>Item4!E3</f>
        <v>1517.67</v>
      </c>
      <c r="G13" s="51">
        <f t="shared" si="0"/>
        <v>303534</v>
      </c>
      <c r="H13" s="77"/>
    </row>
    <row r="14" spans="1:8">
      <c r="A14" s="72"/>
      <c r="B14" s="50">
        <v>5</v>
      </c>
      <c r="C14" s="42" t="str">
        <f>Item5!B3</f>
        <v>Mesa de escritório com tampo em formato retangular</v>
      </c>
      <c r="D14" s="41" t="str">
        <f>Item5!C3</f>
        <v>unidade</v>
      </c>
      <c r="E14" s="41">
        <f>Item5!D3</f>
        <v>50</v>
      </c>
      <c r="F14" s="43">
        <f>Item5!E3</f>
        <v>1422.5</v>
      </c>
      <c r="G14" s="51">
        <f t="shared" si="0"/>
        <v>71125</v>
      </c>
      <c r="H14" s="77"/>
    </row>
    <row r="15" spans="1:8" ht="25.5">
      <c r="A15" s="72"/>
      <c r="B15" s="50">
        <v>6</v>
      </c>
      <c r="C15" s="42" t="str">
        <f>Item6!B3</f>
        <v xml:space="preserve">Mesa de escritório com tampo em formato peninsular 
</v>
      </c>
      <c r="D15" s="41" t="str">
        <f>Item6!C3</f>
        <v>unidade</v>
      </c>
      <c r="E15" s="41">
        <f>Item6!D3</f>
        <v>25</v>
      </c>
      <c r="F15" s="43">
        <f>Item6!E3</f>
        <v>2584.5</v>
      </c>
      <c r="G15" s="51">
        <f t="shared" si="0"/>
        <v>64612.5</v>
      </c>
      <c r="H15" s="77"/>
    </row>
    <row r="16" spans="1:8">
      <c r="A16" s="72"/>
      <c r="B16" s="50">
        <v>7</v>
      </c>
      <c r="C16" s="42" t="str">
        <f>Item7!B3</f>
        <v xml:space="preserve">Mesa de escritório com tampo em formato peninsular </v>
      </c>
      <c r="D16" s="41" t="str">
        <f>Item7!C3</f>
        <v>unidade</v>
      </c>
      <c r="E16" s="41">
        <f>Item7!D3</f>
        <v>25</v>
      </c>
      <c r="F16" s="43">
        <f>Item7!E3</f>
        <v>2568</v>
      </c>
      <c r="G16" s="51">
        <f t="shared" si="0"/>
        <v>64200</v>
      </c>
      <c r="H16" s="77"/>
    </row>
    <row r="17" spans="1:8">
      <c r="A17" s="72"/>
      <c r="B17" s="50">
        <v>8</v>
      </c>
      <c r="C17" s="42" t="str">
        <f>Item8!B3</f>
        <v>Mesa de reunião com tampo em formato circular</v>
      </c>
      <c r="D17" s="41" t="str">
        <f>Item8!C3</f>
        <v>unidade</v>
      </c>
      <c r="E17" s="41">
        <f>Item8!D3</f>
        <v>30</v>
      </c>
      <c r="F17" s="43">
        <f>Item8!E3</f>
        <v>1686</v>
      </c>
      <c r="G17" s="51">
        <f t="shared" si="0"/>
        <v>50580</v>
      </c>
      <c r="H17" s="77"/>
    </row>
    <row r="18" spans="1:8">
      <c r="A18" s="72"/>
      <c r="B18" s="50">
        <v>9</v>
      </c>
      <c r="C18" s="42" t="str">
        <f>Item9!B3</f>
        <v xml:space="preserve">Mesa de reunião com tampo em formato elíptico </v>
      </c>
      <c r="D18" s="41" t="str">
        <f>Item9!C3</f>
        <v>unidade</v>
      </c>
      <c r="E18" s="41">
        <f>Item9!D3</f>
        <v>20</v>
      </c>
      <c r="F18" s="43">
        <f>Item9!E3</f>
        <v>1831</v>
      </c>
      <c r="G18" s="51">
        <f t="shared" si="0"/>
        <v>36620</v>
      </c>
      <c r="H18" s="77"/>
    </row>
    <row r="19" spans="1:8">
      <c r="A19" s="72"/>
      <c r="B19" s="50">
        <v>10</v>
      </c>
      <c r="C19" s="42" t="str">
        <f>Item10!B3</f>
        <v xml:space="preserve">Mesa de reunião com tampo em formato elíptico </v>
      </c>
      <c r="D19" s="41" t="str">
        <f>Item10!C3</f>
        <v>unidade</v>
      </c>
      <c r="E19" s="41">
        <f>Item10!D3</f>
        <v>10</v>
      </c>
      <c r="F19" s="43">
        <f>Item10!E3</f>
        <v>2648.5</v>
      </c>
      <c r="G19" s="51">
        <f t="shared" si="0"/>
        <v>26485</v>
      </c>
      <c r="H19" s="77"/>
    </row>
    <row r="20" spans="1:8">
      <c r="A20" s="72"/>
      <c r="B20" s="50">
        <v>11</v>
      </c>
      <c r="C20" s="42" t="str">
        <f>Item11!B3</f>
        <v>Gaveteiro volante</v>
      </c>
      <c r="D20" s="41" t="str">
        <f>Item11!C3</f>
        <v>unidade</v>
      </c>
      <c r="E20" s="41">
        <f>Item11!D3</f>
        <v>400</v>
      </c>
      <c r="F20" s="43">
        <f>Item11!E3</f>
        <v>1509</v>
      </c>
      <c r="G20" s="51">
        <f t="shared" si="0"/>
        <v>603600</v>
      </c>
      <c r="H20" s="77"/>
    </row>
    <row r="21" spans="1:8">
      <c r="A21" s="73"/>
      <c r="B21" s="50">
        <v>12</v>
      </c>
      <c r="C21" s="42" t="str">
        <f>Item12!B3</f>
        <v>Gaveteiro mesa</v>
      </c>
      <c r="D21" s="41" t="str">
        <f>Item12!C3</f>
        <v>unidade</v>
      </c>
      <c r="E21" s="41">
        <f>Item12!D3</f>
        <v>200</v>
      </c>
      <c r="F21" s="43">
        <f>Item12!E3</f>
        <v>2018</v>
      </c>
      <c r="G21" s="51">
        <f t="shared" si="0"/>
        <v>403600</v>
      </c>
      <c r="H21" s="77"/>
    </row>
    <row r="22" spans="1:8">
      <c r="A22" s="71">
        <v>2</v>
      </c>
      <c r="B22" s="50">
        <v>13</v>
      </c>
      <c r="C22" s="42" t="str">
        <f>Item13!B3</f>
        <v>Armário médio</v>
      </c>
      <c r="D22" s="41" t="str">
        <f>Item13!C3</f>
        <v>unidade</v>
      </c>
      <c r="E22" s="41">
        <f>Item13!D3</f>
        <v>80</v>
      </c>
      <c r="F22" s="43">
        <f>Item13!E3</f>
        <v>2507.5</v>
      </c>
      <c r="G22" s="51">
        <f t="shared" si="0"/>
        <v>200600</v>
      </c>
      <c r="H22" s="77">
        <f>G22+G23+G24+G25</f>
        <v>1105150</v>
      </c>
    </row>
    <row r="23" spans="1:8">
      <c r="A23" s="72"/>
      <c r="B23" s="50">
        <v>14</v>
      </c>
      <c r="C23" s="42" t="str">
        <f>Item14!B3</f>
        <v>Armário médio</v>
      </c>
      <c r="D23" s="41" t="str">
        <f>Item14!C3</f>
        <v>unidade</v>
      </c>
      <c r="E23" s="41">
        <f>Item14!D3</f>
        <v>80</v>
      </c>
      <c r="F23" s="43">
        <f>Item14!E3</f>
        <v>2290</v>
      </c>
      <c r="G23" s="51">
        <f t="shared" si="0"/>
        <v>183200</v>
      </c>
      <c r="H23" s="77"/>
    </row>
    <row r="24" spans="1:8">
      <c r="A24" s="72"/>
      <c r="B24" s="50">
        <v>15</v>
      </c>
      <c r="C24" s="42" t="str">
        <f>Item15!B3</f>
        <v>Armário alto</v>
      </c>
      <c r="D24" s="41" t="str">
        <f>Item15!C3</f>
        <v>unidade</v>
      </c>
      <c r="E24" s="41">
        <f>Item15!D3</f>
        <v>200</v>
      </c>
      <c r="F24" s="43">
        <f>Item15!E3</f>
        <v>3055.5</v>
      </c>
      <c r="G24" s="51">
        <f t="shared" si="0"/>
        <v>611100</v>
      </c>
      <c r="H24" s="77"/>
    </row>
    <row r="25" spans="1:8">
      <c r="A25" s="73"/>
      <c r="B25" s="50">
        <v>16</v>
      </c>
      <c r="C25" s="42" t="str">
        <f>Item16!B3</f>
        <v>Armário baixo</v>
      </c>
      <c r="D25" s="41" t="str">
        <f>Item16!C3</f>
        <v>unidade</v>
      </c>
      <c r="E25" s="41">
        <f>Item16!D3</f>
        <v>70</v>
      </c>
      <c r="F25" s="43">
        <f>Item16!E3</f>
        <v>1575</v>
      </c>
      <c r="G25" s="51">
        <f t="shared" si="0"/>
        <v>110250</v>
      </c>
      <c r="H25" s="77"/>
    </row>
    <row r="26" spans="1:8">
      <c r="A26" s="71">
        <v>3</v>
      </c>
      <c r="B26" s="50">
        <v>17</v>
      </c>
      <c r="C26" s="42" t="str">
        <f>Item17!B3</f>
        <v>Cadeira giratória operacional com espaldar médio</v>
      </c>
      <c r="D26" s="41" t="str">
        <f>Item17!C3</f>
        <v>unidade</v>
      </c>
      <c r="E26" s="41">
        <f>Item17!D3</f>
        <v>400</v>
      </c>
      <c r="F26" s="43">
        <f>Item17!E3</f>
        <v>1616.86</v>
      </c>
      <c r="G26" s="51">
        <f t="shared" si="0"/>
        <v>646744</v>
      </c>
      <c r="H26" s="77">
        <f>G26+G27+G28+G29+G30</f>
        <v>1352266</v>
      </c>
    </row>
    <row r="27" spans="1:8">
      <c r="A27" s="72"/>
      <c r="B27" s="50">
        <v>18</v>
      </c>
      <c r="C27" s="42" t="str">
        <f>Item18!B3</f>
        <v>Cadeira de diálogo – com braços</v>
      </c>
      <c r="D27" s="41" t="str">
        <f>Item18!C3</f>
        <v>unidade</v>
      </c>
      <c r="E27" s="41">
        <f>Item18!D3</f>
        <v>200</v>
      </c>
      <c r="F27" s="43">
        <f>Item18!E3</f>
        <v>1048.99</v>
      </c>
      <c r="G27" s="51">
        <f t="shared" si="0"/>
        <v>209798</v>
      </c>
      <c r="H27" s="77"/>
    </row>
    <row r="28" spans="1:8">
      <c r="A28" s="72"/>
      <c r="B28" s="50">
        <v>19</v>
      </c>
      <c r="C28" s="42" t="str">
        <f>Item19!B3</f>
        <v>Cadeira de diálogo – sem braços</v>
      </c>
      <c r="D28" s="41" t="str">
        <f>Item19!C3</f>
        <v>unidade</v>
      </c>
      <c r="E28" s="41">
        <f>Item19!D3</f>
        <v>200</v>
      </c>
      <c r="F28" s="43">
        <f>Item19!E3</f>
        <v>1180.8900000000001</v>
      </c>
      <c r="G28" s="51">
        <f t="shared" si="0"/>
        <v>236178.00000000003</v>
      </c>
      <c r="H28" s="77"/>
    </row>
    <row r="29" spans="1:8">
      <c r="A29" s="72"/>
      <c r="B29" s="50">
        <v>20</v>
      </c>
      <c r="C29" s="42" t="str">
        <f>Item20!B3</f>
        <v>Cadeiras sobre longarina – 2 lugares</v>
      </c>
      <c r="D29" s="41" t="str">
        <f>Item20!C3</f>
        <v>unidade</v>
      </c>
      <c r="E29" s="41">
        <f>Item20!D3</f>
        <v>50</v>
      </c>
      <c r="F29" s="43">
        <f>Item20!E3</f>
        <v>2194.35</v>
      </c>
      <c r="G29" s="51">
        <f t="shared" si="0"/>
        <v>109717.5</v>
      </c>
      <c r="H29" s="77"/>
    </row>
    <row r="30" spans="1:8">
      <c r="A30" s="73"/>
      <c r="B30" s="50">
        <v>21</v>
      </c>
      <c r="C30" s="42" t="str">
        <f>Item21!B3</f>
        <v>Cadeiras sobre longarina – 3 lugares</v>
      </c>
      <c r="D30" s="41" t="str">
        <f>Item21!C3</f>
        <v>unidade</v>
      </c>
      <c r="E30" s="41">
        <f>Item21!D3</f>
        <v>50</v>
      </c>
      <c r="F30" s="43">
        <f>Item21!E3</f>
        <v>2996.57</v>
      </c>
      <c r="G30" s="51">
        <f t="shared" si="0"/>
        <v>149828.5</v>
      </c>
      <c r="H30" s="77"/>
    </row>
    <row r="31" spans="1:8" ht="25.5">
      <c r="A31" s="71">
        <v>4</v>
      </c>
      <c r="B31" s="50">
        <v>22</v>
      </c>
      <c r="C31" s="42" t="str">
        <f>Item22!B3</f>
        <v xml:space="preserve">Cadeira giratória operacional com espaldar alto 
</v>
      </c>
      <c r="D31" s="41" t="str">
        <f>Item22!C3</f>
        <v>unidade</v>
      </c>
      <c r="E31" s="41">
        <f>Item22!D3</f>
        <v>50</v>
      </c>
      <c r="F31" s="43">
        <f>Item22!E3</f>
        <v>2065.19</v>
      </c>
      <c r="G31" s="51">
        <f t="shared" si="0"/>
        <v>103259.5</v>
      </c>
      <c r="H31" s="77">
        <f>G31+G32</f>
        <v>147781.1</v>
      </c>
    </row>
    <row r="32" spans="1:8">
      <c r="A32" s="73"/>
      <c r="B32" s="50">
        <v>23</v>
      </c>
      <c r="C32" s="42" t="str">
        <f>Item23!B3</f>
        <v>Cadeira giratória operacional com espaldar alto e apoio de cabeça</v>
      </c>
      <c r="D32" s="41" t="str">
        <f>Item23!C3</f>
        <v>unidade</v>
      </c>
      <c r="E32" s="41">
        <f>Item23!D3</f>
        <v>20</v>
      </c>
      <c r="F32" s="43">
        <f>Item23!E3</f>
        <v>2226.08</v>
      </c>
      <c r="G32" s="51">
        <f t="shared" si="0"/>
        <v>44521.599999999999</v>
      </c>
      <c r="H32" s="77"/>
    </row>
    <row r="33" spans="1:8" ht="15.75" customHeight="1">
      <c r="A33" s="56"/>
      <c r="B33" s="57"/>
      <c r="C33" s="57"/>
      <c r="D33" s="70" t="s">
        <v>138</v>
      </c>
      <c r="E33" s="70"/>
      <c r="F33" s="70"/>
      <c r="G33" s="58">
        <f>SUM(G10:G32)</f>
        <v>5260348.5999999996</v>
      </c>
      <c r="H33" s="52">
        <f>SUM(H10:H32)</f>
        <v>5260348.5999999996</v>
      </c>
    </row>
  </sheetData>
  <mergeCells count="12">
    <mergeCell ref="B5:G5"/>
    <mergeCell ref="B6:G6"/>
    <mergeCell ref="D33:F33"/>
    <mergeCell ref="A10:A21"/>
    <mergeCell ref="A22:A25"/>
    <mergeCell ref="A26:A30"/>
    <mergeCell ref="A31:A32"/>
    <mergeCell ref="A8:H8"/>
    <mergeCell ref="H10:H21"/>
    <mergeCell ref="H22:H25"/>
    <mergeCell ref="H26:H30"/>
    <mergeCell ref="H31:H32"/>
  </mergeCells>
  <printOptions horizontalCentered="1"/>
  <pageMargins left="0.51181102362204722" right="0.51181102362204722" top="0.59055118110236227" bottom="0.9055118110236221" header="0.51181102362204722" footer="0.78740157480314965"/>
  <pageSetup paperSize="9" scale="77" firstPageNumber="0" orientation="landscape" horizontalDpi="300" verticalDpi="300" r:id="rId1"/>
  <headerFooter>
    <oddFooter>&amp;L&amp;9Estimativa em &amp;D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49"/>
  <sheetViews>
    <sheetView view="pageBreakPreview" topLeftCell="A25" zoomScaleNormal="100" workbookViewId="0">
      <selection activeCell="A68" sqref="A49:XFD68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4" width="13.28515625" style="46" customWidth="1"/>
    <col min="5" max="5" width="13.28515625" style="35" customWidth="1"/>
    <col min="6" max="6" width="17.85546875" style="35" customWidth="1"/>
    <col min="7" max="14" width="9.140625" style="36" customWidth="1"/>
    <col min="15" max="64" width="9.140625" style="35" customWidth="1"/>
  </cols>
  <sheetData>
    <row r="1" spans="1:64" ht="15.75" customHeight="1">
      <c r="A1" s="78" t="s">
        <v>139</v>
      </c>
      <c r="B1" s="78"/>
      <c r="C1" s="78"/>
      <c r="D1" s="78"/>
      <c r="E1" s="78"/>
      <c r="F1" s="78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</row>
    <row r="2" spans="1:64" ht="25.5">
      <c r="A2" s="40" t="s">
        <v>132</v>
      </c>
      <c r="B2" s="40" t="s">
        <v>133</v>
      </c>
      <c r="C2" s="40" t="s">
        <v>134</v>
      </c>
      <c r="D2" s="40" t="s">
        <v>135</v>
      </c>
      <c r="E2" s="40" t="s">
        <v>136</v>
      </c>
      <c r="F2" s="40" t="s">
        <v>137</v>
      </c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7.25">
      <c r="A3" s="47" t="s">
        <v>140</v>
      </c>
      <c r="B3" s="79" t="str">
        <f>Item1!G20</f>
        <v>FLEXIBASE</v>
      </c>
      <c r="C3" s="79"/>
      <c r="D3" s="79"/>
      <c r="E3" s="79"/>
      <c r="F3" s="79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>
      <c r="A4" s="41">
        <v>1</v>
      </c>
      <c r="B4" s="42" t="str">
        <f>Item1!B3</f>
        <v>Mesa de escritório com tampo em formato “L”</v>
      </c>
      <c r="C4" s="41" t="str">
        <f>Item1!C3</f>
        <v>undidade</v>
      </c>
      <c r="D4" s="41">
        <f>Item1!D3</f>
        <v>10</v>
      </c>
      <c r="E4" s="43">
        <f>Item1!F3</f>
        <v>2442</v>
      </c>
      <c r="F4" s="43">
        <f>(ROUND(E4,2)*D4)</f>
        <v>24420</v>
      </c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</row>
    <row r="5" spans="1:64" ht="17.25">
      <c r="A5" s="47" t="s">
        <v>140</v>
      </c>
      <c r="B5" s="79" t="str">
        <f>Item2!G20</f>
        <v>FLEXIBASE</v>
      </c>
      <c r="C5" s="79"/>
      <c r="D5" s="79"/>
      <c r="E5" s="79"/>
      <c r="F5" s="79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</row>
    <row r="6" spans="1:64">
      <c r="A6" s="41">
        <v>2</v>
      </c>
      <c r="B6" s="42" t="str">
        <f>Item2!B3</f>
        <v>Mesa de escritório com tampo em formato “L”</v>
      </c>
      <c r="C6" s="41" t="str">
        <f>Item2!C3</f>
        <v>unidade</v>
      </c>
      <c r="D6" s="41">
        <f>Item2!D3</f>
        <v>200</v>
      </c>
      <c r="E6" s="43">
        <f>Item2!F3</f>
        <v>2297</v>
      </c>
      <c r="F6" s="43">
        <f>(ROUND(E6,2)*D6)</f>
        <v>459400</v>
      </c>
    </row>
    <row r="7" spans="1:64" ht="17.25">
      <c r="A7" s="47" t="s">
        <v>140</v>
      </c>
      <c r="B7" s="79" t="str">
        <f>Item3!G20</f>
        <v>FLEXIBASE</v>
      </c>
      <c r="C7" s="79"/>
      <c r="D7" s="79"/>
      <c r="E7" s="79"/>
      <c r="F7" s="79"/>
    </row>
    <row r="8" spans="1:64">
      <c r="A8" s="41">
        <v>3</v>
      </c>
      <c r="B8" s="42" t="str">
        <f>Item3!B3</f>
        <v>Mesa de escritório com tampo em formato “L”</v>
      </c>
      <c r="C8" s="41" t="str">
        <f>Item3!C3</f>
        <v>unidade</v>
      </c>
      <c r="D8" s="41">
        <f>Item3!D3</f>
        <v>200</v>
      </c>
      <c r="E8" s="43">
        <f>Item3!F3</f>
        <v>2297</v>
      </c>
      <c r="F8" s="43">
        <f>(ROUND(E8,2)*D8)</f>
        <v>459400</v>
      </c>
    </row>
    <row r="9" spans="1:64" ht="12.75" customHeight="1">
      <c r="A9" s="47" t="s">
        <v>140</v>
      </c>
      <c r="B9" s="79" t="str">
        <f>Item4!G20</f>
        <v>FLEXIBASE</v>
      </c>
      <c r="C9" s="79"/>
      <c r="D9" s="79"/>
      <c r="E9" s="79"/>
      <c r="F9" s="79"/>
    </row>
    <row r="10" spans="1:64">
      <c r="A10" s="41">
        <v>4</v>
      </c>
      <c r="B10" s="42" t="str">
        <f>Item4!B3</f>
        <v xml:space="preserve">Mesa de escritório com tampo em formato retangular </v>
      </c>
      <c r="C10" s="41" t="str">
        <f>Item4!C3</f>
        <v>unidade</v>
      </c>
      <c r="D10" s="41">
        <f>Item4!D3</f>
        <v>200</v>
      </c>
      <c r="E10" s="43">
        <f>Item4!F3</f>
        <v>1344</v>
      </c>
      <c r="F10" s="43">
        <f>(ROUND(E10,2)*D10)</f>
        <v>268800</v>
      </c>
    </row>
    <row r="11" spans="1:64" ht="17.25">
      <c r="A11" s="47" t="s">
        <v>140</v>
      </c>
      <c r="B11" s="79" t="str">
        <f>Item5!G20</f>
        <v>FLEXIBASE</v>
      </c>
      <c r="C11" s="79"/>
      <c r="D11" s="79"/>
      <c r="E11" s="79"/>
      <c r="F11" s="79"/>
    </row>
    <row r="12" spans="1:64">
      <c r="A12" s="41">
        <v>5</v>
      </c>
      <c r="B12" s="42" t="str">
        <f>Item5!B3</f>
        <v>Mesa de escritório com tampo em formato retangular</v>
      </c>
      <c r="C12" s="41" t="str">
        <f>Item5!C3</f>
        <v>unidade</v>
      </c>
      <c r="D12" s="41">
        <f>Item5!D3</f>
        <v>50</v>
      </c>
      <c r="E12" s="43">
        <f>Item5!F3</f>
        <v>1254</v>
      </c>
      <c r="F12" s="43">
        <f>(ROUND(E12,2)*D12)</f>
        <v>62700</v>
      </c>
    </row>
    <row r="13" spans="1:64" ht="17.25">
      <c r="A13" s="47" t="s">
        <v>140</v>
      </c>
      <c r="B13" s="79" t="str">
        <f>Item6!G20</f>
        <v>FLEXIBASE</v>
      </c>
      <c r="C13" s="79"/>
      <c r="D13" s="79"/>
      <c r="E13" s="79"/>
      <c r="F13" s="79"/>
    </row>
    <row r="14" spans="1:64" ht="25.5">
      <c r="A14" s="41">
        <v>6</v>
      </c>
      <c r="B14" s="42" t="str">
        <f>Item6!B3</f>
        <v xml:space="preserve">Mesa de escritório com tampo em formato peninsular 
</v>
      </c>
      <c r="C14" s="41" t="str">
        <f>Item6!C3</f>
        <v>unidade</v>
      </c>
      <c r="D14" s="41">
        <f>Item6!D3</f>
        <v>25</v>
      </c>
      <c r="E14" s="43">
        <f>Item6!F3</f>
        <v>2303</v>
      </c>
      <c r="F14" s="43">
        <f>(ROUND(E14,2)*D14)</f>
        <v>57575</v>
      </c>
    </row>
    <row r="15" spans="1:64" ht="17.25">
      <c r="A15" s="47" t="s">
        <v>140</v>
      </c>
      <c r="B15" s="79" t="str">
        <f>Item7!G20</f>
        <v>FLEXIBASE</v>
      </c>
      <c r="C15" s="79"/>
      <c r="D15" s="79"/>
      <c r="E15" s="79"/>
      <c r="F15" s="79"/>
    </row>
    <row r="16" spans="1:64">
      <c r="A16" s="41">
        <v>7</v>
      </c>
      <c r="B16" s="42" t="str">
        <f>Item7!B3</f>
        <v xml:space="preserve">Mesa de escritório com tampo em formato peninsular </v>
      </c>
      <c r="C16" s="41" t="str">
        <f>Item7!C3</f>
        <v>unidade</v>
      </c>
      <c r="D16" s="41">
        <f>Item7!D3</f>
        <v>25</v>
      </c>
      <c r="E16" s="43">
        <f>Item7!F3</f>
        <v>2270</v>
      </c>
      <c r="F16" s="43">
        <f>(ROUND(E16,2)*D16)</f>
        <v>56750</v>
      </c>
    </row>
    <row r="17" spans="1:6" ht="17.25">
      <c r="A17" s="47" t="s">
        <v>140</v>
      </c>
      <c r="B17" s="79" t="str">
        <f>Item8!G20</f>
        <v>FLEXIBASE</v>
      </c>
      <c r="C17" s="79"/>
      <c r="D17" s="79"/>
      <c r="E17" s="79"/>
      <c r="F17" s="79"/>
    </row>
    <row r="18" spans="1:6">
      <c r="A18" s="41">
        <v>8</v>
      </c>
      <c r="B18" s="42" t="str">
        <f>Item8!B3</f>
        <v>Mesa de reunião com tampo em formato circular</v>
      </c>
      <c r="C18" s="41" t="str">
        <f>Item8!C3</f>
        <v>unidade</v>
      </c>
      <c r="D18" s="41">
        <f>Item8!D3</f>
        <v>30</v>
      </c>
      <c r="E18" s="43">
        <f>Item8!F3</f>
        <v>1000</v>
      </c>
      <c r="F18" s="43">
        <f>(ROUND(E18,2)*D18)</f>
        <v>30000</v>
      </c>
    </row>
    <row r="19" spans="1:6" ht="17.25">
      <c r="A19" s="47" t="s">
        <v>140</v>
      </c>
      <c r="B19" s="79" t="str">
        <f>Item9!G20</f>
        <v>FLEXIBASE</v>
      </c>
      <c r="C19" s="79"/>
      <c r="D19" s="79"/>
      <c r="E19" s="79"/>
      <c r="F19" s="79"/>
    </row>
    <row r="20" spans="1:6">
      <c r="A20" s="41">
        <v>9</v>
      </c>
      <c r="B20" s="42" t="str">
        <f>Item9!B3</f>
        <v xml:space="preserve">Mesa de reunião com tampo em formato elíptico </v>
      </c>
      <c r="C20" s="41" t="str">
        <f>Item9!C3</f>
        <v>unidade</v>
      </c>
      <c r="D20" s="41">
        <f>Item9!D3</f>
        <v>20</v>
      </c>
      <c r="E20" s="43">
        <f>Item9!F3</f>
        <v>975</v>
      </c>
      <c r="F20" s="43">
        <f>(ROUND(E20,2)*D20)</f>
        <v>19500</v>
      </c>
    </row>
    <row r="21" spans="1:6" ht="17.25">
      <c r="A21" s="47" t="s">
        <v>140</v>
      </c>
      <c r="B21" s="79" t="str">
        <f>Item10!G20</f>
        <v>FLEXIBASE</v>
      </c>
      <c r="C21" s="79"/>
      <c r="D21" s="79"/>
      <c r="E21" s="79"/>
      <c r="F21" s="79"/>
    </row>
    <row r="22" spans="1:6">
      <c r="A22" s="41">
        <v>10</v>
      </c>
      <c r="B22" s="42" t="str">
        <f>Item10!B3</f>
        <v xml:space="preserve">Mesa de reunião com tampo em formato elíptico </v>
      </c>
      <c r="C22" s="41" t="str">
        <f>Item10!C3</f>
        <v>unidade</v>
      </c>
      <c r="D22" s="41">
        <f>Item10!D3</f>
        <v>10</v>
      </c>
      <c r="E22" s="43">
        <f>Item10!F3</f>
        <v>2185</v>
      </c>
      <c r="F22" s="43">
        <f>(ROUND(E22,2)*D22)</f>
        <v>21850</v>
      </c>
    </row>
    <row r="23" spans="1:6" ht="17.25">
      <c r="A23" s="47" t="s">
        <v>140</v>
      </c>
      <c r="B23" s="79" t="str">
        <f>Item11!G20</f>
        <v>GABINETT</v>
      </c>
      <c r="C23" s="79"/>
      <c r="D23" s="79"/>
      <c r="E23" s="79"/>
      <c r="F23" s="79"/>
    </row>
    <row r="24" spans="1:6">
      <c r="A24" s="41">
        <v>11</v>
      </c>
      <c r="B24" s="42" t="str">
        <f>Item11!B3</f>
        <v>Gaveteiro volante</v>
      </c>
      <c r="C24" s="41" t="str">
        <f>Item11!C3</f>
        <v>unidade</v>
      </c>
      <c r="D24" s="41">
        <f>Item11!D3</f>
        <v>400</v>
      </c>
      <c r="E24" s="43">
        <f>Item11!F3</f>
        <v>1360</v>
      </c>
      <c r="F24" s="43">
        <f>(ROUND(E24,2)*D24)</f>
        <v>544000</v>
      </c>
    </row>
    <row r="25" spans="1:6" ht="17.25">
      <c r="A25" s="47" t="s">
        <v>140</v>
      </c>
      <c r="B25" s="79" t="str">
        <f>Item12!G20</f>
        <v>MENOR LANCE PE 20/22  FORN G MEDICAL</v>
      </c>
      <c r="C25" s="79"/>
      <c r="D25" s="79"/>
      <c r="E25" s="79"/>
      <c r="F25" s="79"/>
    </row>
    <row r="26" spans="1:6">
      <c r="A26" s="41">
        <v>12</v>
      </c>
      <c r="B26" s="42" t="str">
        <f>Item12!B3</f>
        <v>Gaveteiro mesa</v>
      </c>
      <c r="C26" s="41" t="str">
        <f>Item12!C3</f>
        <v>unidade</v>
      </c>
      <c r="D26" s="41">
        <f>Item12!D3</f>
        <v>200</v>
      </c>
      <c r="E26" s="43">
        <f>Item12!F3</f>
        <v>1500</v>
      </c>
      <c r="F26" s="43">
        <f>(ROUND(E26,2)*D26)</f>
        <v>300000</v>
      </c>
    </row>
    <row r="27" spans="1:6" ht="17.25">
      <c r="A27" s="47" t="s">
        <v>140</v>
      </c>
      <c r="B27" s="79" t="str">
        <f>Item13!G20</f>
        <v>FLEXIBASE</v>
      </c>
      <c r="C27" s="79"/>
      <c r="D27" s="79"/>
      <c r="E27" s="79"/>
      <c r="F27" s="79"/>
    </row>
    <row r="28" spans="1:6">
      <c r="A28" s="41">
        <v>13</v>
      </c>
      <c r="B28" s="42" t="str">
        <f>Item13!B3</f>
        <v>Armário médio</v>
      </c>
      <c r="C28" s="41" t="str">
        <f>Item13!C3</f>
        <v>unidade</v>
      </c>
      <c r="D28" s="41">
        <f>Item13!D3</f>
        <v>80</v>
      </c>
      <c r="E28" s="43">
        <f>Item13!F3</f>
        <v>2479</v>
      </c>
      <c r="F28" s="43">
        <f>(ROUND(E28,2)*D28)</f>
        <v>198320</v>
      </c>
    </row>
    <row r="29" spans="1:6" ht="17.25">
      <c r="A29" s="47" t="s">
        <v>140</v>
      </c>
      <c r="B29" s="79" t="str">
        <f>Item14!G20</f>
        <v>FLEXIBASE</v>
      </c>
      <c r="C29" s="79"/>
      <c r="D29" s="79"/>
      <c r="E29" s="79"/>
      <c r="F29" s="79"/>
    </row>
    <row r="30" spans="1:6">
      <c r="A30" s="41">
        <v>14</v>
      </c>
      <c r="B30" s="42" t="str">
        <f>Item14!B3</f>
        <v>Armário médio</v>
      </c>
      <c r="C30" s="41" t="str">
        <f>Item14!C3</f>
        <v>unidade</v>
      </c>
      <c r="D30" s="41">
        <f>Item14!D3</f>
        <v>80</v>
      </c>
      <c r="E30" s="43">
        <f>Item14!F3</f>
        <v>2233</v>
      </c>
      <c r="F30" s="43">
        <f>(ROUND(E30,2)*D30)</f>
        <v>178640</v>
      </c>
    </row>
    <row r="31" spans="1:6" ht="17.25">
      <c r="A31" s="47" t="s">
        <v>140</v>
      </c>
      <c r="B31" s="79" t="str">
        <f>Item15!G20</f>
        <v>GABINETT</v>
      </c>
      <c r="C31" s="79"/>
      <c r="D31" s="79"/>
      <c r="E31" s="79"/>
      <c r="F31" s="79"/>
    </row>
    <row r="32" spans="1:6">
      <c r="A32" s="41">
        <v>15</v>
      </c>
      <c r="B32" s="42" t="str">
        <f>Item15!B3</f>
        <v>Armário alto</v>
      </c>
      <c r="C32" s="41" t="str">
        <f>Item15!C3</f>
        <v>unidade</v>
      </c>
      <c r="D32" s="41">
        <f>Item15!D3</f>
        <v>200</v>
      </c>
      <c r="E32" s="43">
        <f>Item15!F3</f>
        <v>2989</v>
      </c>
      <c r="F32" s="43">
        <f>(ROUND(E32,2)*D32)</f>
        <v>597800</v>
      </c>
    </row>
    <row r="33" spans="1:6" ht="17.25">
      <c r="A33" s="47" t="s">
        <v>140</v>
      </c>
      <c r="B33" s="79" t="str">
        <f>Item16!G20</f>
        <v>FLEXIBASE</v>
      </c>
      <c r="C33" s="79"/>
      <c r="D33" s="79"/>
      <c r="E33" s="79"/>
      <c r="F33" s="79"/>
    </row>
    <row r="34" spans="1:6">
      <c r="A34" s="41">
        <v>16</v>
      </c>
      <c r="B34" s="42" t="str">
        <f>Item16!B3</f>
        <v>Armário baixo</v>
      </c>
      <c r="C34" s="41" t="str">
        <f>Item16!C3</f>
        <v>unidade</v>
      </c>
      <c r="D34" s="41">
        <f>Item16!D3</f>
        <v>70</v>
      </c>
      <c r="E34" s="43">
        <f>Item16!F3</f>
        <v>1405</v>
      </c>
      <c r="F34" s="43">
        <f>(ROUND(E34,2)*D34)</f>
        <v>98350</v>
      </c>
    </row>
    <row r="35" spans="1:6" ht="17.25">
      <c r="A35" s="47" t="s">
        <v>140</v>
      </c>
      <c r="B35" s="79" t="str">
        <f>Item17!G20</f>
        <v>MENOR LANCE PE 26/22 HOSP MUNICIPAL</v>
      </c>
      <c r="C35" s="79"/>
      <c r="D35" s="79"/>
      <c r="E35" s="79"/>
      <c r="F35" s="79"/>
    </row>
    <row r="36" spans="1:6">
      <c r="A36" s="41">
        <v>17</v>
      </c>
      <c r="B36" s="42" t="str">
        <f>Item17!B3</f>
        <v>Cadeira giratória operacional com espaldar médio</v>
      </c>
      <c r="C36" s="41" t="str">
        <f>Item17!C3</f>
        <v>unidade</v>
      </c>
      <c r="D36" s="41">
        <f>Item17!D3</f>
        <v>400</v>
      </c>
      <c r="E36" s="43">
        <f>Item17!F3</f>
        <v>857.14</v>
      </c>
      <c r="F36" s="43">
        <f>(ROUND(E36,2)*D36)</f>
        <v>342856</v>
      </c>
    </row>
    <row r="37" spans="1:6" ht="17.25">
      <c r="A37" s="47" t="s">
        <v>140</v>
      </c>
      <c r="B37" s="79" t="str">
        <f>Item18!G20</f>
        <v>MENOR LANCE PE 26/22 HOSP MUNICIPAL</v>
      </c>
      <c r="C37" s="79"/>
      <c r="D37" s="79"/>
      <c r="E37" s="79"/>
      <c r="F37" s="79"/>
    </row>
    <row r="38" spans="1:6">
      <c r="A38" s="41">
        <v>18</v>
      </c>
      <c r="B38" s="42" t="str">
        <f>Item18!B3</f>
        <v>Cadeira de diálogo – com braços</v>
      </c>
      <c r="C38" s="41" t="str">
        <f>Item18!C3</f>
        <v>unidade</v>
      </c>
      <c r="D38" s="41">
        <f>Item18!D3</f>
        <v>200</v>
      </c>
      <c r="E38" s="43">
        <f>Item18!F3</f>
        <v>549.6</v>
      </c>
      <c r="F38" s="43">
        <f>(ROUND(E38,2)*D38)</f>
        <v>109920</v>
      </c>
    </row>
    <row r="39" spans="1:6" ht="17.25">
      <c r="A39" s="47" t="s">
        <v>140</v>
      </c>
      <c r="B39" s="79" t="str">
        <f>Item19!G20</f>
        <v>MENOR LANCE PE 04/21 INST FED PARÁ</v>
      </c>
      <c r="C39" s="79"/>
      <c r="D39" s="79"/>
      <c r="E39" s="79"/>
      <c r="F39" s="79"/>
    </row>
    <row r="40" spans="1:6">
      <c r="A40" s="41">
        <v>19</v>
      </c>
      <c r="B40" s="42" t="str">
        <f>Item19!B3</f>
        <v>Cadeira de diálogo – sem braços</v>
      </c>
      <c r="C40" s="41" t="str">
        <f>Item19!C3</f>
        <v>unidade</v>
      </c>
      <c r="D40" s="41">
        <f>Item19!D3</f>
        <v>200</v>
      </c>
      <c r="E40" s="43">
        <f>Item19!F3</f>
        <v>766.77</v>
      </c>
      <c r="F40" s="43">
        <f>(ROUND(E40,2)*D40)</f>
        <v>153354</v>
      </c>
    </row>
    <row r="41" spans="1:6" ht="17.25">
      <c r="A41" s="47" t="s">
        <v>140</v>
      </c>
      <c r="B41" s="79" t="str">
        <f>Item20!G20</f>
        <v>MENOR LANCE PE 04/21 INST FED PARÁ</v>
      </c>
      <c r="C41" s="79"/>
      <c r="D41" s="79"/>
      <c r="E41" s="79"/>
      <c r="F41" s="79"/>
    </row>
    <row r="42" spans="1:6">
      <c r="A42" s="41">
        <v>20</v>
      </c>
      <c r="B42" s="42" t="str">
        <f>Item20!B3</f>
        <v>Cadeiras sobre longarina – 2 lugares</v>
      </c>
      <c r="C42" s="41" t="str">
        <f>Item20!C3</f>
        <v>unidade</v>
      </c>
      <c r="D42" s="41">
        <f>Item20!D3</f>
        <v>50</v>
      </c>
      <c r="E42" s="43">
        <f>Item20!F3</f>
        <v>2011.7</v>
      </c>
      <c r="F42" s="43">
        <f>(ROUND(E42,2)*D42)</f>
        <v>100585</v>
      </c>
    </row>
    <row r="43" spans="1:6" ht="17.25">
      <c r="A43" s="47" t="s">
        <v>140</v>
      </c>
      <c r="B43" s="79" t="str">
        <f>Item21!G20</f>
        <v>MENOR LANCE PE 08/22 comando da marinha</v>
      </c>
      <c r="C43" s="79"/>
      <c r="D43" s="79"/>
      <c r="E43" s="79"/>
      <c r="F43" s="79"/>
    </row>
    <row r="44" spans="1:6">
      <c r="A44" s="41">
        <v>21</v>
      </c>
      <c r="B44" s="42" t="str">
        <f>Item21!B3</f>
        <v>Cadeiras sobre longarina – 3 lugares</v>
      </c>
      <c r="C44" s="41" t="str">
        <f>Item21!C3</f>
        <v>unidade</v>
      </c>
      <c r="D44" s="41">
        <f>Item21!D3</f>
        <v>50</v>
      </c>
      <c r="E44" s="43">
        <f>Item21!F3</f>
        <v>1280</v>
      </c>
      <c r="F44" s="43">
        <f>(ROUND(E44,2)*D44)</f>
        <v>64000</v>
      </c>
    </row>
    <row r="45" spans="1:6" ht="17.25">
      <c r="A45" s="47" t="s">
        <v>140</v>
      </c>
      <c r="B45" s="79" t="str">
        <f>Item22!G20</f>
        <v>PROPOSTA TCNO 2000 ATUALIZADO</v>
      </c>
      <c r="C45" s="79"/>
      <c r="D45" s="79"/>
      <c r="E45" s="79"/>
      <c r="F45" s="79"/>
    </row>
    <row r="46" spans="1:6" ht="25.5">
      <c r="A46" s="41">
        <v>22</v>
      </c>
      <c r="B46" s="42" t="str">
        <f>Item22!B3</f>
        <v xml:space="preserve">Cadeira giratória operacional com espaldar alto 
</v>
      </c>
      <c r="C46" s="41" t="str">
        <f>Item22!C3</f>
        <v>unidade</v>
      </c>
      <c r="D46" s="41">
        <f>Item22!D3</f>
        <v>50</v>
      </c>
      <c r="E46" s="43">
        <f>Item22!F3</f>
        <v>1537.37</v>
      </c>
      <c r="F46" s="43">
        <f>(ROUND(E46,2)*D46)</f>
        <v>76868.5</v>
      </c>
    </row>
    <row r="47" spans="1:6" ht="17.25">
      <c r="A47" s="47" t="s">
        <v>140</v>
      </c>
      <c r="B47" s="79" t="str">
        <f>Item23!G20</f>
        <v>PROPOSTA TCNO 2000 ATUALIZADO</v>
      </c>
      <c r="C47" s="79"/>
      <c r="D47" s="79"/>
      <c r="E47" s="79"/>
      <c r="F47" s="79"/>
    </row>
    <row r="48" spans="1:6">
      <c r="A48" s="41">
        <v>23</v>
      </c>
      <c r="B48" s="42" t="str">
        <f>Item23!B3</f>
        <v>Cadeira giratória operacional com espaldar alto e apoio de cabeça</v>
      </c>
      <c r="C48" s="41" t="str">
        <f>Item23!C3</f>
        <v>unidade</v>
      </c>
      <c r="D48" s="41">
        <f>Item23!D3</f>
        <v>20</v>
      </c>
      <c r="E48" s="43">
        <f>Item23!F3</f>
        <v>1628.4</v>
      </c>
      <c r="F48" s="43">
        <f>(ROUND(E48,2)*D48)</f>
        <v>32568</v>
      </c>
    </row>
    <row r="49" spans="1:6" ht="15.75">
      <c r="A49" s="44"/>
      <c r="B49" s="44"/>
      <c r="C49" s="78" t="s">
        <v>141</v>
      </c>
      <c r="D49" s="78"/>
      <c r="E49" s="78"/>
      <c r="F49" s="45">
        <f>SUM(F4:F48)</f>
        <v>4257656.5</v>
      </c>
    </row>
  </sheetData>
  <mergeCells count="25">
    <mergeCell ref="C49:E49"/>
    <mergeCell ref="B41:F41"/>
    <mergeCell ref="B43:F43"/>
    <mergeCell ref="B45:F45"/>
    <mergeCell ref="B47:F47"/>
    <mergeCell ref="B31:F31"/>
    <mergeCell ref="B33:F33"/>
    <mergeCell ref="B35:F35"/>
    <mergeCell ref="B37:F37"/>
    <mergeCell ref="B39:F39"/>
    <mergeCell ref="B21:F21"/>
    <mergeCell ref="B23:F23"/>
    <mergeCell ref="B25:F25"/>
    <mergeCell ref="B27:F27"/>
    <mergeCell ref="B29:F29"/>
    <mergeCell ref="B11:F11"/>
    <mergeCell ref="B13:F13"/>
    <mergeCell ref="B15:F15"/>
    <mergeCell ref="B17:F17"/>
    <mergeCell ref="B19:F19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3" sqref="H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146</v>
      </c>
      <c r="C3" s="62" t="s">
        <v>10</v>
      </c>
      <c r="D3" s="63">
        <v>50</v>
      </c>
      <c r="E3" s="64">
        <f>IF(C20&lt;=25%,D20,MIN(E20:F20))</f>
        <v>1422.5</v>
      </c>
      <c r="F3" s="64">
        <f>MIN(H3:H17)</f>
        <v>1254</v>
      </c>
      <c r="G3" s="6" t="s">
        <v>162</v>
      </c>
      <c r="H3" s="7">
        <v>1591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1254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238.29498525986651</v>
      </c>
      <c r="B20" s="19">
        <f>COUNT(H3:H17)</f>
        <v>2</v>
      </c>
      <c r="C20" s="20">
        <f>IF(B20&lt;2,"N/A",(A20/D20))</f>
        <v>0.16751844306493252</v>
      </c>
      <c r="D20" s="21">
        <f>ROUND(AVERAGE(H3:H17),2)</f>
        <v>1422.5</v>
      </c>
      <c r="E20" s="22" t="str">
        <f>IFERROR(ROUND(IF(B20&lt;2,"N/A",(IF(C20&lt;=25%,"N/A",AVERAGE(I3:I17)))),2),"N/A")</f>
        <v>N/A</v>
      </c>
      <c r="F20" s="22">
        <f>ROUND(MEDIAN(H3:H17),2)</f>
        <v>1422.5</v>
      </c>
      <c r="G20" s="23" t="str">
        <f>INDEX(G3:G17,MATCH(H20,H3:H17,0))</f>
        <v>FLEXIBASE</v>
      </c>
      <c r="H20" s="24">
        <f>MIN(H3:H17)</f>
        <v>1254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1422.5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71125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8" sqref="G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144</v>
      </c>
      <c r="C3" s="62" t="s">
        <v>10</v>
      </c>
      <c r="D3" s="63">
        <v>25</v>
      </c>
      <c r="E3" s="64">
        <f>IF(C20&lt;=25%,D20,MIN(E20:F20))</f>
        <v>2584.5</v>
      </c>
      <c r="F3" s="64">
        <f>MIN(H3:H17)</f>
        <v>2303</v>
      </c>
      <c r="G3" s="6" t="s">
        <v>162</v>
      </c>
      <c r="H3" s="7">
        <v>2866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2303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398.10111780802623</v>
      </c>
      <c r="B20" s="19">
        <f>COUNT(H3:H17)</f>
        <v>2</v>
      </c>
      <c r="C20" s="20">
        <f>IF(B20&lt;2,"N/A",(A20/D20))</f>
        <v>0.15403409472161975</v>
      </c>
      <c r="D20" s="21">
        <f>ROUND(AVERAGE(H3:H17),2)</f>
        <v>2584.5</v>
      </c>
      <c r="E20" s="22" t="str">
        <f>IFERROR(ROUND(IF(B20&lt;2,"N/A",(IF(C20&lt;=25%,"N/A",AVERAGE(I3:I17)))),2),"N/A")</f>
        <v>N/A</v>
      </c>
      <c r="F20" s="22">
        <f>ROUND(MEDIAN(H3:H17),2)</f>
        <v>2584.5</v>
      </c>
      <c r="G20" s="23" t="str">
        <f>INDEX(G3:G17,MATCH(H20,H3:H17,0))</f>
        <v>FLEXIBASE</v>
      </c>
      <c r="H20" s="24">
        <f>MIN(H3:H17)</f>
        <v>2303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2584.5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64612.5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" sqref="B3:B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147</v>
      </c>
      <c r="C3" s="62" t="s">
        <v>10</v>
      </c>
      <c r="D3" s="63">
        <v>25</v>
      </c>
      <c r="E3" s="64">
        <f>IF(C20&lt;=25%,D20,MIN(E20:F20))</f>
        <v>2568</v>
      </c>
      <c r="F3" s="64">
        <f>MIN(H3:H17)</f>
        <v>2270</v>
      </c>
      <c r="G3" s="6" t="s">
        <v>162</v>
      </c>
      <c r="H3" s="7">
        <v>2866</v>
      </c>
      <c r="I3" s="8" t="str">
        <f t="shared" ref="I3:I17" si="0">IF(H3="","",(IF($C$20&lt;25%,"N/A",IF(H3&lt;=($D$20+$A$20),H3,"Descartado"))))</f>
        <v>N/A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2270</v>
      </c>
      <c r="I4" s="8" t="str">
        <f t="shared" si="0"/>
        <v>N/A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421.43564158718232</v>
      </c>
      <c r="B20" s="19">
        <f>COUNT(H3:H17)</f>
        <v>2</v>
      </c>
      <c r="C20" s="20">
        <f>IF(B20&lt;2,"N/A",(A20/D20))</f>
        <v>0.1641104523314573</v>
      </c>
      <c r="D20" s="21">
        <f>ROUND(AVERAGE(H3:H17),2)</f>
        <v>2568</v>
      </c>
      <c r="E20" s="22" t="str">
        <f>IFERROR(ROUND(IF(B20&lt;2,"N/A",(IF(C20&lt;=25%,"N/A",AVERAGE(I3:I17)))),2),"N/A")</f>
        <v>N/A</v>
      </c>
      <c r="F20" s="22">
        <f>ROUND(MEDIAN(H3:H17),2)</f>
        <v>2568</v>
      </c>
      <c r="G20" s="23" t="str">
        <f>INDEX(G3:G17,MATCH(H20,H3:H17,0))</f>
        <v>FLEXIBASE</v>
      </c>
      <c r="H20" s="24">
        <f>MIN(H3:H17)</f>
        <v>2270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2568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64200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7" sqref="H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148</v>
      </c>
      <c r="C3" s="62" t="s">
        <v>10</v>
      </c>
      <c r="D3" s="63">
        <v>30</v>
      </c>
      <c r="E3" s="64">
        <f>IF(C20&lt;=25%,D20,MIN(E20:F20))</f>
        <v>1686</v>
      </c>
      <c r="F3" s="64">
        <f>MIN(H3:H17)</f>
        <v>1000</v>
      </c>
      <c r="G3" s="6" t="s">
        <v>162</v>
      </c>
      <c r="H3" s="7">
        <v>2372</v>
      </c>
      <c r="I3" s="8">
        <f t="shared" ref="I3:I17" si="0">IF(H3="","",(IF($C$20&lt;25%,"N/A",IF(H3&lt;=($D$20+$A$20),H3,"Descartado"))))</f>
        <v>2372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1000</v>
      </c>
      <c r="I4" s="8">
        <f t="shared" si="0"/>
        <v>1000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970.15050378794319</v>
      </c>
      <c r="B20" s="19">
        <f>COUNT(H3:H17)</f>
        <v>2</v>
      </c>
      <c r="C20" s="20">
        <f>IF(B20&lt;2,"N/A",(A20/D20))</f>
        <v>0.57541548267375042</v>
      </c>
      <c r="D20" s="21">
        <f>ROUND(AVERAGE(H3:H17),2)</f>
        <v>1686</v>
      </c>
      <c r="E20" s="22">
        <f>IFERROR(ROUND(IF(B20&lt;2,"N/A",(IF(C20&lt;=25%,"N/A",AVERAGE(I3:I17)))),2),"N/A")</f>
        <v>1686</v>
      </c>
      <c r="F20" s="22">
        <f>ROUND(MEDIAN(H3:H17),2)</f>
        <v>1686</v>
      </c>
      <c r="G20" s="23" t="str">
        <f>INDEX(G3:G17,MATCH(H20,H3:H17,0))</f>
        <v>FLEXIBASE</v>
      </c>
      <c r="H20" s="24">
        <f>MIN(H3:H17)</f>
        <v>1000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1686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50580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" sqref="B3:B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9" t="s">
        <v>0</v>
      </c>
      <c r="B1" s="59"/>
      <c r="C1" s="59"/>
      <c r="D1" s="59"/>
      <c r="E1" s="59"/>
      <c r="F1" s="59"/>
      <c r="G1" s="59"/>
      <c r="H1" s="59"/>
      <c r="I1" s="59"/>
    </row>
    <row r="2" spans="1:9" ht="25.5">
      <c r="A2" s="60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60"/>
      <c r="B3" s="61" t="s">
        <v>149</v>
      </c>
      <c r="C3" s="62" t="s">
        <v>10</v>
      </c>
      <c r="D3" s="63">
        <v>20</v>
      </c>
      <c r="E3" s="64">
        <f>IF(C20&lt;=25%,D20,MIN(E20:F20))</f>
        <v>1831</v>
      </c>
      <c r="F3" s="64">
        <f>MIN(H3:H17)</f>
        <v>975</v>
      </c>
      <c r="G3" s="6" t="s">
        <v>162</v>
      </c>
      <c r="H3" s="7">
        <v>2687</v>
      </c>
      <c r="I3" s="8">
        <f t="shared" ref="I3:I17" si="0">IF(H3="","",(IF($C$20&lt;25%,"N/A",IF(H3&lt;=($D$20+$A$20),H3,"Descartado"))))</f>
        <v>2687</v>
      </c>
    </row>
    <row r="4" spans="1:9">
      <c r="A4" s="60"/>
      <c r="B4" s="61"/>
      <c r="C4" s="62"/>
      <c r="D4" s="63"/>
      <c r="E4" s="64"/>
      <c r="F4" s="64"/>
      <c r="G4" s="6" t="s">
        <v>163</v>
      </c>
      <c r="H4" s="7">
        <v>975</v>
      </c>
      <c r="I4" s="8">
        <f t="shared" si="0"/>
        <v>975</v>
      </c>
    </row>
    <row r="5" spans="1:9">
      <c r="A5" s="60"/>
      <c r="B5" s="61"/>
      <c r="C5" s="62"/>
      <c r="D5" s="63"/>
      <c r="E5" s="64"/>
      <c r="F5" s="64"/>
      <c r="G5" s="6"/>
      <c r="H5" s="7"/>
      <c r="I5" s="8" t="str">
        <f t="shared" si="0"/>
        <v/>
      </c>
    </row>
    <row r="6" spans="1:9">
      <c r="A6" s="60"/>
      <c r="B6" s="61"/>
      <c r="C6" s="62"/>
      <c r="D6" s="63"/>
      <c r="E6" s="64"/>
      <c r="F6" s="64"/>
      <c r="G6" s="6"/>
      <c r="H6" s="7"/>
      <c r="I6" s="8" t="str">
        <f t="shared" si="0"/>
        <v/>
      </c>
    </row>
    <row r="7" spans="1:9">
      <c r="A7" s="60"/>
      <c r="B7" s="61"/>
      <c r="C7" s="62"/>
      <c r="D7" s="63"/>
      <c r="E7" s="64"/>
      <c r="F7" s="64"/>
      <c r="G7" s="6"/>
      <c r="H7" s="7"/>
      <c r="I7" s="8" t="str">
        <f t="shared" si="0"/>
        <v/>
      </c>
    </row>
    <row r="8" spans="1:9">
      <c r="A8" s="60"/>
      <c r="B8" s="61"/>
      <c r="C8" s="62"/>
      <c r="D8" s="63"/>
      <c r="E8" s="64"/>
      <c r="F8" s="64"/>
      <c r="G8" s="6"/>
      <c r="H8" s="7"/>
      <c r="I8" s="8" t="str">
        <f t="shared" si="0"/>
        <v/>
      </c>
    </row>
    <row r="9" spans="1:9">
      <c r="A9" s="60"/>
      <c r="B9" s="61"/>
      <c r="C9" s="62"/>
      <c r="D9" s="63"/>
      <c r="E9" s="64"/>
      <c r="F9" s="64"/>
      <c r="G9" s="6"/>
      <c r="H9" s="7"/>
      <c r="I9" s="8" t="str">
        <f t="shared" si="0"/>
        <v/>
      </c>
    </row>
    <row r="10" spans="1:9">
      <c r="A10" s="60"/>
      <c r="B10" s="61"/>
      <c r="C10" s="62"/>
      <c r="D10" s="63"/>
      <c r="E10" s="64"/>
      <c r="F10" s="64"/>
      <c r="G10" s="6"/>
      <c r="H10" s="7"/>
      <c r="I10" s="8" t="str">
        <f t="shared" si="0"/>
        <v/>
      </c>
    </row>
    <row r="11" spans="1:9">
      <c r="A11" s="60"/>
      <c r="B11" s="61"/>
      <c r="C11" s="62"/>
      <c r="D11" s="63"/>
      <c r="E11" s="64"/>
      <c r="F11" s="64"/>
      <c r="G11" s="6"/>
      <c r="H11" s="7"/>
      <c r="I11" s="8" t="str">
        <f t="shared" si="0"/>
        <v/>
      </c>
    </row>
    <row r="12" spans="1:9">
      <c r="A12" s="60"/>
      <c r="B12" s="61"/>
      <c r="C12" s="62"/>
      <c r="D12" s="63"/>
      <c r="E12" s="64"/>
      <c r="F12" s="64"/>
      <c r="G12" s="6"/>
      <c r="H12" s="7"/>
      <c r="I12" s="8" t="str">
        <f t="shared" si="0"/>
        <v/>
      </c>
    </row>
    <row r="13" spans="1:9">
      <c r="A13" s="60"/>
      <c r="B13" s="61"/>
      <c r="C13" s="62"/>
      <c r="D13" s="63"/>
      <c r="E13" s="64"/>
      <c r="F13" s="64"/>
      <c r="G13" s="6"/>
      <c r="H13" s="7"/>
      <c r="I13" s="8" t="str">
        <f t="shared" si="0"/>
        <v/>
      </c>
    </row>
    <row r="14" spans="1:9">
      <c r="A14" s="60"/>
      <c r="B14" s="61"/>
      <c r="C14" s="62"/>
      <c r="D14" s="63"/>
      <c r="E14" s="64"/>
      <c r="F14" s="64"/>
      <c r="G14" s="6"/>
      <c r="H14" s="7"/>
      <c r="I14" s="8" t="str">
        <f t="shared" si="0"/>
        <v/>
      </c>
    </row>
    <row r="15" spans="1:9">
      <c r="A15" s="60"/>
      <c r="B15" s="61"/>
      <c r="C15" s="62"/>
      <c r="D15" s="63"/>
      <c r="E15" s="64"/>
      <c r="F15" s="64"/>
      <c r="G15" s="6"/>
      <c r="H15" s="7"/>
      <c r="I15" s="8" t="str">
        <f t="shared" si="0"/>
        <v/>
      </c>
    </row>
    <row r="16" spans="1:9">
      <c r="A16" s="60"/>
      <c r="B16" s="61"/>
      <c r="C16" s="62"/>
      <c r="D16" s="63"/>
      <c r="E16" s="64"/>
      <c r="F16" s="64"/>
      <c r="G16" s="6"/>
      <c r="H16" s="7"/>
      <c r="I16" s="8" t="str">
        <f t="shared" si="0"/>
        <v/>
      </c>
    </row>
    <row r="17" spans="1:11">
      <c r="A17" s="60"/>
      <c r="B17" s="61"/>
      <c r="C17" s="62"/>
      <c r="D17" s="63"/>
      <c r="E17" s="64"/>
      <c r="F17" s="6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65" t="s">
        <v>18</v>
      </c>
      <c r="H19" s="65"/>
      <c r="I19" s="18"/>
    </row>
    <row r="20" spans="1:11">
      <c r="A20" s="19">
        <f>IF(B20&lt;2,"N/A",(STDEV(H3:H17)))</f>
        <v>1210.5668093913694</v>
      </c>
      <c r="B20" s="19">
        <f>COUNT(H3:H17)</f>
        <v>2</v>
      </c>
      <c r="C20" s="20">
        <f>IF(B20&lt;2,"N/A",(A20/D20))</f>
        <v>0.66115063320118483</v>
      </c>
      <c r="D20" s="21">
        <f>ROUND(AVERAGE(H3:H17),2)</f>
        <v>1831</v>
      </c>
      <c r="E20" s="22">
        <f>IFERROR(ROUND(IF(B20&lt;2,"N/A",(IF(C20&lt;=25%,"N/A",AVERAGE(I3:I17)))),2),"N/A")</f>
        <v>1831</v>
      </c>
      <c r="F20" s="22">
        <f>ROUND(MEDIAN(H3:H17),2)</f>
        <v>1831</v>
      </c>
      <c r="G20" s="23" t="str">
        <f>INDEX(G3:G17,MATCH(H20,H3:H17,0))</f>
        <v>FLEXIBASE</v>
      </c>
      <c r="H20" s="24">
        <f>MIN(H3:H17)</f>
        <v>975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66"/>
      <c r="E22" s="66"/>
      <c r="F22" s="30"/>
      <c r="G22" s="31" t="s">
        <v>19</v>
      </c>
      <c r="H22" s="32">
        <f>IF(C20&lt;=25%,D20,MIN(E20:F20))</f>
        <v>1831</v>
      </c>
    </row>
    <row r="23" spans="1:11">
      <c r="B23" s="25"/>
      <c r="C23" s="25"/>
      <c r="D23" s="66"/>
      <c r="E23" s="66"/>
      <c r="F23" s="33"/>
      <c r="G23" s="4" t="s">
        <v>20</v>
      </c>
      <c r="H23" s="24">
        <f>ROUND(H22,2)*D3</f>
        <v>36620</v>
      </c>
    </row>
    <row r="24" spans="1:11">
      <c r="B24" s="29"/>
      <c r="C24" s="29"/>
      <c r="D24" s="18"/>
      <c r="E24" s="18"/>
    </row>
    <row r="26" spans="1:11" ht="12.75" customHeight="1">
      <c r="A26" s="67" t="s">
        <v>21</v>
      </c>
      <c r="B26" s="67"/>
      <c r="C26" s="67"/>
      <c r="D26" s="67"/>
      <c r="E26" s="67"/>
      <c r="F26" s="67"/>
      <c r="G26" s="67"/>
      <c r="H26" s="67"/>
      <c r="I26" s="67"/>
    </row>
    <row r="27" spans="1:11" ht="12.75" customHeight="1">
      <c r="A27" s="67" t="s">
        <v>22</v>
      </c>
      <c r="B27" s="67"/>
      <c r="C27" s="67"/>
      <c r="D27" s="67"/>
      <c r="E27" s="67"/>
      <c r="F27" s="67"/>
      <c r="G27" s="67"/>
      <c r="H27" s="67"/>
      <c r="I27" s="67"/>
    </row>
    <row r="28" spans="1:11" ht="12.75" customHeight="1">
      <c r="A28" s="67" t="s">
        <v>23</v>
      </c>
      <c r="B28" s="67"/>
      <c r="C28" s="67"/>
      <c r="D28" s="67"/>
      <c r="E28" s="67"/>
      <c r="F28" s="67"/>
      <c r="G28" s="67"/>
      <c r="H28" s="67"/>
      <c r="I28" s="67"/>
    </row>
    <row r="29" spans="1:11" ht="12.75" customHeight="1">
      <c r="A29" s="67" t="s">
        <v>24</v>
      </c>
      <c r="B29" s="67"/>
      <c r="C29" s="67"/>
      <c r="D29" s="67"/>
      <c r="E29" s="67"/>
      <c r="F29" s="67"/>
      <c r="G29" s="67"/>
      <c r="H29" s="67"/>
      <c r="I29" s="67"/>
    </row>
    <row r="30" spans="1:11" ht="12.75" customHeight="1">
      <c r="A30" s="67" t="s">
        <v>25</v>
      </c>
      <c r="B30" s="67"/>
      <c r="C30" s="67"/>
      <c r="D30" s="67"/>
      <c r="E30" s="67"/>
      <c r="F30" s="67"/>
      <c r="G30" s="67"/>
      <c r="H30" s="67"/>
      <c r="I30" s="67"/>
    </row>
    <row r="31" spans="1:11" ht="12.75" customHeight="1">
      <c r="A31" s="67" t="s">
        <v>26</v>
      </c>
      <c r="B31" s="67"/>
      <c r="C31" s="67"/>
      <c r="D31" s="67"/>
      <c r="E31" s="67"/>
      <c r="F31" s="67"/>
      <c r="G31" s="67"/>
      <c r="H31" s="67"/>
      <c r="I31" s="67"/>
    </row>
    <row r="32" spans="1:11" ht="24.75" customHeight="1">
      <c r="A32" s="68" t="s">
        <v>27</v>
      </c>
      <c r="B32" s="68"/>
      <c r="C32" s="68"/>
      <c r="D32" s="68"/>
      <c r="E32" s="68"/>
      <c r="F32" s="68"/>
      <c r="G32" s="68"/>
      <c r="H32" s="68"/>
      <c r="I32" s="68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46</vt:i4>
      </vt:variant>
      <vt:variant>
        <vt:lpstr>Intervalos nomeados</vt:lpstr>
      </vt:variant>
      <vt:variant>
        <vt:i4>5</vt:i4>
      </vt:variant>
    </vt:vector>
  </HeadingPairs>
  <TitlesOfParts>
    <vt:vector size="51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TOTAL!Print_Area_0</vt:lpstr>
      <vt:lpstr>TOTAL!Print_Area_0_0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revision>42</cp:revision>
  <cp:lastPrinted>2022-08-04T17:44:48Z</cp:lastPrinted>
  <dcterms:created xsi:type="dcterms:W3CDTF">2019-01-16T20:04:04Z</dcterms:created>
  <dcterms:modified xsi:type="dcterms:W3CDTF">2022-09-14T20:46:24Z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