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4" activeTab="42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r:id="rId17"/>
    <sheet name="Item18" sheetId="18" r:id="rId18"/>
    <sheet name="Item19" sheetId="19" r:id="rId19"/>
    <sheet name="Item20" sheetId="20" r:id="rId20"/>
    <sheet name="Item21" sheetId="21" r:id="rId21"/>
    <sheet name="Item22" sheetId="22" r:id="rId22"/>
    <sheet name="Item23" sheetId="23" r:id="rId23"/>
    <sheet name="Item24" sheetId="24" r:id="rId24"/>
    <sheet name="Item25" sheetId="25" r:id="rId25"/>
    <sheet name="Item26" sheetId="26" r:id="rId26"/>
    <sheet name="Item27" sheetId="27" r:id="rId27"/>
    <sheet name="Item28" sheetId="28" r:id="rId28"/>
    <sheet name="Item29" sheetId="29" r:id="rId29"/>
    <sheet name="Item30" sheetId="30" r:id="rId30"/>
    <sheet name="Item31" sheetId="31" r:id="rId31"/>
    <sheet name="Item32" sheetId="32" r:id="rId32"/>
    <sheet name="Item33" sheetId="33" r:id="rId33"/>
    <sheet name="Item34" sheetId="34" r:id="rId34"/>
    <sheet name="Item35" sheetId="35" r:id="rId35"/>
    <sheet name="Item36" sheetId="36" r:id="rId36"/>
    <sheet name="Item37" sheetId="37" r:id="rId37"/>
    <sheet name="Item38" sheetId="38" r:id="rId38"/>
    <sheet name="Item39" sheetId="39" r:id="rId39"/>
    <sheet name="Item40" sheetId="40" r:id="rId40"/>
    <sheet name="Item41" sheetId="41" r:id="rId41"/>
    <sheet name="Item42" sheetId="42" r:id="rId42"/>
    <sheet name="TOTAL" sheetId="74" r:id="rId43"/>
  </sheets>
  <definedNames>
    <definedName name="_xlnm.Print_Area" localSheetId="42">TOTAL!$A$1:$H$52</definedName>
    <definedName name="_xlnm.Print_Titles" localSheetId="42">TOTAL!$1:$9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1" i="74" l="1"/>
  <c r="H34" i="74"/>
  <c r="H28" i="74"/>
  <c r="H19" i="74"/>
  <c r="H52" i="74" s="1"/>
  <c r="H10" i="74"/>
  <c r="H3" i="12" l="1"/>
  <c r="F20" i="6"/>
  <c r="F3" i="5"/>
  <c r="H4" i="4"/>
  <c r="H3" i="42"/>
  <c r="F3" i="42" s="1"/>
  <c r="H3" i="41"/>
  <c r="F20" i="41" s="1"/>
  <c r="H3" i="40"/>
  <c r="H3" i="39"/>
  <c r="H3" i="38"/>
  <c r="F20" i="38" s="1"/>
  <c r="H3" i="37"/>
  <c r="H3" i="36"/>
  <c r="B20" i="36" s="1"/>
  <c r="H3" i="35"/>
  <c r="H3" i="34"/>
  <c r="F20" i="34" s="1"/>
  <c r="H3" i="33"/>
  <c r="B20" i="33" s="1"/>
  <c r="H3" i="32"/>
  <c r="H3" i="31"/>
  <c r="H3" i="30"/>
  <c r="F20" i="30" s="1"/>
  <c r="H3" i="29"/>
  <c r="F20" i="29" s="1"/>
  <c r="H3" i="28"/>
  <c r="H3" i="27"/>
  <c r="H3" i="26"/>
  <c r="F20" i="26" s="1"/>
  <c r="H3" i="25"/>
  <c r="H3" i="24"/>
  <c r="H20" i="24" s="1"/>
  <c r="G20" i="24" s="1"/>
  <c r="H3" i="23"/>
  <c r="H3" i="20"/>
  <c r="B20" i="20"/>
  <c r="H3" i="18"/>
  <c r="F20" i="18" s="1"/>
  <c r="H3" i="17"/>
  <c r="D20" i="17" s="1"/>
  <c r="H3" i="16"/>
  <c r="H3" i="15"/>
  <c r="H3" i="13"/>
  <c r="H20" i="12"/>
  <c r="G20" i="12" s="1"/>
  <c r="H3" i="11"/>
  <c r="H3" i="10"/>
  <c r="F3" i="10" s="1"/>
  <c r="H3" i="9"/>
  <c r="H3" i="8"/>
  <c r="D20" i="8" s="1"/>
  <c r="H3" i="7"/>
  <c r="H20" i="7" s="1"/>
  <c r="G20" i="7" s="1"/>
  <c r="H3" i="6"/>
  <c r="H3" i="5"/>
  <c r="H3" i="4"/>
  <c r="F20" i="4" s="1"/>
  <c r="H3" i="3"/>
  <c r="H3" i="2"/>
  <c r="E51" i="74"/>
  <c r="D51" i="74"/>
  <c r="C51" i="74"/>
  <c r="E50" i="74"/>
  <c r="D50" i="74"/>
  <c r="C50" i="74"/>
  <c r="E49" i="74"/>
  <c r="D49" i="74"/>
  <c r="C49" i="74"/>
  <c r="E48" i="74"/>
  <c r="D48" i="74"/>
  <c r="C48" i="74"/>
  <c r="E47" i="74"/>
  <c r="D47" i="74"/>
  <c r="C47" i="74"/>
  <c r="E46" i="74"/>
  <c r="D46" i="74"/>
  <c r="C46" i="74"/>
  <c r="E45" i="74"/>
  <c r="D45" i="74"/>
  <c r="C45" i="74"/>
  <c r="E44" i="74"/>
  <c r="D44" i="74"/>
  <c r="C44" i="74"/>
  <c r="E43" i="74"/>
  <c r="D43" i="74"/>
  <c r="C43" i="74"/>
  <c r="E42" i="74"/>
  <c r="D42" i="74"/>
  <c r="C42" i="74"/>
  <c r="E41" i="74"/>
  <c r="D41" i="74"/>
  <c r="C41" i="74"/>
  <c r="E40" i="74"/>
  <c r="D40" i="74"/>
  <c r="C40" i="74"/>
  <c r="E39" i="74"/>
  <c r="D39" i="74"/>
  <c r="C39" i="74"/>
  <c r="E38" i="74"/>
  <c r="D38" i="74"/>
  <c r="C38" i="74"/>
  <c r="E37" i="74"/>
  <c r="D37" i="74"/>
  <c r="C37" i="74"/>
  <c r="E36" i="74"/>
  <c r="D36" i="74"/>
  <c r="C36" i="74"/>
  <c r="E35" i="74"/>
  <c r="D35" i="74"/>
  <c r="C35" i="74"/>
  <c r="E34" i="74"/>
  <c r="D34" i="74"/>
  <c r="C34" i="74"/>
  <c r="E33" i="74"/>
  <c r="D33" i="74"/>
  <c r="C33" i="74"/>
  <c r="E32" i="74"/>
  <c r="D32" i="74"/>
  <c r="C32" i="74"/>
  <c r="E31" i="74"/>
  <c r="D31" i="74"/>
  <c r="C31" i="74"/>
  <c r="E30" i="74"/>
  <c r="D30" i="74"/>
  <c r="C30" i="74"/>
  <c r="E29" i="74"/>
  <c r="D29" i="74"/>
  <c r="C29" i="74"/>
  <c r="E28" i="74"/>
  <c r="D28" i="74"/>
  <c r="C28" i="74"/>
  <c r="E27" i="74"/>
  <c r="D27" i="74"/>
  <c r="C27" i="74"/>
  <c r="E26" i="74"/>
  <c r="D26" i="74"/>
  <c r="C26" i="74"/>
  <c r="E25" i="74"/>
  <c r="D25" i="74"/>
  <c r="C25" i="74"/>
  <c r="E24" i="74"/>
  <c r="D24" i="74"/>
  <c r="C24" i="74"/>
  <c r="E23" i="74"/>
  <c r="D23" i="74"/>
  <c r="C23" i="74"/>
  <c r="E22" i="74"/>
  <c r="D22" i="74"/>
  <c r="C22" i="74"/>
  <c r="E21" i="74"/>
  <c r="D21" i="74"/>
  <c r="C21" i="74"/>
  <c r="E20" i="74"/>
  <c r="D20" i="74"/>
  <c r="C20" i="74"/>
  <c r="E19" i="74"/>
  <c r="D19" i="74"/>
  <c r="C19" i="74"/>
  <c r="E18" i="74"/>
  <c r="D18" i="74"/>
  <c r="C18" i="74"/>
  <c r="E17" i="74"/>
  <c r="D17" i="74"/>
  <c r="C17" i="74"/>
  <c r="E16" i="74"/>
  <c r="D16" i="74"/>
  <c r="C16" i="74"/>
  <c r="E15" i="74"/>
  <c r="D15" i="74"/>
  <c r="C15" i="74"/>
  <c r="E14" i="74"/>
  <c r="D14" i="74"/>
  <c r="C14" i="74"/>
  <c r="E13" i="74"/>
  <c r="D13" i="74"/>
  <c r="C13" i="74"/>
  <c r="E12" i="74"/>
  <c r="D12" i="74"/>
  <c r="C12" i="74"/>
  <c r="E11" i="74"/>
  <c r="D11" i="74"/>
  <c r="C11" i="74"/>
  <c r="D10" i="74"/>
  <c r="C10" i="74"/>
  <c r="B20" i="42"/>
  <c r="I17" i="42"/>
  <c r="I16" i="42"/>
  <c r="I15" i="42"/>
  <c r="I14" i="42"/>
  <c r="I13" i="42"/>
  <c r="I12" i="42"/>
  <c r="I11" i="42"/>
  <c r="I10" i="42"/>
  <c r="I9" i="42"/>
  <c r="I8" i="42"/>
  <c r="I7" i="42"/>
  <c r="I6" i="42"/>
  <c r="H20" i="41"/>
  <c r="G20" i="41" s="1"/>
  <c r="I17" i="41"/>
  <c r="I16" i="41"/>
  <c r="I15" i="41"/>
  <c r="I14" i="41"/>
  <c r="I13" i="41"/>
  <c r="I12" i="41"/>
  <c r="I11" i="41"/>
  <c r="I10" i="41"/>
  <c r="I9" i="41"/>
  <c r="I8" i="41"/>
  <c r="I7" i="41"/>
  <c r="H20" i="40"/>
  <c r="G20" i="40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F3" i="40"/>
  <c r="H20" i="39"/>
  <c r="G20" i="39" s="1"/>
  <c r="F20" i="39"/>
  <c r="D20" i="39"/>
  <c r="B20" i="39"/>
  <c r="I17" i="39"/>
  <c r="I16" i="39"/>
  <c r="I15" i="39"/>
  <c r="I14" i="39"/>
  <c r="I13" i="39"/>
  <c r="I12" i="39"/>
  <c r="I11" i="39"/>
  <c r="I10" i="39"/>
  <c r="I9" i="39"/>
  <c r="I8" i="39"/>
  <c r="I7" i="39"/>
  <c r="F3" i="39"/>
  <c r="H20" i="38"/>
  <c r="G20" i="38" s="1"/>
  <c r="D20" i="38"/>
  <c r="B20" i="38"/>
  <c r="A20" i="38" s="1"/>
  <c r="I17" i="38"/>
  <c r="I16" i="38"/>
  <c r="I15" i="38"/>
  <c r="I14" i="38"/>
  <c r="I13" i="38"/>
  <c r="I12" i="38"/>
  <c r="I11" i="38"/>
  <c r="I10" i="38"/>
  <c r="I9" i="38"/>
  <c r="I8" i="38"/>
  <c r="I7" i="38"/>
  <c r="F3" i="38"/>
  <c r="H20" i="37"/>
  <c r="G20" i="37" s="1"/>
  <c r="F20" i="37"/>
  <c r="D20" i="37"/>
  <c r="B20" i="37"/>
  <c r="I17" i="37"/>
  <c r="I16" i="37"/>
  <c r="I15" i="37"/>
  <c r="I14" i="37"/>
  <c r="I13" i="37"/>
  <c r="I12" i="37"/>
  <c r="I11" i="37"/>
  <c r="I10" i="37"/>
  <c r="I9" i="37"/>
  <c r="I8" i="37"/>
  <c r="I7" i="37"/>
  <c r="I6" i="37"/>
  <c r="F3" i="37"/>
  <c r="F20" i="36"/>
  <c r="D20" i="36"/>
  <c r="I17" i="36"/>
  <c r="I16" i="36"/>
  <c r="I15" i="36"/>
  <c r="I14" i="36"/>
  <c r="I13" i="36"/>
  <c r="I12" i="36"/>
  <c r="H20" i="35"/>
  <c r="G20" i="35" s="1"/>
  <c r="F20" i="35"/>
  <c r="D20" i="35"/>
  <c r="B20" i="35"/>
  <c r="I17" i="35"/>
  <c r="I16" i="35"/>
  <c r="I15" i="35"/>
  <c r="I14" i="35"/>
  <c r="I13" i="35"/>
  <c r="I12" i="35"/>
  <c r="I11" i="35"/>
  <c r="I10" i="35"/>
  <c r="I9" i="35"/>
  <c r="I8" i="35"/>
  <c r="I7" i="35"/>
  <c r="I6" i="35"/>
  <c r="F3" i="35"/>
  <c r="H20" i="34"/>
  <c r="G20" i="34" s="1"/>
  <c r="I17" i="34"/>
  <c r="I16" i="34"/>
  <c r="I15" i="34"/>
  <c r="I14" i="34"/>
  <c r="I13" i="34"/>
  <c r="I12" i="34"/>
  <c r="I11" i="34"/>
  <c r="I10" i="34"/>
  <c r="I9" i="34"/>
  <c r="I8" i="34"/>
  <c r="I7" i="34"/>
  <c r="I6" i="34"/>
  <c r="D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H20" i="32"/>
  <c r="G20" i="32" s="1"/>
  <c r="F20" i="32"/>
  <c r="D20" i="32"/>
  <c r="B20" i="32"/>
  <c r="I17" i="32"/>
  <c r="I16" i="32"/>
  <c r="I15" i="32"/>
  <c r="I14" i="32"/>
  <c r="I13" i="32"/>
  <c r="I12" i="32"/>
  <c r="I11" i="32"/>
  <c r="I10" i="32"/>
  <c r="I9" i="32"/>
  <c r="I8" i="32"/>
  <c r="I7" i="32"/>
  <c r="F3" i="32"/>
  <c r="H20" i="31"/>
  <c r="G20" i="31" s="1"/>
  <c r="F20" i="31"/>
  <c r="D20" i="31"/>
  <c r="B20" i="31"/>
  <c r="I17" i="31"/>
  <c r="I16" i="31"/>
  <c r="I15" i="31"/>
  <c r="I14" i="31"/>
  <c r="I13" i="31"/>
  <c r="I12" i="31"/>
  <c r="I11" i="31"/>
  <c r="I10" i="31"/>
  <c r="I9" i="31"/>
  <c r="F3" i="31"/>
  <c r="H20" i="30"/>
  <c r="G20" i="30" s="1"/>
  <c r="D20" i="30"/>
  <c r="I17" i="30"/>
  <c r="I16" i="30"/>
  <c r="I15" i="30"/>
  <c r="I14" i="30"/>
  <c r="I13" i="30"/>
  <c r="I12" i="30"/>
  <c r="I11" i="30"/>
  <c r="I10" i="30"/>
  <c r="I9" i="30"/>
  <c r="I8" i="30"/>
  <c r="I7" i="30"/>
  <c r="H20" i="29"/>
  <c r="G20" i="29" s="1"/>
  <c r="D20" i="29"/>
  <c r="B20" i="29"/>
  <c r="I17" i="29"/>
  <c r="I16" i="29"/>
  <c r="I15" i="29"/>
  <c r="I14" i="29"/>
  <c r="I13" i="29"/>
  <c r="I12" i="29"/>
  <c r="I11" i="29"/>
  <c r="I10" i="29"/>
  <c r="I9" i="29"/>
  <c r="I8" i="29"/>
  <c r="I7" i="29"/>
  <c r="F3" i="29"/>
  <c r="H20" i="28"/>
  <c r="G20" i="28" s="1"/>
  <c r="F20" i="28"/>
  <c r="D20" i="28"/>
  <c r="B20" i="28"/>
  <c r="I17" i="28"/>
  <c r="I16" i="28"/>
  <c r="I15" i="28"/>
  <c r="I14" i="28"/>
  <c r="I13" i="28"/>
  <c r="I12" i="28"/>
  <c r="I11" i="28"/>
  <c r="F3" i="28"/>
  <c r="I17" i="27"/>
  <c r="I16" i="27"/>
  <c r="I15" i="27"/>
  <c r="I14" i="27"/>
  <c r="I13" i="27"/>
  <c r="I12" i="27"/>
  <c r="I11" i="27"/>
  <c r="I10" i="27"/>
  <c r="I9" i="27"/>
  <c r="I8" i="27"/>
  <c r="H20" i="26"/>
  <c r="G20" i="26" s="1"/>
  <c r="D20" i="26"/>
  <c r="B20" i="26"/>
  <c r="I17" i="26"/>
  <c r="I16" i="26"/>
  <c r="I15" i="26"/>
  <c r="I14" i="26"/>
  <c r="I13" i="26"/>
  <c r="I12" i="26"/>
  <c r="I11" i="26"/>
  <c r="I10" i="26"/>
  <c r="I9" i="26"/>
  <c r="I8" i="26"/>
  <c r="I7" i="26"/>
  <c r="F3" i="26"/>
  <c r="H20" i="25"/>
  <c r="G20" i="25"/>
  <c r="F20" i="25"/>
  <c r="D20" i="25"/>
  <c r="B20" i="25"/>
  <c r="I17" i="25"/>
  <c r="I16" i="25"/>
  <c r="I15" i="25"/>
  <c r="I14" i="25"/>
  <c r="I13" i="25"/>
  <c r="I12" i="25"/>
  <c r="I11" i="25"/>
  <c r="I10" i="25"/>
  <c r="I9" i="25"/>
  <c r="I8" i="25"/>
  <c r="I7" i="25"/>
  <c r="F3" i="25"/>
  <c r="F20" i="24"/>
  <c r="D20" i="24"/>
  <c r="B20" i="24"/>
  <c r="I17" i="24"/>
  <c r="I16" i="24"/>
  <c r="I15" i="24"/>
  <c r="I14" i="24"/>
  <c r="I13" i="24"/>
  <c r="I12" i="24"/>
  <c r="I11" i="24"/>
  <c r="I10" i="24"/>
  <c r="I9" i="24"/>
  <c r="I8" i="24"/>
  <c r="F3" i="24"/>
  <c r="H20" i="23"/>
  <c r="G20" i="23" s="1"/>
  <c r="F20" i="23"/>
  <c r="D20" i="23"/>
  <c r="B20" i="23"/>
  <c r="I17" i="23"/>
  <c r="I16" i="23"/>
  <c r="I15" i="23"/>
  <c r="I14" i="23"/>
  <c r="I13" i="23"/>
  <c r="I12" i="23"/>
  <c r="I11" i="23"/>
  <c r="F3" i="23"/>
  <c r="H20" i="22"/>
  <c r="G20" i="22" s="1"/>
  <c r="F20" i="22"/>
  <c r="D20" i="22"/>
  <c r="B20" i="22"/>
  <c r="I17" i="22"/>
  <c r="I16" i="22"/>
  <c r="I15" i="22"/>
  <c r="I14" i="22"/>
  <c r="I13" i="22"/>
  <c r="I12" i="22"/>
  <c r="I11" i="22"/>
  <c r="I10" i="22"/>
  <c r="I9" i="22"/>
  <c r="I8" i="22"/>
  <c r="I6" i="22"/>
  <c r="F3" i="22"/>
  <c r="H20" i="21"/>
  <c r="G20" i="21" s="1"/>
  <c r="F20" i="21"/>
  <c r="D20" i="21"/>
  <c r="B20" i="21"/>
  <c r="I17" i="21"/>
  <c r="I16" i="21"/>
  <c r="I15" i="21"/>
  <c r="I14" i="21"/>
  <c r="F3" i="21"/>
  <c r="I17" i="20"/>
  <c r="I16" i="20"/>
  <c r="I15" i="20"/>
  <c r="I14" i="20"/>
  <c r="I13" i="20"/>
  <c r="I12" i="20"/>
  <c r="I11" i="20"/>
  <c r="I10" i="20"/>
  <c r="I9" i="20"/>
  <c r="I6" i="20"/>
  <c r="H20" i="19"/>
  <c r="G20" i="19"/>
  <c r="F20" i="19"/>
  <c r="D20" i="19"/>
  <c r="B20" i="19"/>
  <c r="I17" i="19"/>
  <c r="I16" i="19"/>
  <c r="I15" i="19"/>
  <c r="I14" i="19"/>
  <c r="I13" i="19"/>
  <c r="I12" i="19"/>
  <c r="I11" i="19"/>
  <c r="I10" i="19"/>
  <c r="I9" i="19"/>
  <c r="I8" i="19"/>
  <c r="I7" i="19"/>
  <c r="I6" i="19"/>
  <c r="F3" i="19"/>
  <c r="I17" i="18"/>
  <c r="I16" i="18"/>
  <c r="I15" i="18"/>
  <c r="I14" i="18"/>
  <c r="I13" i="18"/>
  <c r="I12" i="18"/>
  <c r="I11" i="18"/>
  <c r="I10" i="18"/>
  <c r="I9" i="18"/>
  <c r="I8" i="18"/>
  <c r="I7" i="18"/>
  <c r="F20" i="17"/>
  <c r="I17" i="17"/>
  <c r="I16" i="17"/>
  <c r="I15" i="17"/>
  <c r="I14" i="17"/>
  <c r="I13" i="17"/>
  <c r="I12" i="17"/>
  <c r="I11" i="17"/>
  <c r="I10" i="17"/>
  <c r="I9" i="17"/>
  <c r="I8" i="17"/>
  <c r="I7" i="17"/>
  <c r="I6" i="17"/>
  <c r="F3" i="17"/>
  <c r="H20" i="16"/>
  <c r="G20" i="16" s="1"/>
  <c r="F20" i="16"/>
  <c r="D20" i="16"/>
  <c r="B20" i="16"/>
  <c r="I17" i="16"/>
  <c r="I16" i="16"/>
  <c r="I15" i="16"/>
  <c r="I14" i="16"/>
  <c r="I13" i="16"/>
  <c r="I12" i="16"/>
  <c r="I11" i="16"/>
  <c r="I10" i="16"/>
  <c r="I9" i="16"/>
  <c r="I8" i="16"/>
  <c r="I7" i="16"/>
  <c r="I6" i="16"/>
  <c r="F3" i="16"/>
  <c r="H20" i="15"/>
  <c r="G20" i="15" s="1"/>
  <c r="F20" i="15"/>
  <c r="D20" i="15"/>
  <c r="B20" i="15"/>
  <c r="I17" i="15"/>
  <c r="I16" i="15"/>
  <c r="I15" i="15"/>
  <c r="I14" i="15"/>
  <c r="I13" i="15"/>
  <c r="I12" i="15"/>
  <c r="I11" i="15"/>
  <c r="I10" i="15"/>
  <c r="I9" i="15"/>
  <c r="I8" i="15"/>
  <c r="I7" i="15"/>
  <c r="I6" i="15"/>
  <c r="F3" i="15"/>
  <c r="H20" i="14"/>
  <c r="G20" i="14" s="1"/>
  <c r="F20" i="14"/>
  <c r="D20" i="14"/>
  <c r="B20" i="14"/>
  <c r="I17" i="14"/>
  <c r="I16" i="14"/>
  <c r="I15" i="14"/>
  <c r="I14" i="14"/>
  <c r="I13" i="14"/>
  <c r="I12" i="14"/>
  <c r="I11" i="14"/>
  <c r="I10" i="14"/>
  <c r="I9" i="14"/>
  <c r="I8" i="14"/>
  <c r="I7" i="14"/>
  <c r="I6" i="14"/>
  <c r="F3" i="14"/>
  <c r="H20" i="13"/>
  <c r="G20" i="13" s="1"/>
  <c r="F20" i="13"/>
  <c r="D20" i="13"/>
  <c r="B20" i="13"/>
  <c r="F3" i="13"/>
  <c r="F20" i="12"/>
  <c r="D20" i="12"/>
  <c r="B20" i="12"/>
  <c r="I17" i="12"/>
  <c r="I16" i="12"/>
  <c r="I15" i="12"/>
  <c r="I14" i="12"/>
  <c r="I13" i="12"/>
  <c r="I12" i="12"/>
  <c r="I11" i="12"/>
  <c r="I10" i="12"/>
  <c r="I9" i="12"/>
  <c r="I8" i="12"/>
  <c r="I7" i="12"/>
  <c r="I5" i="12"/>
  <c r="F3" i="12"/>
  <c r="H20" i="11"/>
  <c r="G20" i="11" s="1"/>
  <c r="F20" i="11"/>
  <c r="D20" i="11"/>
  <c r="B20" i="11"/>
  <c r="I17" i="11"/>
  <c r="I16" i="11"/>
  <c r="F3" i="11"/>
  <c r="B20" i="10"/>
  <c r="I17" i="10"/>
  <c r="I16" i="10"/>
  <c r="I15" i="10"/>
  <c r="I14" i="10"/>
  <c r="I13" i="10"/>
  <c r="I12" i="10"/>
  <c r="I11" i="10"/>
  <c r="I10" i="10"/>
  <c r="I9" i="10"/>
  <c r="I8" i="10"/>
  <c r="I7" i="10"/>
  <c r="H20" i="9"/>
  <c r="G20" i="9" s="1"/>
  <c r="I17" i="9"/>
  <c r="I16" i="9"/>
  <c r="I15" i="9"/>
  <c r="I14" i="9"/>
  <c r="I13" i="9"/>
  <c r="I12" i="9"/>
  <c r="I11" i="9"/>
  <c r="I10" i="9"/>
  <c r="I9" i="9"/>
  <c r="I8" i="9"/>
  <c r="I7" i="9"/>
  <c r="I6" i="9"/>
  <c r="F3" i="9"/>
  <c r="H20" i="8"/>
  <c r="G20" i="8" s="1"/>
  <c r="F20" i="8"/>
  <c r="I17" i="8"/>
  <c r="I16" i="8"/>
  <c r="I15" i="8"/>
  <c r="I14" i="8"/>
  <c r="I13" i="8"/>
  <c r="I12" i="8"/>
  <c r="I11" i="8"/>
  <c r="I10" i="8"/>
  <c r="I9" i="8"/>
  <c r="I8" i="8"/>
  <c r="I7" i="8"/>
  <c r="F20" i="7"/>
  <c r="I17" i="7"/>
  <c r="I16" i="7"/>
  <c r="I15" i="7"/>
  <c r="I14" i="7"/>
  <c r="I13" i="7"/>
  <c r="I12" i="7"/>
  <c r="I11" i="7"/>
  <c r="I10" i="7"/>
  <c r="I9" i="7"/>
  <c r="I8" i="7"/>
  <c r="I17" i="6"/>
  <c r="I16" i="6"/>
  <c r="I15" i="6"/>
  <c r="I14" i="6"/>
  <c r="I13" i="6"/>
  <c r="I12" i="6"/>
  <c r="I11" i="6"/>
  <c r="I10" i="6"/>
  <c r="I9" i="6"/>
  <c r="I8" i="6"/>
  <c r="H20" i="5"/>
  <c r="G20" i="5" s="1"/>
  <c r="I17" i="5"/>
  <c r="I16" i="5"/>
  <c r="I15" i="5"/>
  <c r="I14" i="5"/>
  <c r="I13" i="5"/>
  <c r="I12" i="5"/>
  <c r="I11" i="5"/>
  <c r="I10" i="5"/>
  <c r="I9" i="5"/>
  <c r="I8" i="5"/>
  <c r="I7" i="5"/>
  <c r="I6" i="5"/>
  <c r="H20" i="4"/>
  <c r="G20" i="4" s="1"/>
  <c r="D20" i="4"/>
  <c r="B20" i="4"/>
  <c r="I17" i="4"/>
  <c r="I16" i="4"/>
  <c r="I15" i="4"/>
  <c r="I14" i="4"/>
  <c r="I13" i="4"/>
  <c r="I12" i="4"/>
  <c r="I11" i="4"/>
  <c r="I10" i="4"/>
  <c r="I9" i="4"/>
  <c r="I8" i="4"/>
  <c r="I7" i="4"/>
  <c r="F3" i="4"/>
  <c r="H20" i="3"/>
  <c r="G20" i="3" s="1"/>
  <c r="F20" i="3"/>
  <c r="D20" i="3"/>
  <c r="B20" i="3"/>
  <c r="I17" i="3"/>
  <c r="F3" i="3"/>
  <c r="H20" i="2"/>
  <c r="G20" i="2" s="1"/>
  <c r="F20" i="2"/>
  <c r="D20" i="2"/>
  <c r="B20" i="2"/>
  <c r="I17" i="2"/>
  <c r="I16" i="2"/>
  <c r="I15" i="2"/>
  <c r="I14" i="2"/>
  <c r="I8" i="2"/>
  <c r="F3" i="2"/>
  <c r="H20" i="1"/>
  <c r="G20" i="1" s="1"/>
  <c r="F20" i="1"/>
  <c r="D20" i="1"/>
  <c r="B20" i="1"/>
  <c r="I17" i="1"/>
  <c r="I16" i="1"/>
  <c r="I15" i="1"/>
  <c r="F3" i="1"/>
  <c r="E10" i="74"/>
  <c r="A20" i="22" l="1"/>
  <c r="C20" i="22" s="1"/>
  <c r="I3" i="22" s="1"/>
  <c r="F20" i="9"/>
  <c r="H20" i="6"/>
  <c r="G20" i="6" s="1"/>
  <c r="B20" i="6"/>
  <c r="D20" i="6"/>
  <c r="F3" i="6"/>
  <c r="F20" i="5"/>
  <c r="F20" i="42"/>
  <c r="H20" i="42"/>
  <c r="G20" i="42" s="1"/>
  <c r="D20" i="42"/>
  <c r="F3" i="41"/>
  <c r="B20" i="41"/>
  <c r="A20" i="41" s="1"/>
  <c r="D20" i="41"/>
  <c r="H20" i="36"/>
  <c r="G20" i="36" s="1"/>
  <c r="F3" i="36"/>
  <c r="F3" i="34"/>
  <c r="B20" i="34"/>
  <c r="D20" i="34"/>
  <c r="F20" i="33"/>
  <c r="H20" i="33"/>
  <c r="G20" i="33" s="1"/>
  <c r="F3" i="33"/>
  <c r="F3" i="30"/>
  <c r="B20" i="30"/>
  <c r="A20" i="21"/>
  <c r="C20" i="21" s="1"/>
  <c r="F3" i="20"/>
  <c r="F20" i="20"/>
  <c r="D20" i="20"/>
  <c r="H20" i="20"/>
  <c r="G20" i="20" s="1"/>
  <c r="H20" i="18"/>
  <c r="G20" i="18" s="1"/>
  <c r="F3" i="18"/>
  <c r="B20" i="18"/>
  <c r="D20" i="18"/>
  <c r="H20" i="17"/>
  <c r="G20" i="17" s="1"/>
  <c r="B20" i="17"/>
  <c r="A20" i="16"/>
  <c r="C20" i="16" s="1"/>
  <c r="I3" i="16" s="1"/>
  <c r="E20" i="16" s="1"/>
  <c r="A20" i="15"/>
  <c r="C20" i="15" s="1"/>
  <c r="I4" i="15" s="1"/>
  <c r="F20" i="10"/>
  <c r="D20" i="10"/>
  <c r="H20" i="10"/>
  <c r="G20" i="10" s="1"/>
  <c r="A20" i="10"/>
  <c r="B20" i="9"/>
  <c r="D20" i="9"/>
  <c r="F3" i="8"/>
  <c r="B20" i="8"/>
  <c r="F3" i="7"/>
  <c r="B20" i="7"/>
  <c r="D20" i="7"/>
  <c r="B20" i="5"/>
  <c r="D20" i="5"/>
  <c r="A20" i="3"/>
  <c r="C20" i="3" s="1"/>
  <c r="I3" i="3" s="1"/>
  <c r="A20" i="2"/>
  <c r="C20" i="2" s="1"/>
  <c r="I4" i="2" s="1"/>
  <c r="A20" i="42"/>
  <c r="C20" i="42" s="1"/>
  <c r="I3" i="42" s="1"/>
  <c r="C20" i="38"/>
  <c r="A20" i="26"/>
  <c r="C20" i="26" s="1"/>
  <c r="A20" i="25"/>
  <c r="C20" i="25" s="1"/>
  <c r="A20" i="24"/>
  <c r="C20" i="24" s="1"/>
  <c r="A20" i="23"/>
  <c r="C20" i="23" s="1"/>
  <c r="A20" i="20"/>
  <c r="C20" i="20" s="1"/>
  <c r="I4" i="20" s="1"/>
  <c r="A20" i="19"/>
  <c r="C20" i="19" s="1"/>
  <c r="A20" i="14"/>
  <c r="C20" i="14" s="1"/>
  <c r="A20" i="13"/>
  <c r="C20" i="13" s="1"/>
  <c r="I4" i="13" s="1"/>
  <c r="A20" i="12"/>
  <c r="C20" i="12" s="1"/>
  <c r="I6" i="12" s="1"/>
  <c r="A20" i="11"/>
  <c r="C20" i="11" s="1"/>
  <c r="I5" i="11" s="1"/>
  <c r="C20" i="10"/>
  <c r="I6" i="10" s="1"/>
  <c r="A20" i="1"/>
  <c r="C20" i="1" s="1"/>
  <c r="I3" i="1" s="1"/>
  <c r="A20" i="4"/>
  <c r="C20" i="4" s="1"/>
  <c r="I6" i="7"/>
  <c r="I7" i="7"/>
  <c r="I5" i="15"/>
  <c r="I13" i="11"/>
  <c r="I7" i="11"/>
  <c r="I10" i="11"/>
  <c r="I8" i="11"/>
  <c r="I15" i="11"/>
  <c r="I6" i="11"/>
  <c r="I14" i="11"/>
  <c r="I9" i="11"/>
  <c r="I12" i="11"/>
  <c r="I11" i="11"/>
  <c r="I10" i="1"/>
  <c r="I6" i="1"/>
  <c r="I9" i="1"/>
  <c r="I14" i="1"/>
  <c r="I11" i="1"/>
  <c r="I8" i="1"/>
  <c r="I12" i="1"/>
  <c r="I13" i="1"/>
  <c r="I7" i="1"/>
  <c r="I16" i="3"/>
  <c r="I10" i="3"/>
  <c r="I15" i="3"/>
  <c r="I9" i="3"/>
  <c r="I11" i="3"/>
  <c r="I14" i="3"/>
  <c r="I8" i="3"/>
  <c r="I12" i="3"/>
  <c r="I6" i="3"/>
  <c r="I13" i="3"/>
  <c r="I7" i="3"/>
  <c r="I12" i="13"/>
  <c r="D20" i="27"/>
  <c r="F3" i="27"/>
  <c r="H20" i="27"/>
  <c r="G20" i="27" s="1"/>
  <c r="B20" i="27"/>
  <c r="F20" i="27"/>
  <c r="I10" i="2"/>
  <c r="A20" i="36"/>
  <c r="C20" i="36" s="1"/>
  <c r="A20" i="40"/>
  <c r="C20" i="40" s="1"/>
  <c r="I13" i="13"/>
  <c r="I7" i="13"/>
  <c r="I17" i="13"/>
  <c r="I11" i="13"/>
  <c r="I16" i="13"/>
  <c r="I10" i="13"/>
  <c r="I5" i="18"/>
  <c r="A20" i="34"/>
  <c r="C20" i="34" s="1"/>
  <c r="E20" i="34" s="1"/>
  <c r="I9" i="2"/>
  <c r="I4" i="12"/>
  <c r="I11" i="2"/>
  <c r="I5" i="4"/>
  <c r="I15" i="13"/>
  <c r="I5" i="20"/>
  <c r="I8" i="20"/>
  <c r="I7" i="20"/>
  <c r="A20" i="28"/>
  <c r="C20" i="28" s="1"/>
  <c r="I3" i="38"/>
  <c r="I6" i="38"/>
  <c r="I5" i="38"/>
  <c r="I4" i="38"/>
  <c r="I5" i="42"/>
  <c r="I4" i="42"/>
  <c r="I6" i="4"/>
  <c r="I6" i="6"/>
  <c r="I6" i="8"/>
  <c r="I6" i="13"/>
  <c r="I4" i="10"/>
  <c r="I9" i="13"/>
  <c r="I5" i="16"/>
  <c r="I6" i="18"/>
  <c r="I6" i="2"/>
  <c r="I12" i="2"/>
  <c r="I7" i="2"/>
  <c r="I3" i="12"/>
  <c r="I8" i="13"/>
  <c r="I5" i="22"/>
  <c r="I4" i="22"/>
  <c r="I7" i="22"/>
  <c r="A20" i="32"/>
  <c r="C20" i="32" s="1"/>
  <c r="A20" i="29"/>
  <c r="C20" i="29" s="1"/>
  <c r="A20" i="31"/>
  <c r="C20" i="31" s="1"/>
  <c r="A20" i="33"/>
  <c r="A20" i="35"/>
  <c r="C20" i="35" s="1"/>
  <c r="A20" i="37"/>
  <c r="E20" i="38"/>
  <c r="C20" i="33"/>
  <c r="C20" i="37"/>
  <c r="E20" i="42"/>
  <c r="H22" i="42" s="1"/>
  <c r="H23" i="42" s="1"/>
  <c r="A20" i="39"/>
  <c r="C20" i="39" s="1"/>
  <c r="E20" i="22" l="1"/>
  <c r="H22" i="22" s="1"/>
  <c r="H23" i="22" s="1"/>
  <c r="I3" i="20"/>
  <c r="E20" i="20" s="1"/>
  <c r="A20" i="18"/>
  <c r="C20" i="18" s="1"/>
  <c r="A20" i="17"/>
  <c r="C20" i="17" s="1"/>
  <c r="I3" i="17" s="1"/>
  <c r="I4" i="16"/>
  <c r="I3" i="15"/>
  <c r="E20" i="15" s="1"/>
  <c r="E20" i="12"/>
  <c r="H22" i="12" s="1"/>
  <c r="H23" i="12" s="1"/>
  <c r="I4" i="11"/>
  <c r="A20" i="8"/>
  <c r="C20" i="8" s="1"/>
  <c r="I4" i="8" s="1"/>
  <c r="E20" i="3"/>
  <c r="H22" i="3" s="1"/>
  <c r="H23" i="3" s="1"/>
  <c r="I5" i="3"/>
  <c r="I4" i="3"/>
  <c r="E20" i="1"/>
  <c r="H22" i="1" s="1"/>
  <c r="H23" i="1" s="1"/>
  <c r="I4" i="1"/>
  <c r="I14" i="13"/>
  <c r="I5" i="13"/>
  <c r="E20" i="11"/>
  <c r="I3" i="11"/>
  <c r="E20" i="10"/>
  <c r="E3" i="10" s="1"/>
  <c r="F19" i="74" s="1"/>
  <c r="G19" i="74" s="1"/>
  <c r="I5" i="10"/>
  <c r="A20" i="6"/>
  <c r="C20" i="6" s="1"/>
  <c r="I3" i="4"/>
  <c r="E20" i="4"/>
  <c r="H22" i="4" s="1"/>
  <c r="H23" i="4" s="1"/>
  <c r="I4" i="4"/>
  <c r="I13" i="2"/>
  <c r="I5" i="2"/>
  <c r="I3" i="2"/>
  <c r="E20" i="2" s="1"/>
  <c r="I5" i="1"/>
  <c r="C20" i="41"/>
  <c r="I4" i="41" s="1"/>
  <c r="A20" i="30"/>
  <c r="C20" i="30" s="1"/>
  <c r="I3" i="30" s="1"/>
  <c r="I3" i="13"/>
  <c r="E20" i="13" s="1"/>
  <c r="H22" i="13" s="1"/>
  <c r="H23" i="13" s="1"/>
  <c r="I3" i="10"/>
  <c r="A20" i="9"/>
  <c r="C20" i="9" s="1"/>
  <c r="I4" i="9" s="1"/>
  <c r="A20" i="7"/>
  <c r="C20" i="7" s="1"/>
  <c r="I4" i="7" s="1"/>
  <c r="A20" i="5"/>
  <c r="C20" i="5" s="1"/>
  <c r="I4" i="5" s="1"/>
  <c r="E3" i="1"/>
  <c r="F10" i="74" s="1"/>
  <c r="G10" i="74" s="1"/>
  <c r="H22" i="38"/>
  <c r="H23" i="38" s="1"/>
  <c r="E3" i="38"/>
  <c r="F47" i="74" s="1"/>
  <c r="G47" i="74" s="1"/>
  <c r="E3" i="12"/>
  <c r="F21" i="74" s="1"/>
  <c r="G21" i="74" s="1"/>
  <c r="E3" i="4"/>
  <c r="F13" i="74" s="1"/>
  <c r="G13" i="74" s="1"/>
  <c r="E3" i="3"/>
  <c r="F12" i="74" s="1"/>
  <c r="G12" i="74" s="1"/>
  <c r="H22" i="15"/>
  <c r="H23" i="15" s="1"/>
  <c r="E3" i="15"/>
  <c r="F24" i="74" s="1"/>
  <c r="G24" i="74" s="1"/>
  <c r="I3" i="29"/>
  <c r="E20" i="29" s="1"/>
  <c r="I6" i="29"/>
  <c r="I5" i="29"/>
  <c r="I4" i="29"/>
  <c r="H22" i="2"/>
  <c r="H23" i="2" s="1"/>
  <c r="E3" i="2"/>
  <c r="F11" i="74" s="1"/>
  <c r="G11" i="74" s="1"/>
  <c r="I6" i="36"/>
  <c r="I11" i="36"/>
  <c r="I5" i="36"/>
  <c r="I10" i="36"/>
  <c r="I4" i="36"/>
  <c r="I9" i="36"/>
  <c r="I3" i="36"/>
  <c r="E20" i="36" s="1"/>
  <c r="I8" i="36"/>
  <c r="I7" i="36"/>
  <c r="I3" i="31"/>
  <c r="E20" i="31" s="1"/>
  <c r="I8" i="31"/>
  <c r="I7" i="31"/>
  <c r="I6" i="31"/>
  <c r="I5" i="31"/>
  <c r="I4" i="31"/>
  <c r="I6" i="32"/>
  <c r="I5" i="32"/>
  <c r="I4" i="32"/>
  <c r="I3" i="32"/>
  <c r="I6" i="28"/>
  <c r="I5" i="28"/>
  <c r="I10" i="28"/>
  <c r="I4" i="28"/>
  <c r="I9" i="28"/>
  <c r="I3" i="28"/>
  <c r="E20" i="28" s="1"/>
  <c r="E3" i="28" s="1"/>
  <c r="F37" i="74" s="1"/>
  <c r="G37" i="74" s="1"/>
  <c r="I8" i="28"/>
  <c r="I7" i="28"/>
  <c r="H22" i="16"/>
  <c r="H23" i="16" s="1"/>
  <c r="E3" i="16"/>
  <c r="F25" i="74" s="1"/>
  <c r="G25" i="74" s="1"/>
  <c r="H22" i="11"/>
  <c r="H23" i="11" s="1"/>
  <c r="E3" i="11"/>
  <c r="F20" i="74" s="1"/>
  <c r="G20" i="74" s="1"/>
  <c r="H22" i="20"/>
  <c r="H23" i="20" s="1"/>
  <c r="E3" i="20"/>
  <c r="F29" i="74" s="1"/>
  <c r="G29" i="74" s="1"/>
  <c r="I6" i="30"/>
  <c r="I5" i="30"/>
  <c r="E20" i="30" s="1"/>
  <c r="I4" i="30"/>
  <c r="I3" i="35"/>
  <c r="I5" i="35"/>
  <c r="I4" i="35"/>
  <c r="E20" i="35" s="1"/>
  <c r="E3" i="42"/>
  <c r="F51" i="74" s="1"/>
  <c r="G51" i="74" s="1"/>
  <c r="I8" i="23"/>
  <c r="I7" i="23"/>
  <c r="I6" i="23"/>
  <c r="I5" i="23"/>
  <c r="I10" i="23"/>
  <c r="I4" i="23"/>
  <c r="I3" i="23"/>
  <c r="E20" i="23" s="1"/>
  <c r="I9" i="23"/>
  <c r="I5" i="34"/>
  <c r="I4" i="34"/>
  <c r="I3" i="34"/>
  <c r="H22" i="34"/>
  <c r="H23" i="34" s="1"/>
  <c r="E3" i="34"/>
  <c r="F43" i="74" s="1"/>
  <c r="G43" i="74" s="1"/>
  <c r="I3" i="33"/>
  <c r="I5" i="33"/>
  <c r="I4" i="33"/>
  <c r="E20" i="33"/>
  <c r="E3" i="33" s="1"/>
  <c r="F42" i="74" s="1"/>
  <c r="G42" i="74" s="1"/>
  <c r="I5" i="24"/>
  <c r="I4" i="24"/>
  <c r="I3" i="24"/>
  <c r="E20" i="24" s="1"/>
  <c r="I7" i="24"/>
  <c r="I6" i="24"/>
  <c r="I5" i="19"/>
  <c r="I4" i="19"/>
  <c r="I3" i="19"/>
  <c r="E20" i="19" s="1"/>
  <c r="H22" i="19" s="1"/>
  <c r="H23" i="19" s="1"/>
  <c r="I5" i="26"/>
  <c r="I4" i="26"/>
  <c r="I3" i="26"/>
  <c r="I6" i="26"/>
  <c r="I6" i="25"/>
  <c r="I5" i="25"/>
  <c r="I4" i="25"/>
  <c r="I3" i="25"/>
  <c r="E20" i="25" s="1"/>
  <c r="E3" i="25" s="1"/>
  <c r="F34" i="74" s="1"/>
  <c r="G34" i="74" s="1"/>
  <c r="E20" i="26"/>
  <c r="H22" i="26" s="1"/>
  <c r="H23" i="26" s="1"/>
  <c r="I8" i="21"/>
  <c r="I13" i="21"/>
  <c r="I7" i="21"/>
  <c r="I12" i="21"/>
  <c r="I6" i="21"/>
  <c r="I11" i="21"/>
  <c r="I5" i="21"/>
  <c r="I10" i="21"/>
  <c r="I4" i="21"/>
  <c r="E20" i="21" s="1"/>
  <c r="I9" i="21"/>
  <c r="I3" i="21"/>
  <c r="I5" i="17"/>
  <c r="I6" i="39"/>
  <c r="I5" i="39"/>
  <c r="I4" i="39"/>
  <c r="I3" i="39"/>
  <c r="E20" i="39" s="1"/>
  <c r="I3" i="37"/>
  <c r="I5" i="37"/>
  <c r="E20" i="37"/>
  <c r="H22" i="37" s="1"/>
  <c r="H23" i="37" s="1"/>
  <c r="I4" i="37"/>
  <c r="I4" i="14"/>
  <c r="I5" i="14"/>
  <c r="I3" i="14"/>
  <c r="I3" i="40"/>
  <c r="E20" i="40" s="1"/>
  <c r="I6" i="40"/>
  <c r="I5" i="40"/>
  <c r="I4" i="40"/>
  <c r="I7" i="40"/>
  <c r="I6" i="41"/>
  <c r="I5" i="41"/>
  <c r="A20" i="27"/>
  <c r="C20" i="27" s="1"/>
  <c r="I3" i="41" l="1"/>
  <c r="H22" i="40"/>
  <c r="H23" i="40" s="1"/>
  <c r="E3" i="40"/>
  <c r="F49" i="74" s="1"/>
  <c r="G49" i="74" s="1"/>
  <c r="E20" i="32"/>
  <c r="H22" i="32" s="1"/>
  <c r="H23" i="32" s="1"/>
  <c r="H22" i="24"/>
  <c r="H23" i="24" s="1"/>
  <c r="E3" i="24"/>
  <c r="F33" i="74" s="1"/>
  <c r="G33" i="74" s="1"/>
  <c r="E3" i="22"/>
  <c r="F31" i="74" s="1"/>
  <c r="G31" i="74" s="1"/>
  <c r="I3" i="18"/>
  <c r="E20" i="18" s="1"/>
  <c r="E3" i="18" s="1"/>
  <c r="F27" i="74" s="1"/>
  <c r="G27" i="74" s="1"/>
  <c r="I4" i="18"/>
  <c r="I4" i="17"/>
  <c r="E20" i="17"/>
  <c r="E3" i="17" s="1"/>
  <c r="F26" i="74" s="1"/>
  <c r="G26" i="74" s="1"/>
  <c r="H22" i="10"/>
  <c r="H23" i="10" s="1"/>
  <c r="I4" i="6"/>
  <c r="I3" i="8"/>
  <c r="E20" i="8"/>
  <c r="H22" i="8" s="1"/>
  <c r="H23" i="8" s="1"/>
  <c r="I5" i="8"/>
  <c r="E3" i="8"/>
  <c r="F17" i="74" s="1"/>
  <c r="G17" i="74" s="1"/>
  <c r="I3" i="7"/>
  <c r="I5" i="7"/>
  <c r="E20" i="7"/>
  <c r="E3" i="7" s="1"/>
  <c r="F16" i="74" s="1"/>
  <c r="G16" i="74" s="1"/>
  <c r="I7" i="6"/>
  <c r="I3" i="6"/>
  <c r="E20" i="6" s="1"/>
  <c r="H22" i="6" s="1"/>
  <c r="H23" i="6" s="1"/>
  <c r="I5" i="6"/>
  <c r="I3" i="5"/>
  <c r="E20" i="5" s="1"/>
  <c r="E3" i="5" s="1"/>
  <c r="F14" i="74" s="1"/>
  <c r="G14" i="74" s="1"/>
  <c r="I5" i="5"/>
  <c r="H22" i="28"/>
  <c r="H23" i="28" s="1"/>
  <c r="H22" i="25"/>
  <c r="H23" i="25" s="1"/>
  <c r="E3" i="13"/>
  <c r="F22" i="74" s="1"/>
  <c r="G22" i="74" s="1"/>
  <c r="I5" i="9"/>
  <c r="I3" i="9"/>
  <c r="E20" i="9" s="1"/>
  <c r="E3" i="37"/>
  <c r="F46" i="74" s="1"/>
  <c r="G46" i="74" s="1"/>
  <c r="H22" i="33"/>
  <c r="H23" i="33" s="1"/>
  <c r="E3" i="26"/>
  <c r="F35" i="74" s="1"/>
  <c r="G35" i="74" s="1"/>
  <c r="E3" i="19"/>
  <c r="F28" i="74" s="1"/>
  <c r="G28" i="74" s="1"/>
  <c r="E3" i="39"/>
  <c r="F48" i="74" s="1"/>
  <c r="G48" i="74" s="1"/>
  <c r="H22" i="39"/>
  <c r="H23" i="39" s="1"/>
  <c r="E3" i="23"/>
  <c r="F32" i="74" s="1"/>
  <c r="G32" i="74" s="1"/>
  <c r="H22" i="23"/>
  <c r="H23" i="23" s="1"/>
  <c r="E3" i="21"/>
  <c r="F30" i="74" s="1"/>
  <c r="G30" i="74" s="1"/>
  <c r="H22" i="21"/>
  <c r="H23" i="21" s="1"/>
  <c r="E3" i="35"/>
  <c r="F44" i="74" s="1"/>
  <c r="G44" i="74" s="1"/>
  <c r="H22" i="35"/>
  <c r="H23" i="35" s="1"/>
  <c r="H22" i="29"/>
  <c r="H23" i="29" s="1"/>
  <c r="E3" i="29"/>
  <c r="F38" i="74" s="1"/>
  <c r="G38" i="74" s="1"/>
  <c r="E3" i="30"/>
  <c r="F39" i="74" s="1"/>
  <c r="G39" i="74" s="1"/>
  <c r="H22" i="30"/>
  <c r="H23" i="30" s="1"/>
  <c r="H22" i="31"/>
  <c r="H23" i="31" s="1"/>
  <c r="E3" i="31"/>
  <c r="F40" i="74" s="1"/>
  <c r="G40" i="74" s="1"/>
  <c r="H22" i="36"/>
  <c r="H23" i="36" s="1"/>
  <c r="E3" i="36"/>
  <c r="F45" i="74" s="1"/>
  <c r="G45" i="74" s="1"/>
  <c r="I5" i="27"/>
  <c r="I7" i="27"/>
  <c r="I4" i="27"/>
  <c r="I3" i="27"/>
  <c r="E20" i="27" s="1"/>
  <c r="I6" i="27"/>
  <c r="H22" i="17"/>
  <c r="H23" i="17" s="1"/>
  <c r="E20" i="14"/>
  <c r="E20" i="41"/>
  <c r="E3" i="32" l="1"/>
  <c r="F41" i="74" s="1"/>
  <c r="G41" i="74" s="1"/>
  <c r="H22" i="27"/>
  <c r="H23" i="27" s="1"/>
  <c r="E3" i="27"/>
  <c r="F36" i="74" s="1"/>
  <c r="G36" i="74" s="1"/>
  <c r="H22" i="18"/>
  <c r="H23" i="18" s="1"/>
  <c r="H22" i="7"/>
  <c r="H23" i="7" s="1"/>
  <c r="E3" i="6"/>
  <c r="F15" i="74" s="1"/>
  <c r="G15" i="74" s="1"/>
  <c r="H22" i="5"/>
  <c r="H23" i="5" s="1"/>
  <c r="H22" i="9"/>
  <c r="H23" i="9" s="1"/>
  <c r="E3" i="9"/>
  <c r="F18" i="74" s="1"/>
  <c r="G18" i="74" s="1"/>
  <c r="H22" i="41"/>
  <c r="H23" i="41" s="1"/>
  <c r="E3" i="41"/>
  <c r="F50" i="74" s="1"/>
  <c r="G50" i="74" s="1"/>
  <c r="E3" i="14"/>
  <c r="F23" i="74" s="1"/>
  <c r="G23" i="74" s="1"/>
  <c r="H22" i="14"/>
  <c r="H23" i="14" s="1"/>
  <c r="G52" i="74" l="1"/>
</calcChain>
</file>

<file path=xl/sharedStrings.xml><?xml version="1.0" encoding="utf-8"?>
<sst xmlns="http://schemas.openxmlformats.org/spreadsheetml/2006/main" count="1276" uniqueCount="128">
  <si>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</si>
  <si>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</si>
  <si>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</si>
  <si>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</si>
  <si>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</si>
  <si>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</si>
  <si>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</si>
  <si>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</si>
  <si>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</si>
  <si>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</si>
  <si>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</si>
  <si>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</si>
  <si>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</si>
  <si>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</si>
  <si>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</si>
  <si>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</si>
  <si>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</si>
  <si>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</si>
  <si>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</si>
  <si>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</si>
  <si>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</si>
  <si>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</si>
  <si>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</si>
  <si>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</si>
  <si>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</si>
  <si>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</si>
  <si>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</si>
  <si>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</si>
  <si>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</si>
  <si>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</si>
  <si>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</si>
  <si>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</si>
  <si>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</si>
  <si>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</si>
  <si>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</si>
  <si>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</si>
  <si>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</si>
  <si>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</si>
  <si>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</si>
  <si>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</si>
  <si>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</si>
  <si>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</si>
  <si>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</si>
  <si>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</si>
  <si>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</si>
  <si>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</si>
  <si>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</si>
  <si>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</si>
  <si>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</si>
  <si>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</si>
  <si>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</si>
  <si>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</si>
  <si>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</si>
  <si>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</si>
  <si>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</si>
  <si>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</si>
  <si>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</si>
  <si>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</si>
  <si>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</si>
  <si>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</si>
  <si>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</si>
  <si>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</si>
  <si>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</si>
  <si>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</si>
  <si>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</si>
  <si>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</si>
  <si>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</si>
  <si>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TRIBUNAL REGIONAL ELEITORAL DA BAHIA</t>
  </si>
  <si>
    <t>Seção de Análise e Aquisições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</si>
  <si>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</si>
  <si>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</si>
  <si>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</si>
  <si>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</si>
  <si>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</si>
  <si>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</si>
  <si>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</si>
  <si>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</si>
  <si>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 xml:space="preserve">Confecção de persiana para Zona de ESPLANADA, medindo 2,20m x 2,38m, totalizando 5,24m2. 
A fixação será na parede e a abertura será central.
</t>
  </si>
  <si>
    <t xml:space="preserve">Confecção de persianas para Zona de SIMÕES FILHO, com as medidas abaixo, totalizando 8,20m²:
• Janela 1: (1,90 x 2,00)m – abertura para a esquerda;
• Janela 2: (2,20 x 2,00)m – abertura central.
Todas deverão ser fixadas na parede.
</t>
  </si>
  <si>
    <t xml:space="preserve">Confecção de persianas para Zona de CATU, com as medidas abaixo, totalizando 12,56m²:
• Janela 1: (2,36 x 1,40)m – abertura central;
• Janela 2: (2,36 x 1,40)m – abertura central; 
• Janela 3: (1,90 x 1,40)m – abertura para direita;
• Janela 4: (1,36 x 1,40)m – abertura central;
• Janela 5: (1,00 x 1,40)m – abertura para direita. 
Todas deverão ser fixadas na parede.
</t>
  </si>
  <si>
    <t xml:space="preserve">Confecção de persianas para Zona de FEIRA DE SANTANA, com as medidas abaixo, totalizando 7,48m²:
• Janela 1: (2,20 x 1,70)m – abertura para esquerda;
• Janela 2: (2,20 x 1,70)m – abertura para direita.
Todas deverão ser fixadas na parede.
</t>
  </si>
  <si>
    <t xml:space="preserve">Confecção de persianas para Zona de CAMAÇARI, com as medidas abaixo, totalizando 64,22m².
Central de Atendimento, com as medidas abaixo, totalizando 29,28m²:
• Janela 1.1: (1,20 x 1,50)m – abertura para a esquerda;
• Janela 1.2: (1,90 x 1,50)m – abertura para a direita;
• Janela 1.3: (3,00 x 1,50)m – abertura central;
• Janela 2.1: (1,98 x 1,50)m – abertura para a esquerda;
• Janela 2.2: (1,98 x 1,50)m – abertura central;
• Janela 2.3: (1,98 x 1,50)m – abertura para a direita;
• Janela 3.1: (2,49 x 1,50)m – abertura para a esquerda;
• Janela 3.2: (2,49 x 1,50)m – abertura central;
• Janela 3.3: (2,49 x 1,50)m – abertura para a direita.
Sala de Treinamento, com as medidas abaixo, totalizando 7,00m²:
• Janela 4.1: (2,33 x 1,50)m – abertura para a esquerda;
• Janela 4.2: (2,33 x 1,50)m – abertura para a direita.
Cartório da 170ª Zona Eleitoral, com as medidas abaixo, totalizando 11,12m²:
• Janela 5.1: (2,45 x 1,50)m – abertura para a esquerda;
• Janela 5.2: (2,45 x 1,50)m – abertura para a direita;
• Janela 6: (2,51 x 1,50)m – abertura central.
Cartório da 171ª Zona Eleitoral, com as medidas abaixo, totalizando 16,82m²:
• Janela 7.1: (1,88 x 1,50)m – abertura para a esquerda;
• Janela 7.2: (1,88 x 1,50)m – abertura para a direita;
• Janela 8: (2,85 x 1,50)m – abertura para a direita;
• Janela 9.1: (2,30 x 1,50)m – abertura para a direita;
• Janela 9.2: (2,30 x 1,50)m – abertura para a esquerda.
Todas deverão ser fixadas no fundo da viga.
</t>
  </si>
  <si>
    <t xml:space="preserve">Confecção de persianas para Zona de RETIROLÂNDIA, com as medidas abaixo, totalizando 19,38m²:
• Janelas 1 a 4: (2,40 x 1,70)m;
• Janela 5: (1,80 x 1,70)m.
A fixação será na parede e a abertura para a esquerda.
</t>
  </si>
  <si>
    <t xml:space="preserve">Confecção de persianas para Zona de POJUCA, com as medidas abaixo, totalizando 4,32m²:
• Janela 1: (1,65 x 1,35)m;
• Janela 2: (1,55 x 1,35)m.
Todas deverão ser fixadas na parede e a abertura para a esquerda.
</t>
  </si>
  <si>
    <t xml:space="preserve">Confecção de persianas para Zona de VALENTE, medindo 2,90m x 2,00m cada, totalizando 11,60m2. 
A fixação será na parede e a abertura será central.
</t>
  </si>
  <si>
    <t xml:space="preserve">Confecção de persianas para Zona de SÃO FRANCISCO DO CONDE, com as medidas abaixo, totalizando 12,30m²:
• Porta 1 - Cartório: (2,53 x 2,65)m – abertura para a esquerda;
• Porta 2 - Cartório: (2,00 x 2,80)m – abertura para a esquerda.
Todas deverão ser fixadas na parede.
</t>
  </si>
  <si>
    <t xml:space="preserve">Confecção de persianas para Zona de IPIRÁ, com as medidas abaixo, totalizando 7,38m²:
• Janela 1 - Cartório: (1,90 x 1,70)m – abertura central;
• Janela 2 - Sala do juiz: (1,70 x 1,70)m – abertura central;
• Janela 3 - Copa: (1,80 x 0,70)m – abertura para a esquerda.
Todas deverão ser fixadas na parede.
</t>
  </si>
  <si>
    <t xml:space="preserve">Confecção de persiana para Zona de SANTA TERESINHA, medindo 1,65m x 1,30m e totalizando 2,15m2, para a janela da sala do analista. 
A fixação será no teto e a abertura será para a esquerda.
</t>
  </si>
  <si>
    <t xml:space="preserve">Confecção de persianas para Zona de JUAZEIRO, para a sala de audiências da 47ª Zona Eleitoral, medindo 2,27m x 1,87m cada, totalizando 8,49m2. 
A fixação será na parede e a abertura será central.
</t>
  </si>
  <si>
    <t xml:space="preserve">Confecção de persianas para Zona de PARIPIRANGA, com as medidas abaixo, totalizando 24,05m²:
• Janela 1: (1,70 x 1,90)m – abertura para a direita;
• Janela 2: (1,70 x 1,90)m – abertura para a direita;
• Janela 3: (1,15 x 1,40)m – abertura para a direita;
• Janela 4: (1,80 x 1,90)m – abertura central;
• Janela 5: (1,30 x 1,40)m – abertura central;
• Janela 6: (1,70 x 1,40)m – abertura para a esquerda;
• Janela 7: (2,40 x 1,40)m – abertura central;
• Janela 8: (1,60 x 1,90)m – abertura para a direita;
• Janela 9: (1,40 x 1,40)m – abertura central.
Todas deverão ser fixadas na parede.
</t>
  </si>
  <si>
    <t xml:space="preserve">Confecção de persiana para Zona de TUCANO, medindo 2,90m x 1,75m e totalizando 5,08m2. 
A fixação será na parede e a abertura será central.
</t>
  </si>
  <si>
    <t xml:space="preserve">Confecção de persianas para Zona de SENTO SÉ com as medidas abaixo, totalizando 6,40m²:
• Janela 1.1: (2,00 x 1,60)m – abertura para a direita;
• Janela 1.2: (2,00 x 1,60)m – abertura para a esquerda.
Todas deverão ser fixadas na parede.
</t>
  </si>
  <si>
    <t xml:space="preserve">Confecção de persianas para Zona de ITIÚBA medindo 2,00m x 1,85m cada, totalizando 7,40m2. 
A fixação será na parede e a abertura será lateral para esquerda.
</t>
  </si>
  <si>
    <t xml:space="preserve">Confecção de persianas para Zona de CHORROCHÓ com as medidas abaixo, totalizando 5,29m²:
• Janela 1: (1,45 x 1,30)m;
• Janela 2: (1,65 x 2,06)m.
Todas deverão ser fixadas na parede e a abertura será central.
</t>
  </si>
  <si>
    <t xml:space="preserve">Confecção de persianas para Zona de JAGUARARI medindo 1,50m x 1,00m cada, totalizando 3,00m².
Todas deverão ser fixadas na parede e abertura central.
</t>
  </si>
  <si>
    <t xml:space="preserve">Confecção de persiana para Zona de LENÇÓIS, medindo 1,60m x 1,20m e totalizando 1,92m2. 
A fixação será na parede e a abertura será central.
</t>
  </si>
  <si>
    <t xml:space="preserve">Confecção de persianas para Zona de IRECÊ, com as medidas abaixo, totalizando 11,67m²:
• Janela 1: (2,15 x 1,80)m – abertura central;
• Janela 2.1: (2,05 x 1,90)m – abertura para a esquerda;
• Janela 2.2: (2,05 x 1,90)m – abertura para a direita.
Todas deverão ser fixadas na parede.
</t>
  </si>
  <si>
    <t xml:space="preserve">Confecção de persiana para Zona de PIATÃ, medindo 2,30m x 1,80m e totalizando 4,14m2. 
A fixação será no teto e a abertura será para a esquerda.
</t>
  </si>
  <si>
    <t xml:space="preserve">Confecção de persiana para Zona de IBOTIRAMA, medindo 1,60m x 1,40m, totalizando 2,24m².
Fixação na parede e abertura lateral para esquerda.
</t>
  </si>
  <si>
    <t xml:space="preserve">Confecção de persianas para Zona de BARRA DO MENDES, com as medidas abaixo, totalizando 13,50m²:
• Janelas 1 a 3: (1,70 x 2,10)m – abertura para esquerda;
• Janela 4: (1,47 x 1,90)m – abertura central.
Todas deverão ser fixadas na parede.
</t>
  </si>
  <si>
    <t xml:space="preserve">Confecção de persianas para Zona de SANTA RITA DE CÁSSIA, com as medidas abaixo, totalizando 7,51m²:
• Janelas 1 e 2: (1,90 x 0,90)m – abertura central;
• Janela 3: (1,60 x 1,32)m – abertura para a direita;
• Janela 4: (1,58 x 1,25)m – abertura para a direita.
Todas deverão ser fixadas na parede.
</t>
  </si>
  <si>
    <t xml:space="preserve">Confecção de persiana para Zona de CORIBE, medindo 2,45m x 1,90m e totalizando 4,66m2.
A fixação será na parede e a abertura será central.
</t>
  </si>
  <si>
    <t xml:space="preserve">Confecção de persianas para Zona de GUANAMBI, medindo 3,20m x 1,18m cada, totalizando 7,56m2. 
A fixação será na parede e a abertura será central.
</t>
  </si>
  <si>
    <t xml:space="preserve">Confecção de persianas em BARREIRAS, no Cartório da 70ª Zona Eleitoral, com as medidas abaixo, totalizando 17,91m²:
• Janela 1: (2,36 x 1,57)m;
• Janela 2: (2,26 x 1,70)m;
• Janela 3: (2,10 x 1,70)m;
• Janela 4: (1,96 x 1,70)m;
• Janela 5: (2,16 x 1,60)m.
A fixação será na parede e a abertura será central.
Confecção de persianas BARREIRAS, no Cartório da 75ª Zona Eleitoral, com as medidas abaixo, totalizando 17,91m²:
• Janela 6: (2,36 x 1,57)m;
• Janela 7: (2,26 x 1,70)m;
• Janela 8: (2,10 x 1,70)m;
• Janela 9: (1,96 x 1,70)m;
• Janela 10: (2,16 x 1,60)m,
A fixação será na parede e a abertura será central.
</t>
  </si>
  <si>
    <t xml:space="preserve">Confecção de persiana para Zona de JACARACI, medindo 1,70m x 1,30m, totalizando 2,21m2. 
A fixação será na parede e a abertura será central.
</t>
  </si>
  <si>
    <t xml:space="preserve">Confecção de persianas para Zona de RIACHO DE SANTANA, com as medidas abaixo, totalizando 11,54m²:
• Janelas 1 e 2 - Salas de arquivo 1 e 2: (1,87 x 1,47)m – abertura para direita;
• Janela 3 - Sala de estar: (1,40 x 1,40)m – abertura central;
• Janela 4 - Sala de audiências: (2,40 x 1,70)m – abertura central.
Todas deverão ser fixadas na parede.
</t>
  </si>
  <si>
    <t xml:space="preserve">Confecção de persianas para Zona de CORRENTINA, com as medidas abaixo, totalizando 7,03m²:
• Janela 1: (2,50 x 1,90)m – abertura central;
• Janela 2: (1,90 x 1,20)m – abertura para esquerda.
Todas deverão ser fixadas na parede.
</t>
  </si>
  <si>
    <t xml:space="preserve">Confecção de persianas para Zona de TREMEDAL, com as medidas abaixo, totalizando 6,02m²:
• Janela 1 - Sala do chefe de cartório: (1,60 x 1,40)m – abertura central;
• Janela 2 - Sala técnica judiciária: (1,40 x 1,40)m – abertura central;
• Janela 3 - Recepção: (1,30 x 1,40)m – abertura lateral esquerda. 
Todas deverão ser fixadas na parede.
</t>
  </si>
  <si>
    <t xml:space="preserve">Confecção de persianas em JEQUIÉ, para o Cartório da 22ª Zona Eleitoral, com as medidas abaixo, totalizando 7,17m²:
• Janela 1: (1,80 x 0,78)m – abertura central;
• Janela 2.1: (2,30 x 0,78)m – abertura para a esquerda;
• Janela 2.2: (2,30 x 0,78)m – abertura para a direita;
• Janela 3 - sala do juiz: (2,79 x 0,78)m – abertura central.
Todas deverão ser fixadas na parede.
Confecção de persianas em JEQUIÉ, para o Cartório da 23ª Zona Eleitoral, com as medidas abaixo, totalizando 9,94m²:
• Janela 4.1: (2,50 x 0,78)m – abertura para a esquerda;
• Janela 4.2: (2,50 x 0,78)m – abertura para a direita;
• Janela 5: (1,80 x 0,78)m – abertura central;
• Janela 6: (3,20 x 0,78)m – abertura central;
• Janela 7 - sala do juiz: (2,75 x 0,78)m – abertura central.
Todas deverão ser fixadas na parede.
Confecção de persianas para a Sala de Treinamento, com as medidas abaixo, totalizando 5,58m²:
• Janela 8.1: (2,38 x 0,78)m – abertura para a esquerda;
• Janela 8.2: (2,38 x 0,78)m – abertura central;
• Janela 8.3: (2,38 x 0,78)m – abertura para a direita.
Todas deverão ser fixadas na parede.
</t>
  </si>
  <si>
    <t xml:space="preserve">Confecção de persianas para Zona de AMARGOSA, para a porta de entrada do cartório, medindo 2,10m x 3,20m cada, totalizando 13,44m2. 
A fixação será na parede e a abertura será lateral, uma para esquerda e outra para direita.
</t>
  </si>
  <si>
    <t xml:space="preserve">Confecção de persianas para Zona de COARACI, com as medidas abaixo, totalizando 12,44m²:
• Janela 1: (0,90 x 1,85)m;
• Janela 2: (1,90 x 1,80)m;
• Janela 3: (1,10 x 1,85)m;
• Janela 4: (1,10 x 1,85)m;
• Janela 5: (1,87 x 1,75)m.
A fixação será na parede e a abertura será central.
</t>
  </si>
  <si>
    <t xml:space="preserve">Confecção de persianas para Zona de ITAJUÍPE, com as medidas abaixo, totalizando 9,81m²:
• Janela 1: (2,50 x 2,10)m – abertura central e fixação na viga metálica;
• Janela 2.1: (1,69 x 1,35)m – abertura para a esquerda e fixação na parede;
• Janela 2.2: (1,69 x 1,35)m – abertura para a direita e fixação na parede.
</t>
  </si>
  <si>
    <t xml:space="preserve">Confecção de persiana para Zona de ITAGIBÁ, medindo 2,70m x 1,80m e totalizando 4,86m2. 
A fixação será na parede e a abertura será central.
</t>
  </si>
  <si>
    <t xml:space="preserve">Confecção de persianas para Zona de ENCRUZILHADA, com as medidas abaixo, totalizando 6,37m²:
• Janela 1 - Copa: (1,50 x 1,30)m – abertura para esquerda;
• Janela 2 - Sala de atendimento: (1,70 x 1,30)m – abertura central;
• Janela 3 - Sala do rack: (1,70 x 1,30)m – abertura central.
Todas deverão ser fixadas na parede.
</t>
  </si>
  <si>
    <t xml:space="preserve">Confecção de persianas em ITABUNA, no Cartório da 27ª Zona Eleitoral, totalizando 5,90 m²:
• Janela 1: (1,20 x 2,46)m;
• Janela 2: (1,20 x 2,46)m;
A fixação será na parede e a abertura será lateral para esquerda.
Confecção de persianas em ITABUNA, no Cartório da 28ª Zona Eleitoral, totalizando 5,90 m²:
• Janela 3: (1,20 x 2,46)m – abertura lateral para a esquerda e fixação na parede;
• Janela 4: (1,20 x 2,46)m – abertura lateral para a direita e fixação na parede.
</t>
  </si>
  <si>
    <t xml:space="preserve">Confecção de persianas para Zona de BELMONTE, medindo 1,60m x 1,24m cada, totalizando 3,96m2. 
A fixação será na parede e a abertura será lateral para a direita.
</t>
  </si>
  <si>
    <t xml:space="preserve">Confecção de persianas para Zona de PORTO SEGURO, apenas para o Cartório da 121ª Zona Eleitoral, com as medidas abaixo, totalizando 23,68m²:
• Janela 1 - sala do Cartório 1: (2,17 x 1,75)m;
• Janela 2 - sala do Cartório 1: (2,17 x 1,75)m.
A fixação será na parede e a abertura será lateral, uma para esquerda e outra para direita.
• Janela 3 - sala do Cartório 2: (3,14 x 1,75)m;
• Janela 4 - sala do Cartório 2: (3,14 x 1,75)m.
A fixação será na parede e a abertura será lateral, uma para esquerda e outra para direita.
• Janela 5 - sala da juíza: (2,90x1,75)m. 
A fixação será na parede e a abertura será central.
</t>
  </si>
  <si>
    <t xml:space="preserve">Confecção de persianas para Zona de ITAMBÉ, com as medidas abaixo, totalizando 7,72m²:
• Janela 1: (1,20 x 1,60)m – abertura para a direita;
• Janela 2: (1,90 x 1,45)m – abertura central;
• Janela 3: (1,90 x 1,60)m – abertura central.
Todas deverão ser fixadas na parede.
</t>
  </si>
  <si>
    <t xml:space="preserve">Confecção de persianas para Zona de CAMAMU, com as medidas abaixo, totalizando 7,96m²:
• Janela 1.1: (2,04 x 1,95)m – abertura para a esquerda;
• Janela 1.2: (2,04 x 1,95)m – abertura para a direita.
Todas deverão ser fixadas na parede.
</t>
  </si>
  <si>
    <t>ULEMÁ PEREIRA</t>
  </si>
  <si>
    <t>ANDREA CARLA</t>
  </si>
  <si>
    <t>LOTES</t>
  </si>
  <si>
    <t>Valor por Lote</t>
  </si>
  <si>
    <r>
      <t xml:space="preserve">1
</t>
    </r>
    <r>
      <rPr>
        <b/>
        <sz val="8"/>
        <rFont val="Calibri"/>
        <family val="2"/>
      </rPr>
      <t>(ITENS 1 A 9)</t>
    </r>
  </si>
  <si>
    <r>
      <t xml:space="preserve">2
</t>
    </r>
    <r>
      <rPr>
        <b/>
        <sz val="8"/>
        <rFont val="Calibri"/>
        <family val="2"/>
      </rPr>
      <t>(ITENS 10 A 18)</t>
    </r>
  </si>
  <si>
    <r>
      <t xml:space="preserve">3
</t>
    </r>
    <r>
      <rPr>
        <b/>
        <sz val="8"/>
        <rFont val="Calibri"/>
        <family val="2"/>
      </rPr>
      <t>(ITENS 19 A 24)</t>
    </r>
  </si>
  <si>
    <r>
      <t xml:space="preserve">4
</t>
    </r>
    <r>
      <rPr>
        <b/>
        <sz val="8"/>
        <rFont val="Calibri"/>
        <family val="2"/>
      </rPr>
      <t>(ITENS 25 A 31)</t>
    </r>
  </si>
  <si>
    <t>5 
(ITENS 32 A 42)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</si>
</sst>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21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  <font>
      <b/>
      <sz val="20"/>
      <name val="Calibri"/>
      <family val="2"/>
      <charset val="1"/>
    </font>
    <font>
      <b/>
      <sz val="14"/>
      <name val="Calibri"/>
      <family val="2"/>
    </font>
    <font>
      <b/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2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17" fillId="0" borderId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4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165" fontId="11" fillId="9" borderId="2" xfId="0" applyNumberFormat="1" applyFont="1" applyFill="1" applyBorder="1" applyAlignment="1">
      <alignment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8" fillId="10" borderId="6" xfId="0" applyFont="1" applyFill="1" applyBorder="1" applyAlignment="1">
      <alignment horizontal="center" vertical="top" wrapText="1"/>
    </xf>
    <xf numFmtId="0" fontId="18" fillId="10" borderId="8" xfId="0" applyFont="1" applyFill="1" applyBorder="1" applyAlignment="1">
      <alignment horizontal="center" vertical="top" wrapText="1"/>
    </xf>
    <xf numFmtId="0" fontId="18" fillId="10" borderId="9" xfId="0" applyFont="1" applyFill="1" applyBorder="1" applyAlignment="1">
      <alignment horizontal="center" vertical="top" wrapText="1"/>
    </xf>
    <xf numFmtId="0" fontId="20" fillId="10" borderId="6" xfId="0" applyFont="1" applyFill="1" applyBorder="1" applyAlignment="1">
      <alignment horizontal="center" vertical="top" wrapText="1"/>
    </xf>
    <xf numFmtId="165" fontId="19" fillId="10" borderId="6" xfId="1" applyFont="1" applyFill="1" applyBorder="1" applyAlignment="1" applyProtection="1">
      <alignment horizontal="center" vertical="top" wrapText="1"/>
    </xf>
    <xf numFmtId="165" fontId="19" fillId="10" borderId="8" xfId="1" applyFont="1" applyFill="1" applyBorder="1" applyAlignment="1" applyProtection="1">
      <alignment horizontal="center" vertical="top" wrapText="1"/>
    </xf>
    <xf numFmtId="165" fontId="19" fillId="10" borderId="9" xfId="1" applyFont="1" applyFill="1" applyBorder="1" applyAlignment="1" applyProtection="1">
      <alignment horizontal="center" vertical="top" wrapText="1"/>
    </xf>
    <xf numFmtId="165" fontId="19" fillId="10" borderId="8" xfId="1" applyFont="1" applyFill="1" applyBorder="1" applyAlignment="1" applyProtection="1">
      <alignment horizontal="center" vertical="top"/>
    </xf>
    <xf numFmtId="165" fontId="19" fillId="10" borderId="9" xfId="1" applyFont="1" applyFill="1" applyBorder="1" applyAlignment="1" applyProtection="1">
      <alignment horizontal="center" vertical="top"/>
    </xf>
  </cellXfs>
  <cellStyles count="22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rmal 2" xfId="14"/>
    <cellStyle name="Note 1" xfId="15"/>
    <cellStyle name="Resultado" xfId="16"/>
    <cellStyle name="Resultado2" xfId="17"/>
    <cellStyle name="Status 1" xfId="18"/>
    <cellStyle name="Text 1" xfId="19"/>
    <cellStyle name="Título1" xfId="20"/>
    <cellStyle name="Warning 1" xfId="2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3711600</xdr:colOff>
      <xdr:row>0</xdr:row>
      <xdr:rowOff>0</xdr:rowOff>
    </xdr:from>
    <xdr:to>
      <xdr:col>2</xdr:col>
      <xdr:colOff>4412160</xdr:colOff>
      <xdr:row>3</xdr:row>
      <xdr:rowOff>161640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355280" y="0"/>
          <a:ext cx="700560" cy="7329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A8"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77</v>
      </c>
      <c r="C3" s="46" t="s">
        <v>3</v>
      </c>
      <c r="D3" s="47">
        <v>1</v>
      </c>
      <c r="E3" s="48">
        <f>IF(C20&lt;=25%,D20,MIN(E20:F20))</f>
        <v>974.8</v>
      </c>
      <c r="F3" s="48">
        <f>MIN(H3:H17)</f>
        <v>954</v>
      </c>
      <c r="G3" s="6" t="s">
        <v>119</v>
      </c>
      <c r="H3" s="7">
        <v>995.6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954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29.415642097360394</v>
      </c>
      <c r="B20" s="19">
        <f>COUNT(H3:H17)</f>
        <v>2</v>
      </c>
      <c r="C20" s="20">
        <f>IF(B20&lt;2,"N/A",(A20/D20))</f>
        <v>3.017607929560976E-2</v>
      </c>
      <c r="D20" s="21">
        <f>ROUND(AVERAGE(H3:H17),2)</f>
        <v>974.8</v>
      </c>
      <c r="E20" s="22" t="str">
        <f>IFERROR(ROUND(IF(B20&lt;2,"N/A",(IF(C20&lt;=25%,"N/A",AVERAGE(I3:I17)))),2),"N/A")</f>
        <v>N/A</v>
      </c>
      <c r="F20" s="22">
        <f>ROUND(MEDIAN(H3:H17),2)</f>
        <v>974.8</v>
      </c>
      <c r="G20" s="23" t="str">
        <f>INDEX(G3:G17,MATCH(H20,H3:H17,0))</f>
        <v>ANDREA CARLA</v>
      </c>
      <c r="H20" s="24">
        <f>MIN(H3:H17)</f>
        <v>954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974.8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974.8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34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86</v>
      </c>
      <c r="C3" s="46" t="s">
        <v>3</v>
      </c>
      <c r="D3" s="47">
        <v>3</v>
      </c>
      <c r="E3" s="48">
        <f>IF(C20&lt;=25%,D20,MIN(E20:F20))</f>
        <v>453.6</v>
      </c>
      <c r="F3" s="48">
        <f>MIN(H3:H17)</f>
        <v>366</v>
      </c>
      <c r="G3" s="6" t="s">
        <v>119</v>
      </c>
      <c r="H3" s="7">
        <f>1623.6/3</f>
        <v>541.19999999999993</v>
      </c>
      <c r="I3" s="8">
        <f t="shared" ref="I3:I17" si="0">IF(H3="","",(IF($C$20&lt;25%,"N/A",IF(H3&lt;=($D$20+$A$20),H3,"Descartado"))))</f>
        <v>541.19999999999993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366</v>
      </c>
      <c r="I4" s="8">
        <f t="shared" si="0"/>
        <v>366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123.88510806388319</v>
      </c>
      <c r="B20" s="19">
        <f>COUNT(H3:H17)</f>
        <v>2</v>
      </c>
      <c r="C20" s="20">
        <f>IF(B20&lt;2,"N/A",(A20/D20))</f>
        <v>0.27311531760115343</v>
      </c>
      <c r="D20" s="21">
        <f>ROUND(AVERAGE(H3:H17),2)</f>
        <v>453.6</v>
      </c>
      <c r="E20" s="22">
        <f>IFERROR(ROUND(IF(B20&lt;2,"N/A",(IF(C20&lt;=25%,"N/A",AVERAGE(I3:I17)))),2),"N/A")</f>
        <v>453.6</v>
      </c>
      <c r="F20" s="22">
        <f>ROUND(MEDIAN(H3:H17),2)</f>
        <v>453.6</v>
      </c>
      <c r="G20" s="23" t="str">
        <f>INDEX(G3:G17,MATCH(H20,H3:H17,0))</f>
        <v>ANDREA CARLA</v>
      </c>
      <c r="H20" s="24">
        <f>MIN(H3:H17)</f>
        <v>366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453.6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1360.8000000000002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35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87</v>
      </c>
      <c r="C3" s="46" t="s">
        <v>3</v>
      </c>
      <c r="D3" s="47">
        <v>1</v>
      </c>
      <c r="E3" s="48">
        <f>IF(C20&lt;=25%,D20,MIN(E20:F20))</f>
        <v>503</v>
      </c>
      <c r="F3" s="48">
        <f>MIN(H3:H17)</f>
        <v>473</v>
      </c>
      <c r="G3" s="6" t="s">
        <v>119</v>
      </c>
      <c r="H3" s="7">
        <f>473</f>
        <v>473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533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42.426406871192853</v>
      </c>
      <c r="B20" s="19">
        <f>COUNT(H3:H17)</f>
        <v>2</v>
      </c>
      <c r="C20" s="20">
        <f>IF(B20&lt;2,"N/A",(A20/D20))</f>
        <v>8.4346733342331712E-2</v>
      </c>
      <c r="D20" s="21">
        <f>ROUND(AVERAGE(H3:H17),2)</f>
        <v>503</v>
      </c>
      <c r="E20" s="22" t="str">
        <f>IFERROR(ROUND(IF(B20&lt;2,"N/A",(IF(C20&lt;=25%,"N/A",AVERAGE(I3:I17)))),2),"N/A")</f>
        <v>N/A</v>
      </c>
      <c r="F20" s="22">
        <f>ROUND(MEDIAN(H3:H17),2)</f>
        <v>503</v>
      </c>
      <c r="G20" s="23" t="str">
        <f>INDEX(G3:G17,MATCH(H20,H3:H17,0))</f>
        <v>ULEMÁ PEREIRA</v>
      </c>
      <c r="H20" s="24">
        <f>MIN(H3:H17)</f>
        <v>473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503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503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36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88</v>
      </c>
      <c r="C3" s="46" t="s">
        <v>3</v>
      </c>
      <c r="D3" s="47">
        <v>2</v>
      </c>
      <c r="E3" s="48">
        <f>IF(C20&lt;=25%,D20,MIN(E20:F20))</f>
        <v>939.95</v>
      </c>
      <c r="F3" s="48">
        <f>MIN(H3:H17)</f>
        <v>933.9</v>
      </c>
      <c r="G3" s="6" t="s">
        <v>119</v>
      </c>
      <c r="H3" s="7">
        <f>1867.8/2</f>
        <v>933.9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946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8.5559920523572401</v>
      </c>
      <c r="B20" s="19">
        <f>COUNT(H3:H17)</f>
        <v>2</v>
      </c>
      <c r="C20" s="20">
        <f>IF(B20&lt;2,"N/A",(A20/D20))</f>
        <v>9.1026033856665134E-3</v>
      </c>
      <c r="D20" s="21">
        <f>ROUND(AVERAGE(H3:H17),2)</f>
        <v>939.95</v>
      </c>
      <c r="E20" s="22" t="str">
        <f>IFERROR(ROUND(IF(B20&lt;2,"N/A",(IF(C20&lt;=25%,"N/A",AVERAGE(I3:I17)))),2),"N/A")</f>
        <v>N/A</v>
      </c>
      <c r="F20" s="22">
        <f>ROUND(MEDIAN(H3:H17),2)</f>
        <v>939.95</v>
      </c>
      <c r="G20" s="23" t="str">
        <f>INDEX(G3:G17,MATCH(H20,H3:H17,0))</f>
        <v>ULEMÁ PEREIRA</v>
      </c>
      <c r="H20" s="24">
        <f>MIN(H3:H17)</f>
        <v>933.9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939.95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1879.9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37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89</v>
      </c>
      <c r="C3" s="46" t="s">
        <v>3</v>
      </c>
      <c r="D3" s="47">
        <v>9</v>
      </c>
      <c r="E3" s="48">
        <f>IF(C20&lt;=25%,D20,MIN(E20:F20))</f>
        <v>504.94</v>
      </c>
      <c r="F3" s="48">
        <f>MIN(H3:H17)</f>
        <v>422</v>
      </c>
      <c r="G3" s="6" t="s">
        <v>119</v>
      </c>
      <c r="H3" s="7">
        <f>5291/9</f>
        <v>587.88888888888891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422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117.30115825683502</v>
      </c>
      <c r="B20" s="19">
        <f>COUNT(H3:H17)</f>
        <v>2</v>
      </c>
      <c r="C20" s="20">
        <f>IF(B20&lt;2,"N/A",(A20/D20))</f>
        <v>0.23230712214685909</v>
      </c>
      <c r="D20" s="21">
        <f>ROUND(AVERAGE(H3:H17),2)</f>
        <v>504.94</v>
      </c>
      <c r="E20" s="22" t="str">
        <f>IFERROR(ROUND(IF(B20&lt;2,"N/A",(IF(C20&lt;=25%,"N/A",AVERAGE(I3:I17)))),2),"N/A")</f>
        <v>N/A</v>
      </c>
      <c r="F20" s="22">
        <f>ROUND(MEDIAN(H3:H17),2)</f>
        <v>504.94</v>
      </c>
      <c r="G20" s="23" t="str">
        <f>INDEX(G3:G17,MATCH(H20,H3:H17,0))</f>
        <v>ANDREA CARLA</v>
      </c>
      <c r="H20" s="24">
        <f>MIN(H3:H17)</f>
        <v>422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504.94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4544.46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38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90</v>
      </c>
      <c r="C3" s="46" t="s">
        <v>3</v>
      </c>
      <c r="D3" s="47">
        <v>1</v>
      </c>
      <c r="E3" s="48">
        <f>IF(C20&lt;=25%,D20,MIN(E20:F20))</f>
        <v>1039.3</v>
      </c>
      <c r="F3" s="48">
        <f>MIN(H3:H17)</f>
        <v>961</v>
      </c>
      <c r="G3" s="6" t="s">
        <v>119</v>
      </c>
      <c r="H3" s="7">
        <v>1117.5999999999999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961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110.73292193381327</v>
      </c>
      <c r="B20" s="19">
        <f>COUNT(H3:H17)</f>
        <v>2</v>
      </c>
      <c r="C20" s="20">
        <f>IF(B20&lt;2,"N/A",(A20/D20))</f>
        <v>0.10654567683422811</v>
      </c>
      <c r="D20" s="21">
        <f>ROUND(AVERAGE(H3:H17),2)</f>
        <v>1039.3</v>
      </c>
      <c r="E20" s="22" t="str">
        <f>IFERROR(ROUND(IF(B20&lt;2,"N/A",(IF(C20&lt;=25%,"N/A",AVERAGE(I3:I17)))),2),"N/A")</f>
        <v>N/A</v>
      </c>
      <c r="F20" s="22">
        <f>ROUND(MEDIAN(H3:H17),2)</f>
        <v>1039.3</v>
      </c>
      <c r="G20" s="23" t="str">
        <f>INDEX(G3:G17,MATCH(H20,H3:H17,0))</f>
        <v>ANDREA CARLA</v>
      </c>
      <c r="H20" s="24">
        <f>MIN(H3:H17)</f>
        <v>961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1039.3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1039.3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39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91</v>
      </c>
      <c r="C3" s="46" t="s">
        <v>3</v>
      </c>
      <c r="D3" s="47">
        <v>2</v>
      </c>
      <c r="E3" s="48">
        <f>IF(C20&lt;=25%,D20,MIN(E20:F20))</f>
        <v>854</v>
      </c>
      <c r="F3" s="48">
        <f>MIN(H3:H17)</f>
        <v>704</v>
      </c>
      <c r="G3" s="6" t="s">
        <v>119</v>
      </c>
      <c r="H3" s="7">
        <f>1408/2</f>
        <v>704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1004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212.13203435596427</v>
      </c>
      <c r="B20" s="19">
        <f>COUNT(H3:H17)</f>
        <v>2</v>
      </c>
      <c r="C20" s="20">
        <f>IF(B20&lt;2,"N/A",(A20/D20))</f>
        <v>0.24839816669316658</v>
      </c>
      <c r="D20" s="21">
        <f>ROUND(AVERAGE(H3:H17),2)</f>
        <v>854</v>
      </c>
      <c r="E20" s="22" t="str">
        <f>IFERROR(ROUND(IF(B20&lt;2,"N/A",(IF(C20&lt;=25%,"N/A",AVERAGE(I3:I17)))),2),"N/A")</f>
        <v>N/A</v>
      </c>
      <c r="F20" s="22">
        <f>ROUND(MEDIAN(H3:H17),2)</f>
        <v>854</v>
      </c>
      <c r="G20" s="23" t="str">
        <f>INDEX(G3:G17,MATCH(H20,H3:H17,0))</f>
        <v>ULEMÁ PEREIRA</v>
      </c>
      <c r="H20" s="24">
        <f>MIN(H3:H17)</f>
        <v>704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854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1708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G11" sqref="G11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40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92</v>
      </c>
      <c r="C3" s="46" t="s">
        <v>3</v>
      </c>
      <c r="D3" s="47">
        <v>2</v>
      </c>
      <c r="E3" s="48">
        <f>IF(C20&lt;=25%,D20,MIN(E20:F20))</f>
        <v>782</v>
      </c>
      <c r="F3" s="48">
        <f>MIN(H3:H17)</f>
        <v>750</v>
      </c>
      <c r="G3" s="6" t="s">
        <v>119</v>
      </c>
      <c r="H3" s="7">
        <f>1628/2</f>
        <v>814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750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45.254833995939045</v>
      </c>
      <c r="B20" s="19">
        <f>COUNT(H3:H17)</f>
        <v>2</v>
      </c>
      <c r="C20" s="20">
        <f>IF(B20&lt;2,"N/A",(A20/D20))</f>
        <v>5.7870631708361951E-2</v>
      </c>
      <c r="D20" s="21">
        <f>ROUND(AVERAGE(H3:H17),2)</f>
        <v>782</v>
      </c>
      <c r="E20" s="22" t="str">
        <f>IFERROR(ROUND(IF(B20&lt;2,"N/A",(IF(C20&lt;=25%,"N/A",AVERAGE(I3:I17)))),2),"N/A")</f>
        <v>N/A</v>
      </c>
      <c r="F20" s="22">
        <f>ROUND(MEDIAN(H3:H17),2)</f>
        <v>782</v>
      </c>
      <c r="G20" s="23" t="str">
        <f>INDEX(G3:G17,MATCH(H20,H3:H17,0))</f>
        <v>ANDREA CARLA</v>
      </c>
      <c r="H20" s="24">
        <f>MIN(H3:H17)</f>
        <v>750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782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1564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41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93</v>
      </c>
      <c r="C3" s="46" t="s">
        <v>3</v>
      </c>
      <c r="D3" s="47">
        <v>2</v>
      </c>
      <c r="E3" s="48">
        <f>IF(C20&lt;=25%,D20,MIN(E20:F20))</f>
        <v>666.45</v>
      </c>
      <c r="F3" s="48">
        <f>MIN(H3:H17)</f>
        <v>581.9</v>
      </c>
      <c r="G3" s="6" t="s">
        <v>119</v>
      </c>
      <c r="H3" s="7">
        <f>1163.8/2</f>
        <v>581.9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751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119.57175669864482</v>
      </c>
      <c r="B20" s="19">
        <f>COUNT(H3:H17)</f>
        <v>2</v>
      </c>
      <c r="C20" s="20">
        <f>IF(B20&lt;2,"N/A",(A20/D20))</f>
        <v>0.17941594523016702</v>
      </c>
      <c r="D20" s="21">
        <f>ROUND(AVERAGE(H3:H17),2)</f>
        <v>666.45</v>
      </c>
      <c r="E20" s="22" t="str">
        <f>IFERROR(ROUND(IF(B20&lt;2,"N/A",(IF(C20&lt;=25%,"N/A",AVERAGE(I3:I17)))),2),"N/A")</f>
        <v>N/A</v>
      </c>
      <c r="F20" s="22">
        <f>ROUND(MEDIAN(H3:H17),2)</f>
        <v>666.45</v>
      </c>
      <c r="G20" s="23" t="str">
        <f>INDEX(G3:G17,MATCH(H20,H3:H17,0))</f>
        <v>ULEMÁ PEREIRA</v>
      </c>
      <c r="H20" s="24">
        <f>MIN(H3:H17)</f>
        <v>581.9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666.45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1332.9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42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94</v>
      </c>
      <c r="C3" s="46" t="s">
        <v>3</v>
      </c>
      <c r="D3" s="47">
        <v>2</v>
      </c>
      <c r="E3" s="48">
        <f>IF(C20&lt;=25%,D20,MIN(E20:F20))</f>
        <v>421</v>
      </c>
      <c r="F3" s="48">
        <f>MIN(H3:H17)</f>
        <v>330</v>
      </c>
      <c r="G3" s="6" t="s">
        <v>119</v>
      </c>
      <c r="H3" s="7">
        <f>660/2</f>
        <v>330</v>
      </c>
      <c r="I3" s="8">
        <f t="shared" ref="I3:I17" si="0">IF(H3="","",(IF($C$20&lt;25%,"N/A",IF(H3&lt;=($D$20+$A$20),H3,"Descartado"))))</f>
        <v>330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512</v>
      </c>
      <c r="I4" s="8">
        <f t="shared" si="0"/>
        <v>512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128.69343417595164</v>
      </c>
      <c r="B20" s="19">
        <f>COUNT(H3:H17)</f>
        <v>2</v>
      </c>
      <c r="C20" s="20">
        <f>IF(B20&lt;2,"N/A",(A20/D20))</f>
        <v>0.30568511680748606</v>
      </c>
      <c r="D20" s="21">
        <f>ROUND(AVERAGE(H3:H17),2)</f>
        <v>421</v>
      </c>
      <c r="E20" s="22">
        <f>IFERROR(ROUND(IF(B20&lt;2,"N/A",(IF(C20&lt;=25%,"N/A",AVERAGE(I3:I17)))),2),"N/A")</f>
        <v>421</v>
      </c>
      <c r="F20" s="22">
        <f>ROUND(MEDIAN(H3:H17),2)</f>
        <v>421</v>
      </c>
      <c r="G20" s="23" t="str">
        <f>INDEX(G3:G17,MATCH(H20,H3:H17,0))</f>
        <v>ULEMÁ PEREIRA</v>
      </c>
      <c r="H20" s="24">
        <f>MIN(H3:H17)</f>
        <v>330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421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842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95</v>
      </c>
      <c r="C3" s="46" t="s">
        <v>3</v>
      </c>
      <c r="D3" s="47">
        <v>1</v>
      </c>
      <c r="E3" s="48">
        <f>IF(C20&lt;=25%,D20,MIN(E20:F20))</f>
        <v>667.9</v>
      </c>
      <c r="F3" s="48">
        <f>MIN(H3:H17)</f>
        <v>460.8</v>
      </c>
      <c r="G3" s="6" t="s">
        <v>119</v>
      </c>
      <c r="H3" s="7">
        <v>460.8</v>
      </c>
      <c r="I3" s="8">
        <f t="shared" ref="I3:I17" si="0">IF(H3="","",(IF($C$20&lt;25%,"N/A",IF(H3&lt;=($D$20+$A$20),H3,"Descartado"))))</f>
        <v>460.8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875</v>
      </c>
      <c r="I4" s="8">
        <f t="shared" si="0"/>
        <v>875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292.88362876746811</v>
      </c>
      <c r="B20" s="19">
        <f>COUNT(H3:H17)</f>
        <v>2</v>
      </c>
      <c r="C20" s="20">
        <f>IF(B20&lt;2,"N/A",(A20/D20))</f>
        <v>0.43851419189619423</v>
      </c>
      <c r="D20" s="21">
        <f>ROUND(AVERAGE(H3:H17),2)</f>
        <v>667.9</v>
      </c>
      <c r="E20" s="22">
        <f>IFERROR(ROUND(IF(B20&lt;2,"N/A",(IF(C20&lt;=25%,"N/A",AVERAGE(I3:I17)))),2),"N/A")</f>
        <v>667.9</v>
      </c>
      <c r="F20" s="22">
        <f>ROUND(MEDIAN(H3:H17),2)</f>
        <v>667.9</v>
      </c>
      <c r="G20" s="23" t="str">
        <f>INDEX(G3:G17,MATCH(H20,H3:H17,0))</f>
        <v>ULEMÁ PEREIRA</v>
      </c>
      <c r="H20" s="24">
        <f>MIN(H3:H17)</f>
        <v>460.8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667.9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667.9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78</v>
      </c>
      <c r="C3" s="46" t="s">
        <v>3</v>
      </c>
      <c r="D3" s="47">
        <v>2</v>
      </c>
      <c r="E3" s="48">
        <f>IF(C20&lt;=25%,D20,MIN(E20:F20))</f>
        <v>672.5</v>
      </c>
      <c r="F3" s="48">
        <f>MIN(H3:H17)</f>
        <v>566</v>
      </c>
      <c r="G3" s="6" t="s">
        <v>119</v>
      </c>
      <c r="H3" s="7">
        <f>1558/2</f>
        <v>779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566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150.61374439273462</v>
      </c>
      <c r="B20" s="19">
        <f>COUNT(H3:H17)</f>
        <v>2</v>
      </c>
      <c r="C20" s="20">
        <f>IF(B20&lt;2,"N/A",(A20/D20))</f>
        <v>0.22396095820480985</v>
      </c>
      <c r="D20" s="21">
        <f>ROUND(AVERAGE(H3:H17),2)</f>
        <v>672.5</v>
      </c>
      <c r="E20" s="22" t="str">
        <f>IFERROR(ROUND(IF(B20&lt;2,"N/A",(IF(C20&lt;=25%,"N/A",AVERAGE(I3:I17)))),2),"N/A")</f>
        <v>N/A</v>
      </c>
      <c r="F20" s="22">
        <f>ROUND(MEDIAN(H3:H17),2)</f>
        <v>672.5</v>
      </c>
      <c r="G20" s="23" t="str">
        <f>INDEX(G3:G17,MATCH(H20,H3:H17,0))</f>
        <v>ANDREA CARLA</v>
      </c>
      <c r="H20" s="24">
        <f>MIN(H3:H17)</f>
        <v>566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672.5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1345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G5" sqref="G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44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96</v>
      </c>
      <c r="C3" s="46" t="s">
        <v>3</v>
      </c>
      <c r="D3" s="47">
        <v>3</v>
      </c>
      <c r="E3" s="48">
        <f>IF(C20&lt;=25%,D20,MIN(E20:F20))</f>
        <v>850.63</v>
      </c>
      <c r="F3" s="48">
        <f>MIN(H3:H17)</f>
        <v>741</v>
      </c>
      <c r="G3" s="6" t="s">
        <v>119</v>
      </c>
      <c r="H3" s="7">
        <f>2880.8/3</f>
        <v>960.26666666666677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741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155.04494688817056</v>
      </c>
      <c r="B20" s="19">
        <f>COUNT(H3:H17)</f>
        <v>2</v>
      </c>
      <c r="C20" s="20">
        <f>IF(B20&lt;2,"N/A",(A20/D20))</f>
        <v>0.18227072509571796</v>
      </c>
      <c r="D20" s="21">
        <f>ROUND(AVERAGE(H3:H17),2)</f>
        <v>850.63</v>
      </c>
      <c r="E20" s="22" t="str">
        <f>IFERROR(ROUND(IF(B20&lt;2,"N/A",(IF(C20&lt;=25%,"N/A",AVERAGE(I3:I17)))),2),"N/A")</f>
        <v>N/A</v>
      </c>
      <c r="F20" s="22">
        <f>ROUND(MEDIAN(H3:H17),2)</f>
        <v>850.63</v>
      </c>
      <c r="G20" s="23" t="str">
        <f>INDEX(G3:G17,MATCH(H20,H3:H17,0))</f>
        <v>ANDREA CARLA</v>
      </c>
      <c r="H20" s="24">
        <f>MIN(H3:H17)</f>
        <v>741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850.63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2551.89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97</v>
      </c>
      <c r="C3" s="46" t="s">
        <v>3</v>
      </c>
      <c r="D3" s="47">
        <v>1</v>
      </c>
      <c r="E3" s="48">
        <f>IF(C20&lt;=25%,D20,MIN(E20:F20))</f>
        <v>1221.3</v>
      </c>
      <c r="F3" s="48">
        <f>MIN(H3:H17)</f>
        <v>993.6</v>
      </c>
      <c r="G3" s="6" t="s">
        <v>119</v>
      </c>
      <c r="H3" s="7">
        <v>993.6</v>
      </c>
      <c r="I3" s="8">
        <f t="shared" ref="I3:I17" si="0">IF(H3="","",(IF($C$20&lt;25%,"N/A",IF(H3&lt;=($D$20+$A$20),H3,"Descartado"))))</f>
        <v>993.6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1449</v>
      </c>
      <c r="I4" s="8">
        <f t="shared" si="0"/>
        <v>1449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322.01642815235385</v>
      </c>
      <c r="B20" s="19">
        <f>COUNT(H3:H17)</f>
        <v>2</v>
      </c>
      <c r="C20" s="20">
        <f>IF(B20&lt;2,"N/A",(A20/D20))</f>
        <v>0.26366693535769581</v>
      </c>
      <c r="D20" s="21">
        <f>ROUND(AVERAGE(H3:H17),2)</f>
        <v>1221.3</v>
      </c>
      <c r="E20" s="22">
        <f>IFERROR(ROUND(IF(B20&lt;2,"N/A",(IF(C20&lt;=25%,"N/A",AVERAGE(I3:I17)))),2),"N/A")</f>
        <v>1221.3</v>
      </c>
      <c r="F20" s="22">
        <f>ROUND(MEDIAN(H3:H17),2)</f>
        <v>1221.3</v>
      </c>
      <c r="G20" s="23" t="str">
        <f>INDEX(G3:G17,MATCH(H20,H3:H17,0))</f>
        <v>ULEMÁ PEREIRA</v>
      </c>
      <c r="H20" s="24">
        <f>MIN(H3:H17)</f>
        <v>993.6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1221.3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1221.3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46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98</v>
      </c>
      <c r="C3" s="46" t="s">
        <v>3</v>
      </c>
      <c r="D3" s="47">
        <v>1</v>
      </c>
      <c r="E3" s="48">
        <f>IF(C20&lt;=25%,D20,MIN(E20:F20))</f>
        <v>957.3</v>
      </c>
      <c r="F3" s="48">
        <f>MIN(H3:H17)</f>
        <v>537.6</v>
      </c>
      <c r="G3" s="6" t="s">
        <v>119</v>
      </c>
      <c r="H3" s="7">
        <v>537.6</v>
      </c>
      <c r="I3" s="8">
        <f t="shared" ref="I3:I17" si="0">IF(H3="","",(IF($C$20&lt;25%,"N/A",IF(H3&lt;=($D$20+$A$20),H3,"Descartado"))))</f>
        <v>537.6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1377</v>
      </c>
      <c r="I4" s="8">
        <f t="shared" si="0"/>
        <v>1377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593.54543212798797</v>
      </c>
      <c r="B20" s="19">
        <f>COUNT(H3:H17)</f>
        <v>2</v>
      </c>
      <c r="C20" s="20">
        <f>IF(B20&lt;2,"N/A",(A20/D20))</f>
        <v>0.62002029889061738</v>
      </c>
      <c r="D20" s="21">
        <f>ROUND(AVERAGE(H3:H17),2)</f>
        <v>957.3</v>
      </c>
      <c r="E20" s="22">
        <f>IFERROR(ROUND(IF(B20&lt;2,"N/A",(IF(C20&lt;=25%,"N/A",AVERAGE(I3:I17)))),2),"N/A")</f>
        <v>957.3</v>
      </c>
      <c r="F20" s="22">
        <f>ROUND(MEDIAN(H3:H17),2)</f>
        <v>957.3</v>
      </c>
      <c r="G20" s="23" t="str">
        <f>INDEX(G3:G17,MATCH(H20,H3:H17,0))</f>
        <v>ULEMÁ PEREIRA</v>
      </c>
      <c r="H20" s="24">
        <f>MIN(H3:H17)</f>
        <v>537.6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957.3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957.3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47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99</v>
      </c>
      <c r="C3" s="46" t="s">
        <v>3</v>
      </c>
      <c r="D3" s="47">
        <v>4</v>
      </c>
      <c r="E3" s="48">
        <f>IF(C20&lt;=25%,D20,MIN(E20:F20))</f>
        <v>741.5</v>
      </c>
      <c r="F3" s="48">
        <f>MIN(H3:H17)</f>
        <v>673</v>
      </c>
      <c r="G3" s="6" t="s">
        <v>119</v>
      </c>
      <c r="H3" s="7">
        <f>3240/4</f>
        <v>810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673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96.873629022557012</v>
      </c>
      <c r="B20" s="19">
        <f>COUNT(H3:H17)</f>
        <v>2</v>
      </c>
      <c r="C20" s="20">
        <f>IF(B20&lt;2,"N/A",(A20/D20))</f>
        <v>0.13064548755570737</v>
      </c>
      <c r="D20" s="21">
        <f>ROUND(AVERAGE(H3:H17),2)</f>
        <v>741.5</v>
      </c>
      <c r="E20" s="22" t="str">
        <f>IFERROR(ROUND(IF(B20&lt;2,"N/A",(IF(C20&lt;=25%,"N/A",AVERAGE(I3:I17)))),2),"N/A")</f>
        <v>N/A</v>
      </c>
      <c r="F20" s="22">
        <f>ROUND(MEDIAN(H3:H17),2)</f>
        <v>741.5</v>
      </c>
      <c r="G20" s="23" t="str">
        <f>INDEX(G3:G17,MATCH(H20,H3:H17,0))</f>
        <v>ANDREA CARLA</v>
      </c>
      <c r="H20" s="24">
        <f>MIN(H3:H17)</f>
        <v>673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741.5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2966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48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100</v>
      </c>
      <c r="C3" s="46" t="s">
        <v>3</v>
      </c>
      <c r="D3" s="47">
        <v>4</v>
      </c>
      <c r="E3" s="48">
        <f>IF(C20&lt;=25%,D20,MIN(E20:F20))</f>
        <v>584.29999999999995</v>
      </c>
      <c r="F3" s="48">
        <f>MIN(H3:H17)</f>
        <v>450.6</v>
      </c>
      <c r="G3" s="6" t="s">
        <v>119</v>
      </c>
      <c r="H3" s="7">
        <f>1802.4/4</f>
        <v>450.6</v>
      </c>
      <c r="I3" s="8">
        <f t="shared" ref="I3:I17" si="0">IF(H3="","",(IF($C$20&lt;25%,"N/A",IF(H3&lt;=($D$20+$A$20),H3,"Descartado"))))</f>
        <v>450.6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718</v>
      </c>
      <c r="I4" s="8">
        <f t="shared" si="0"/>
        <v>718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189.08035328928312</v>
      </c>
      <c r="B20" s="19">
        <f>COUNT(H3:H17)</f>
        <v>2</v>
      </c>
      <c r="C20" s="20">
        <f>IF(B20&lt;2,"N/A",(A20/D20))</f>
        <v>0.3236014945905924</v>
      </c>
      <c r="D20" s="21">
        <f>ROUND(AVERAGE(H3:H17),2)</f>
        <v>584.29999999999995</v>
      </c>
      <c r="E20" s="22">
        <f>IFERROR(ROUND(IF(B20&lt;2,"N/A",(IF(C20&lt;=25%,"N/A",AVERAGE(I3:I17)))),2),"N/A")</f>
        <v>584.29999999999995</v>
      </c>
      <c r="F20" s="22">
        <f>ROUND(MEDIAN(H3:H17),2)</f>
        <v>584.29999999999995</v>
      </c>
      <c r="G20" s="23" t="str">
        <f>INDEX(G3:G17,MATCH(H20,H3:H17,0))</f>
        <v>ULEMÁ PEREIRA</v>
      </c>
      <c r="H20" s="24">
        <f>MIN(H3:H17)</f>
        <v>450.6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584.29999999999995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2337.1999999999998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49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101</v>
      </c>
      <c r="C3" s="46" t="s">
        <v>3</v>
      </c>
      <c r="D3" s="47">
        <v>1</v>
      </c>
      <c r="E3" s="48">
        <f>IF(C20&lt;=25%,D20,MIN(E20:F20))</f>
        <v>1694.34</v>
      </c>
      <c r="F3" s="48">
        <f>MIN(H3:H17)</f>
        <v>1155.68</v>
      </c>
      <c r="G3" s="6" t="s">
        <v>119</v>
      </c>
      <c r="H3" s="7">
        <f>1155.68/1</f>
        <v>1155.68</v>
      </c>
      <c r="I3" s="8">
        <f t="shared" ref="I3:I17" si="0">IF(H3="","",(IF($C$20&lt;25%,"N/A",IF(H3&lt;=($D$20+$A$20),H3,"Descartado"))))</f>
        <v>1155.68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2233</v>
      </c>
      <c r="I4" s="8">
        <f t="shared" si="0"/>
        <v>2233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761.7802775078909</v>
      </c>
      <c r="B20" s="19">
        <f>COUNT(H3:H17)</f>
        <v>2</v>
      </c>
      <c r="C20" s="20">
        <f>IF(B20&lt;2,"N/A",(A20/D20))</f>
        <v>0.44960295897393143</v>
      </c>
      <c r="D20" s="21">
        <f>ROUND(AVERAGE(H3:H17),2)</f>
        <v>1694.34</v>
      </c>
      <c r="E20" s="22">
        <f>IFERROR(ROUND(IF(B20&lt;2,"N/A",(IF(C20&lt;=25%,"N/A",AVERAGE(I3:I17)))),2),"N/A")</f>
        <v>1694.34</v>
      </c>
      <c r="F20" s="22">
        <f>ROUND(MEDIAN(H3:H17),2)</f>
        <v>1694.34</v>
      </c>
      <c r="G20" s="23" t="str">
        <f>INDEX(G3:G17,MATCH(H20,H3:H17,0))</f>
        <v>ULEMÁ PEREIRA</v>
      </c>
      <c r="H20" s="24">
        <f>MIN(H3:H17)</f>
        <v>1155.68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1694.34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1694.34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50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102</v>
      </c>
      <c r="C3" s="46" t="s">
        <v>3</v>
      </c>
      <c r="D3" s="47">
        <v>2</v>
      </c>
      <c r="E3" s="48">
        <f>IF(C20&lt;=25%,D20,MIN(E20:F20))</f>
        <v>999.47</v>
      </c>
      <c r="F3" s="48">
        <f>MIN(H3:H17)</f>
        <v>937.44</v>
      </c>
      <c r="G3" s="6" t="s">
        <v>119</v>
      </c>
      <c r="H3" s="7">
        <f>1874.88/2</f>
        <v>937.44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1061.5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87.723667274003049</v>
      </c>
      <c r="B20" s="19">
        <f>COUNT(H3:H17)</f>
        <v>2</v>
      </c>
      <c r="C20" s="20">
        <f>IF(B20&lt;2,"N/A",(A20/D20))</f>
        <v>8.7770185472303364E-2</v>
      </c>
      <c r="D20" s="21">
        <f>ROUND(AVERAGE(H3:H17),2)</f>
        <v>999.47</v>
      </c>
      <c r="E20" s="22" t="str">
        <f>IFERROR(ROUND(IF(B20&lt;2,"N/A",(IF(C20&lt;=25%,"N/A",AVERAGE(I3:I17)))),2),"N/A")</f>
        <v>N/A</v>
      </c>
      <c r="F20" s="22">
        <f>ROUND(MEDIAN(H3:H17),2)</f>
        <v>999.47</v>
      </c>
      <c r="G20" s="23" t="str">
        <f>INDEX(G3:G17,MATCH(H20,H3:H17,0))</f>
        <v>ULEMÁ PEREIRA</v>
      </c>
      <c r="H20" s="24">
        <f>MIN(H3:H17)</f>
        <v>937.44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999.47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1998.94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51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103</v>
      </c>
      <c r="C3" s="46" t="s">
        <v>3</v>
      </c>
      <c r="D3" s="47">
        <v>10</v>
      </c>
      <c r="E3" s="48">
        <f>IF(C20&lt;=25%,D20,MIN(E20:F20))</f>
        <v>648.16999999999996</v>
      </c>
      <c r="F3" s="48">
        <f>MIN(H3:H17)</f>
        <v>408</v>
      </c>
      <c r="G3" s="6" t="s">
        <v>119</v>
      </c>
      <c r="H3" s="7">
        <f>8883.36/10</f>
        <v>888.33600000000001</v>
      </c>
      <c r="I3" s="8">
        <f t="shared" ref="I3:I17" si="0">IF(H3="","",(IF($C$20&lt;25%,"N/A",IF(H3&lt;=($D$20+$A$20),H3,"Descartado"))))</f>
        <v>888.33600000000001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408</v>
      </c>
      <c r="I4" s="8">
        <f t="shared" si="0"/>
        <v>408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339.64884284802156</v>
      </c>
      <c r="B20" s="19">
        <f>COUNT(H3:H17)</f>
        <v>2</v>
      </c>
      <c r="C20" s="20">
        <f>IF(B20&lt;2,"N/A",(A20/D20))</f>
        <v>0.52401197656173781</v>
      </c>
      <c r="D20" s="21">
        <f>ROUND(AVERAGE(H3:H17),2)</f>
        <v>648.16999999999996</v>
      </c>
      <c r="E20" s="22">
        <f>IFERROR(ROUND(IF(B20&lt;2,"N/A",(IF(C20&lt;=25%,"N/A",AVERAGE(I3:I17)))),2),"N/A")</f>
        <v>648.16999999999996</v>
      </c>
      <c r="F20" s="22">
        <f>ROUND(MEDIAN(H3:H17),2)</f>
        <v>648.16999999999996</v>
      </c>
      <c r="G20" s="23" t="str">
        <f>INDEX(G3:G17,MATCH(H20,H3:H17,0))</f>
        <v>ANDREA CARLA</v>
      </c>
      <c r="H20" s="24">
        <f>MIN(H3:H17)</f>
        <v>408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648.16999999999996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6481.7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52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104</v>
      </c>
      <c r="C3" s="46" t="s">
        <v>3</v>
      </c>
      <c r="D3" s="47">
        <v>1</v>
      </c>
      <c r="E3" s="48">
        <f>IF(C20&lt;=25%,D20,MIN(E20:F20))</f>
        <v>863.04</v>
      </c>
      <c r="F3" s="48">
        <f>MIN(H3:H17)</f>
        <v>548.08000000000004</v>
      </c>
      <c r="G3" s="6" t="s">
        <v>119</v>
      </c>
      <c r="H3" s="7">
        <f>548.08</f>
        <v>548.08000000000004</v>
      </c>
      <c r="I3" s="8">
        <f t="shared" ref="I3:I17" si="0">IF(H3="","",(IF($C$20&lt;25%,"N/A",IF(H3&lt;=($D$20+$A$20),H3,"Descartado"))))</f>
        <v>548.08000000000004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1178</v>
      </c>
      <c r="I4" s="8">
        <f t="shared" si="0"/>
        <v>1178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445.42070360503027</v>
      </c>
      <c r="B20" s="19">
        <f>COUNT(H3:H17)</f>
        <v>2</v>
      </c>
      <c r="C20" s="20">
        <f>IF(B20&lt;2,"N/A",(A20/D20))</f>
        <v>0.51610667362466434</v>
      </c>
      <c r="D20" s="21">
        <f>ROUND(AVERAGE(H3:H17),2)</f>
        <v>863.04</v>
      </c>
      <c r="E20" s="22">
        <f>IFERROR(ROUND(IF(B20&lt;2,"N/A",(IF(C20&lt;=25%,"N/A",AVERAGE(I3:I17)))),2),"N/A")</f>
        <v>863.04</v>
      </c>
      <c r="F20" s="22">
        <f>ROUND(MEDIAN(H3:H17),2)</f>
        <v>863.04</v>
      </c>
      <c r="G20" s="23" t="str">
        <f>INDEX(G3:G17,MATCH(H20,H3:H17,0))</f>
        <v>ULEMÁ PEREIRA</v>
      </c>
      <c r="H20" s="24">
        <f>MIN(H3:H17)</f>
        <v>548.08000000000004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863.04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863.04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G8" sqref="G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53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105</v>
      </c>
      <c r="C3" s="46" t="s">
        <v>3</v>
      </c>
      <c r="D3" s="47">
        <v>4</v>
      </c>
      <c r="E3" s="48">
        <f>IF(C20&lt;=25%,D20,MIN(E20:F20))</f>
        <v>662.24</v>
      </c>
      <c r="F3" s="48">
        <f>MIN(H3:H17)</f>
        <v>609</v>
      </c>
      <c r="G3" s="6" t="s">
        <v>119</v>
      </c>
      <c r="H3" s="7">
        <f>2861.92/4</f>
        <v>715.48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609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75.292730060743594</v>
      </c>
      <c r="B20" s="19">
        <f>COUNT(H3:H17)</f>
        <v>2</v>
      </c>
      <c r="C20" s="20">
        <f>IF(B20&lt;2,"N/A",(A20/D20))</f>
        <v>0.11369402340653478</v>
      </c>
      <c r="D20" s="21">
        <f>ROUND(AVERAGE(H3:H17),2)</f>
        <v>662.24</v>
      </c>
      <c r="E20" s="22" t="str">
        <f>IFERROR(ROUND(IF(B20&lt;2,"N/A",(IF(C20&lt;=25%,"N/A",AVERAGE(I3:I17)))),2),"N/A")</f>
        <v>N/A</v>
      </c>
      <c r="F20" s="22">
        <f>ROUND(MEDIAN(H3:H17),2)</f>
        <v>662.24</v>
      </c>
      <c r="G20" s="23" t="str">
        <f>INDEX(G3:G17,MATCH(H20,H3:H17,0))</f>
        <v>ANDREA CARLA</v>
      </c>
      <c r="H20" s="24">
        <f>MIN(H3:H17)</f>
        <v>609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662.24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2648.96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79</v>
      </c>
      <c r="C3" s="46" t="s">
        <v>3</v>
      </c>
      <c r="D3" s="47">
        <v>5</v>
      </c>
      <c r="E3" s="48">
        <f>IF(C20&lt;=25%,D20,MIN(E20:F20))</f>
        <v>414.34</v>
      </c>
      <c r="F3" s="48">
        <f>MIN(H3:H17)</f>
        <v>351.4</v>
      </c>
      <c r="G3" s="6" t="s">
        <v>119</v>
      </c>
      <c r="H3" s="7">
        <f>2386.4/5</f>
        <v>477.28000000000003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351.4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89.010601615762255</v>
      </c>
      <c r="B20" s="19">
        <f>COUNT(H3:H17)</f>
        <v>2</v>
      </c>
      <c r="C20" s="20">
        <f>IF(B20&lt;2,"N/A",(A20/D20))</f>
        <v>0.21482502682763494</v>
      </c>
      <c r="D20" s="21">
        <f>ROUND(AVERAGE(H3:H17),2)</f>
        <v>414.34</v>
      </c>
      <c r="E20" s="22" t="str">
        <f>IFERROR(ROUND(IF(B20&lt;2,"N/A",(IF(C20&lt;=25%,"N/A",AVERAGE(I3:I17)))),2),"N/A")</f>
        <v>N/A</v>
      </c>
      <c r="F20" s="22">
        <f>ROUND(MEDIAN(H3:H17),2)</f>
        <v>414.34</v>
      </c>
      <c r="G20" s="23" t="str">
        <f>INDEX(G3:G17,MATCH(H20,H3:H17,0))</f>
        <v>ANDREA CARLA</v>
      </c>
      <c r="H20" s="24">
        <f>MIN(H3:H17)</f>
        <v>351.4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414.34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2071.6999999999998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54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106</v>
      </c>
      <c r="C3" s="46" t="s">
        <v>3</v>
      </c>
      <c r="D3" s="47">
        <v>2</v>
      </c>
      <c r="E3" s="48">
        <f>IF(C20&lt;=25%,D20,MIN(E20:F20))</f>
        <v>968.11</v>
      </c>
      <c r="F3" s="48">
        <f>MIN(H3:H17)</f>
        <v>871.72</v>
      </c>
      <c r="G3" s="6" t="s">
        <v>119</v>
      </c>
      <c r="H3" s="7">
        <f>1743.44/2</f>
        <v>871.72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1064.5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136.31604527714262</v>
      </c>
      <c r="B20" s="19">
        <f>COUNT(H3:H17)</f>
        <v>2</v>
      </c>
      <c r="C20" s="20">
        <f>IF(B20&lt;2,"N/A",(A20/D20))</f>
        <v>0.14080636010075573</v>
      </c>
      <c r="D20" s="21">
        <f>ROUND(AVERAGE(H3:H17),2)</f>
        <v>968.11</v>
      </c>
      <c r="E20" s="22" t="str">
        <f>IFERROR(ROUND(IF(B20&lt;2,"N/A",(IF(C20&lt;=25%,"N/A",AVERAGE(I3:I17)))),2),"N/A")</f>
        <v>N/A</v>
      </c>
      <c r="F20" s="22">
        <f>ROUND(MEDIAN(H3:H17),2)</f>
        <v>968.11</v>
      </c>
      <c r="G20" s="23" t="str">
        <f>INDEX(G3:G17,MATCH(H20,H3:H17,0))</f>
        <v>ULEMÁ PEREIRA</v>
      </c>
      <c r="H20" s="24">
        <f>MIN(H3:H17)</f>
        <v>871.72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968.11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1936.22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55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107</v>
      </c>
      <c r="C3" s="46" t="s">
        <v>3</v>
      </c>
      <c r="D3" s="47">
        <v>3</v>
      </c>
      <c r="E3" s="48">
        <f>IF(C20&lt;=25%,D20,MIN(E20:F20))</f>
        <v>549.83000000000004</v>
      </c>
      <c r="F3" s="48">
        <f>MIN(H3:H17)</f>
        <v>497.65333333333336</v>
      </c>
      <c r="G3" s="6" t="s">
        <v>119</v>
      </c>
      <c r="H3" s="7">
        <f>1492.96/3</f>
        <v>497.65333333333336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602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73.784235594212262</v>
      </c>
      <c r="B20" s="19">
        <f>COUNT(H3:H17)</f>
        <v>2</v>
      </c>
      <c r="C20" s="20">
        <f>IF(B20&lt;2,"N/A",(A20/D20))</f>
        <v>0.13419463396724854</v>
      </c>
      <c r="D20" s="21">
        <f>ROUND(AVERAGE(H3:H17),2)</f>
        <v>549.83000000000004</v>
      </c>
      <c r="E20" s="22" t="str">
        <f>IFERROR(ROUND(IF(B20&lt;2,"N/A",(IF(C20&lt;=25%,"N/A",AVERAGE(I3:I17)))),2),"N/A")</f>
        <v>N/A</v>
      </c>
      <c r="F20" s="22">
        <f>ROUND(MEDIAN(H3:H17),2)</f>
        <v>549.83000000000004</v>
      </c>
      <c r="G20" s="23" t="str">
        <f>INDEX(G3:G17,MATCH(H20,H3:H17,0))</f>
        <v>ULEMÁ PEREIRA</v>
      </c>
      <c r="H20" s="24">
        <f>MIN(H3:H17)</f>
        <v>497.65333333333336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549.83000000000004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1649.4900000000002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56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108</v>
      </c>
      <c r="C3" s="46" t="s">
        <v>3</v>
      </c>
      <c r="D3" s="47">
        <v>12</v>
      </c>
      <c r="E3" s="48">
        <f>IF(C20&lt;=25%,D20,MIN(E20:F20))</f>
        <v>388.34</v>
      </c>
      <c r="F3" s="48">
        <f>MIN(H3:H17)</f>
        <v>307.75</v>
      </c>
      <c r="G3" s="6" t="s">
        <v>119</v>
      </c>
      <c r="H3" s="7">
        <f>5627.12/12</f>
        <v>468.92666666666668</v>
      </c>
      <c r="I3" s="8">
        <f t="shared" ref="I3:I17" si="0">IF(H3="","",(IF($C$20&lt;25%,"N/A",IF(H3&lt;=($D$20+$A$20),H3,"Descartado"))))</f>
        <v>468.92666666666668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307.75</v>
      </c>
      <c r="I4" s="8">
        <f t="shared" si="0"/>
        <v>307.75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113.96911396904363</v>
      </c>
      <c r="B20" s="19">
        <f>COUNT(H3:H17)</f>
        <v>2</v>
      </c>
      <c r="C20" s="20">
        <f>IF(B20&lt;2,"N/A",(A20/D20))</f>
        <v>0.29347765867292486</v>
      </c>
      <c r="D20" s="21">
        <f>ROUND(AVERAGE(H3:H17),2)</f>
        <v>388.34</v>
      </c>
      <c r="E20" s="22">
        <f>IFERROR(ROUND(IF(B20&lt;2,"N/A",(IF(C20&lt;=25%,"N/A",AVERAGE(I3:I17)))),2),"N/A")</f>
        <v>388.34</v>
      </c>
      <c r="F20" s="22">
        <f>ROUND(MEDIAN(H3:H17),2)</f>
        <v>388.34</v>
      </c>
      <c r="G20" s="23" t="str">
        <f>INDEX(G3:G17,MATCH(H20,H3:H17,0))</f>
        <v>ANDREA CARLA</v>
      </c>
      <c r="H20" s="24">
        <f>MIN(H3:H17)</f>
        <v>307.75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388.34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4660.08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57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109</v>
      </c>
      <c r="C3" s="46" t="s">
        <v>3</v>
      </c>
      <c r="D3" s="47">
        <v>2</v>
      </c>
      <c r="E3" s="48">
        <f>IF(C20&lt;=25%,D20,MIN(E20:F20))</f>
        <v>1332.78</v>
      </c>
      <c r="F3" s="48">
        <f>MIN(H3:H17)</f>
        <v>999</v>
      </c>
      <c r="G3" s="6" t="s">
        <v>119</v>
      </c>
      <c r="H3" s="7">
        <f>3333.12/2</f>
        <v>1666.56</v>
      </c>
      <c r="I3" s="8">
        <f t="shared" ref="I3:I17" si="0">IF(H3="","",(IF($C$20&lt;25%,"N/A",IF(H3&lt;=($D$20+$A$20),H3,"Descartado"))))</f>
        <v>1666.56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999</v>
      </c>
      <c r="I4" s="8">
        <f t="shared" si="0"/>
        <v>999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472.03620284889166</v>
      </c>
      <c r="B20" s="19">
        <f>COUNT(H3:H17)</f>
        <v>2</v>
      </c>
      <c r="C20" s="20">
        <f>IF(B20&lt;2,"N/A",(A20/D20))</f>
        <v>0.35417413440244577</v>
      </c>
      <c r="D20" s="21">
        <f>ROUND(AVERAGE(H3:H17),2)</f>
        <v>1332.78</v>
      </c>
      <c r="E20" s="22">
        <f>IFERROR(ROUND(IF(B20&lt;2,"N/A",(IF(C20&lt;=25%,"N/A",AVERAGE(I3:I17)))),2),"N/A")</f>
        <v>1332.78</v>
      </c>
      <c r="F20" s="22">
        <f>ROUND(MEDIAN(H3:H17),2)</f>
        <v>1332.78</v>
      </c>
      <c r="G20" s="23" t="str">
        <f>INDEX(G3:G17,MATCH(H20,H3:H17,0))</f>
        <v>ANDREA CARLA</v>
      </c>
      <c r="H20" s="24">
        <f>MIN(H3:H17)</f>
        <v>999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1332.78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2665.56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G10" sqref="G10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58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110</v>
      </c>
      <c r="C3" s="46" t="s">
        <v>3</v>
      </c>
      <c r="D3" s="47">
        <v>5</v>
      </c>
      <c r="E3" s="48">
        <f>IF(C20&lt;=25%,D20,MIN(E20:F20))</f>
        <v>548.51</v>
      </c>
      <c r="F3" s="48">
        <f>MIN(H3:H17)</f>
        <v>480</v>
      </c>
      <c r="G3" s="6" t="s">
        <v>119</v>
      </c>
      <c r="H3" s="7">
        <f>3085.12/5</f>
        <v>617.024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480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96.89059958530629</v>
      </c>
      <c r="B20" s="19">
        <f>COUNT(H3:H17)</f>
        <v>2</v>
      </c>
      <c r="C20" s="20">
        <f>IF(B20&lt;2,"N/A",(A20/D20))</f>
        <v>0.17664326919346282</v>
      </c>
      <c r="D20" s="21">
        <f>ROUND(AVERAGE(H3:H17),2)</f>
        <v>548.51</v>
      </c>
      <c r="E20" s="22" t="str">
        <f>IFERROR(ROUND(IF(B20&lt;2,"N/A",(IF(C20&lt;=25%,"N/A",AVERAGE(I3:I17)))),2),"N/A")</f>
        <v>N/A</v>
      </c>
      <c r="F20" s="22">
        <f>ROUND(MEDIAN(H3:H17),2)</f>
        <v>548.51</v>
      </c>
      <c r="G20" s="23" t="str">
        <f>INDEX(G3:G17,MATCH(H20,H3:H17,0))</f>
        <v>ANDREA CARLA</v>
      </c>
      <c r="H20" s="24">
        <f>MIN(H3:H17)</f>
        <v>480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548.51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2742.55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G7" sqref="G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59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111</v>
      </c>
      <c r="C3" s="46" t="s">
        <v>3</v>
      </c>
      <c r="D3" s="47">
        <v>3</v>
      </c>
      <c r="E3" s="48">
        <f>IF(C20&lt;=25%,D20,MIN(E20:F20))</f>
        <v>732.48</v>
      </c>
      <c r="F3" s="48">
        <f>MIN(H3:H17)</f>
        <v>654</v>
      </c>
      <c r="G3" s="6" t="s">
        <v>119</v>
      </c>
      <c r="H3" s="7">
        <f>2432.88/3</f>
        <v>810.96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654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110.9874803750416</v>
      </c>
      <c r="B20" s="19">
        <f>COUNT(H3:H17)</f>
        <v>2</v>
      </c>
      <c r="C20" s="20">
        <f>IF(B20&lt;2,"N/A",(A20/D20))</f>
        <v>0.15152288168283312</v>
      </c>
      <c r="D20" s="21">
        <f>ROUND(AVERAGE(H3:H17),2)</f>
        <v>732.48</v>
      </c>
      <c r="E20" s="22" t="str">
        <f>IFERROR(ROUND(IF(B20&lt;2,"N/A",(IF(C20&lt;=25%,"N/A",AVERAGE(I3:I17)))),2),"N/A")</f>
        <v>N/A</v>
      </c>
      <c r="F20" s="22">
        <f>ROUND(MEDIAN(H3:H17),2)</f>
        <v>732.48</v>
      </c>
      <c r="G20" s="23" t="str">
        <f>INDEX(G3:G17,MATCH(H20,H3:H17,0))</f>
        <v>ANDREA CARLA</v>
      </c>
      <c r="H20" s="24">
        <f>MIN(H3:H17)</f>
        <v>654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732.48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2197.44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60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112</v>
      </c>
      <c r="C3" s="46" t="s">
        <v>3</v>
      </c>
      <c r="D3" s="47">
        <v>1</v>
      </c>
      <c r="E3" s="48">
        <f>IF(C20&lt;=25%,D20,MIN(E20:F20))</f>
        <v>1226.6400000000001</v>
      </c>
      <c r="F3" s="48">
        <f>MIN(H3:H17)</f>
        <v>1205.28</v>
      </c>
      <c r="G3" s="6" t="s">
        <v>119</v>
      </c>
      <c r="H3" s="7">
        <f>1205.28/1</f>
        <v>1205.28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1248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30.20760169228933</v>
      </c>
      <c r="B20" s="19">
        <f>COUNT(H3:H17)</f>
        <v>2</v>
      </c>
      <c r="C20" s="20">
        <f>IF(B20&lt;2,"N/A",(A20/D20))</f>
        <v>2.4626297603444636E-2</v>
      </c>
      <c r="D20" s="21">
        <f>ROUND(AVERAGE(H3:H17),2)</f>
        <v>1226.6400000000001</v>
      </c>
      <c r="E20" s="22" t="str">
        <f>IFERROR(ROUND(IF(B20&lt;2,"N/A",(IF(C20&lt;=25%,"N/A",AVERAGE(I3:I17)))),2),"N/A")</f>
        <v>N/A</v>
      </c>
      <c r="F20" s="22">
        <f>ROUND(MEDIAN(H3:H17),2)</f>
        <v>1226.6400000000001</v>
      </c>
      <c r="G20" s="23" t="str">
        <f>INDEX(G3:G17,MATCH(H20,H3:H17,0))</f>
        <v>ULEMÁ PEREIRA</v>
      </c>
      <c r="H20" s="24">
        <f>MIN(H3:H17)</f>
        <v>1205.28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1226.6400000000001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1226.6400000000001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61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113</v>
      </c>
      <c r="C3" s="46" t="s">
        <v>3</v>
      </c>
      <c r="D3" s="47">
        <v>3</v>
      </c>
      <c r="E3" s="48">
        <f>IF(C20&lt;=25%,D20,MIN(E20:F20))</f>
        <v>587.29</v>
      </c>
      <c r="F3" s="48">
        <f>MIN(H3:H17)</f>
        <v>526.5866666666667</v>
      </c>
      <c r="G3" s="6" t="s">
        <v>119</v>
      </c>
      <c r="H3" s="7">
        <f>1579.76/3</f>
        <v>526.5866666666667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648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85.852191326464165</v>
      </c>
      <c r="B20" s="19">
        <f>COUNT(H3:H17)</f>
        <v>2</v>
      </c>
      <c r="C20" s="20">
        <f>IF(B20&lt;2,"N/A",(A20/D20))</f>
        <v>0.14618364236827491</v>
      </c>
      <c r="D20" s="21">
        <f>ROUND(AVERAGE(H3:H17),2)</f>
        <v>587.29</v>
      </c>
      <c r="E20" s="22" t="str">
        <f>IFERROR(ROUND(IF(B20&lt;2,"N/A",(IF(C20&lt;=25%,"N/A",AVERAGE(I3:I17)))),2),"N/A")</f>
        <v>N/A</v>
      </c>
      <c r="F20" s="22">
        <f>ROUND(MEDIAN(H3:H17),2)</f>
        <v>587.29</v>
      </c>
      <c r="G20" s="23" t="str">
        <f>INDEX(G3:G17,MATCH(H20,H3:H17,0))</f>
        <v>ULEMÁ PEREIRA</v>
      </c>
      <c r="H20" s="24">
        <f>MIN(H3:H17)</f>
        <v>526.5866666666667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587.29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1761.87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G5" sqref="G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62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114</v>
      </c>
      <c r="C3" s="46" t="s">
        <v>3</v>
      </c>
      <c r="D3" s="47">
        <v>4</v>
      </c>
      <c r="E3" s="48">
        <f>IF(C20&lt;=25%,D20,MIN(E20:F20))</f>
        <v>461.65</v>
      </c>
      <c r="F3" s="48">
        <f>MIN(H3:H17)</f>
        <v>365.8</v>
      </c>
      <c r="G3" s="6" t="s">
        <v>119</v>
      </c>
      <c r="H3" s="7">
        <f>1463.2/4</f>
        <v>365.8</v>
      </c>
      <c r="I3" s="8">
        <f t="shared" ref="I3:I17" si="0">IF(H3="","",(IF($C$20&lt;25%,"N/A",IF(H3&lt;=($D$20+$A$20),H3,"Descartado"))))</f>
        <v>365.8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557.5</v>
      </c>
      <c r="I4" s="8">
        <f t="shared" si="0"/>
        <v>557.5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135.55236995346141</v>
      </c>
      <c r="B20" s="19">
        <f>COUNT(H3:H17)</f>
        <v>2</v>
      </c>
      <c r="C20" s="20">
        <f>IF(B20&lt;2,"N/A",(A20/D20))</f>
        <v>0.29362584198735281</v>
      </c>
      <c r="D20" s="21">
        <f>ROUND(AVERAGE(H3:H17),2)</f>
        <v>461.65</v>
      </c>
      <c r="E20" s="22">
        <f>IFERROR(ROUND(IF(B20&lt;2,"N/A",(IF(C20&lt;=25%,"N/A",AVERAGE(I3:I17)))),2),"N/A")</f>
        <v>461.65</v>
      </c>
      <c r="F20" s="22">
        <f>ROUND(MEDIAN(H3:H17),2)</f>
        <v>461.65</v>
      </c>
      <c r="G20" s="23" t="str">
        <f>INDEX(G3:G17,MATCH(H20,H3:H17,0))</f>
        <v>ULEMÁ PEREIRA</v>
      </c>
      <c r="H20" s="24">
        <f>MIN(H3:H17)</f>
        <v>365.8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461.65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1846.6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63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115</v>
      </c>
      <c r="C3" s="46" t="s">
        <v>3</v>
      </c>
      <c r="D3" s="47">
        <v>2</v>
      </c>
      <c r="E3" s="48">
        <f>IF(C20&lt;=25%,D20,MIN(E20:F20))</f>
        <v>621.02</v>
      </c>
      <c r="F3" s="48">
        <f>MIN(H3:H17)</f>
        <v>491.04</v>
      </c>
      <c r="G3" s="6" t="s">
        <v>119</v>
      </c>
      <c r="H3" s="7">
        <f>982.08/2</f>
        <v>491.04</v>
      </c>
      <c r="I3" s="8">
        <f t="shared" ref="I3:I17" si="0">IF(H3="","",(IF($C$20&lt;25%,"N/A",IF(H3&lt;=($D$20+$A$20),H3,"Descartado"))))</f>
        <v>491.04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751</v>
      </c>
      <c r="I4" s="8">
        <f t="shared" si="0"/>
        <v>751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183.81947883725493</v>
      </c>
      <c r="B20" s="19">
        <f>COUNT(H3:H17)</f>
        <v>2</v>
      </c>
      <c r="C20" s="20">
        <f>IF(B20&lt;2,"N/A",(A20/D20))</f>
        <v>0.29599606910768567</v>
      </c>
      <c r="D20" s="21">
        <f>ROUND(AVERAGE(H3:H17),2)</f>
        <v>621.02</v>
      </c>
      <c r="E20" s="22">
        <f>IFERROR(ROUND(IF(B20&lt;2,"N/A",(IF(C20&lt;=25%,"N/A",AVERAGE(I3:I17)))),2),"N/A")</f>
        <v>621.02</v>
      </c>
      <c r="F20" s="22">
        <f>ROUND(MEDIAN(H3:H17),2)</f>
        <v>621.02</v>
      </c>
      <c r="G20" s="23" t="str">
        <f>INDEX(G3:G17,MATCH(H20,H3:H17,0))</f>
        <v>ULEMÁ PEREIRA</v>
      </c>
      <c r="H20" s="24">
        <f>MIN(H3:H17)</f>
        <v>491.04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621.02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1242.04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80</v>
      </c>
      <c r="C3" s="46" t="s">
        <v>3</v>
      </c>
      <c r="D3" s="47">
        <v>2</v>
      </c>
      <c r="E3" s="48">
        <f>IF(C20&lt;=25%,D20,MIN(E20:F20))</f>
        <v>786.78</v>
      </c>
      <c r="F3" s="48">
        <f>MIN(H3:H17)</f>
        <v>710.6</v>
      </c>
      <c r="G3" s="6" t="s">
        <v>119</v>
      </c>
      <c r="H3" s="7">
        <f>1421.2/2</f>
        <v>710.6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f>1725.92/2</f>
        <v>862.96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107.73478918158239</v>
      </c>
      <c r="B20" s="19">
        <f>COUNT(H3:H17)</f>
        <v>2</v>
      </c>
      <c r="C20" s="20">
        <f>IF(B20&lt;2,"N/A",(A20/D20))</f>
        <v>0.13693127580973383</v>
      </c>
      <c r="D20" s="21">
        <f>ROUND(AVERAGE(H3:H17),2)</f>
        <v>786.78</v>
      </c>
      <c r="E20" s="22" t="str">
        <f>IFERROR(ROUND(IF(B20&lt;2,"N/A",(IF(C20&lt;=25%,"N/A",AVERAGE(I3:I17)))),2),"N/A")</f>
        <v>N/A</v>
      </c>
      <c r="F20" s="22">
        <f>ROUND(MEDIAN(H3:H17),2)</f>
        <v>786.78</v>
      </c>
      <c r="G20" s="23" t="str">
        <f>INDEX(G3:G17,MATCH(H20,H3:H17,0))</f>
        <v>ULEMÁ PEREIRA</v>
      </c>
      <c r="H20" s="24">
        <f>MIN(H3:H17)</f>
        <v>710.6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786.78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1573.56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G5" sqref="G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64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116</v>
      </c>
      <c r="C3" s="46" t="s">
        <v>3</v>
      </c>
      <c r="D3" s="47">
        <v>5</v>
      </c>
      <c r="E3" s="48">
        <f>IF(C20&lt;=25%,D20,MIN(E20:F20))</f>
        <v>986.76</v>
      </c>
      <c r="F3" s="48">
        <f>MIN(H3:H17)</f>
        <v>799</v>
      </c>
      <c r="G3" s="6" t="s">
        <v>119</v>
      </c>
      <c r="H3" s="7">
        <f>5872.64/5</f>
        <v>1174.528</v>
      </c>
      <c r="I3" s="8">
        <f t="shared" ref="I3:I17" si="0">IF(H3="","",(IF($C$20&lt;25%,"N/A",IF(H3&lt;=($D$20+$A$20),H3,"Descartado"))))</f>
        <v>1174.528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799</v>
      </c>
      <c r="I4" s="8">
        <f t="shared" si="0"/>
        <v>799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265.53839532542167</v>
      </c>
      <c r="B20" s="19">
        <f>COUNT(H3:H17)</f>
        <v>2</v>
      </c>
      <c r="C20" s="20">
        <f>IF(B20&lt;2,"N/A",(A20/D20))</f>
        <v>0.26910129649096204</v>
      </c>
      <c r="D20" s="21">
        <f>ROUND(AVERAGE(H3:H17),2)</f>
        <v>986.76</v>
      </c>
      <c r="E20" s="22">
        <f>IFERROR(ROUND(IF(B20&lt;2,"N/A",(IF(C20&lt;=25%,"N/A",AVERAGE(I3:I17)))),2),"N/A")</f>
        <v>986.76</v>
      </c>
      <c r="F20" s="22">
        <f>ROUND(MEDIAN(H3:H17),2)</f>
        <v>986.76</v>
      </c>
      <c r="G20" s="23" t="str">
        <f>INDEX(G3:G17,MATCH(H20,H3:H17,0))</f>
        <v>ANDREA CARLA</v>
      </c>
      <c r="H20" s="24">
        <f>MIN(H3:H17)</f>
        <v>799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986.76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4933.8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G11" sqref="G11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65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117</v>
      </c>
      <c r="C3" s="46" t="s">
        <v>3</v>
      </c>
      <c r="D3" s="47">
        <v>3</v>
      </c>
      <c r="E3" s="48">
        <f>IF(C20&lt;=25%,D20,MIN(E20:F20))</f>
        <v>606.59</v>
      </c>
      <c r="F3" s="48">
        <f>MIN(H3:H17)</f>
        <v>575</v>
      </c>
      <c r="G3" s="6" t="s">
        <v>119</v>
      </c>
      <c r="H3" s="7">
        <f>1914.56/3</f>
        <v>638.18666666666661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575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44.679720480573941</v>
      </c>
      <c r="B20" s="19">
        <f>COUNT(H3:H17)</f>
        <v>2</v>
      </c>
      <c r="C20" s="20">
        <f>IF(B20&lt;2,"N/A",(A20/D20))</f>
        <v>7.3657199229420101E-2</v>
      </c>
      <c r="D20" s="21">
        <f>ROUND(AVERAGE(H3:H17),2)</f>
        <v>606.59</v>
      </c>
      <c r="E20" s="22" t="str">
        <f>IFERROR(ROUND(IF(B20&lt;2,"N/A",(IF(C20&lt;=25%,"N/A",AVERAGE(I3:I17)))),2),"N/A")</f>
        <v>N/A</v>
      </c>
      <c r="F20" s="22">
        <f>ROUND(MEDIAN(H3:H17),2)</f>
        <v>606.59</v>
      </c>
      <c r="G20" s="23" t="str">
        <f>INDEX(G3:G17,MATCH(H20,H3:H17,0))</f>
        <v>ANDREA CARLA</v>
      </c>
      <c r="H20" s="24">
        <f>MIN(H3:H17)</f>
        <v>575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606.59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1819.77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opLeftCell="B1" zoomScaleNormal="100" workbookViewId="0">
      <selection activeCell="I3" sqref="I3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66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118</v>
      </c>
      <c r="C3" s="46" t="s">
        <v>3</v>
      </c>
      <c r="D3" s="47">
        <v>2</v>
      </c>
      <c r="E3" s="48">
        <f>IF(C20&lt;=25%,D20,MIN(E20:F20))</f>
        <v>987.04</v>
      </c>
      <c r="F3" s="48">
        <f>MIN(H3:H17)</f>
        <v>987.04</v>
      </c>
      <c r="G3" s="6" t="s">
        <v>119</v>
      </c>
      <c r="H3" s="7">
        <f>1974.08/2</f>
        <v>987.04</v>
      </c>
      <c r="I3" s="8" t="e">
        <f t="shared" ref="I3:I17" si="0">IF(H3="","",(IF($C$20&lt;25%,"N/A",IF(H3&lt;=($D$20+$A$20),H3,"Descartado"))))</f>
        <v>#VALUE!</v>
      </c>
    </row>
    <row r="4" spans="1:9">
      <c r="A4" s="44"/>
      <c r="B4" s="45"/>
      <c r="C4" s="46"/>
      <c r="D4" s="47"/>
      <c r="E4" s="48"/>
      <c r="F4" s="48"/>
      <c r="H4" s="7"/>
      <c r="I4" s="8" t="str">
        <f t="shared" si="0"/>
        <v/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987.04</v>
      </c>
      <c r="E20" s="22" t="str">
        <f>IFERROR(ROUND(IF(B20&lt;2,"N/A",(IF(C20&lt;=25%,"N/A",AVERAGE(I3:I17)))),2),"N/A")</f>
        <v>N/A</v>
      </c>
      <c r="F20" s="22">
        <f>ROUND(MEDIAN(H3:H17),2)</f>
        <v>987.04</v>
      </c>
      <c r="G20" s="23" t="str">
        <f>INDEX(G3:G17,MATCH(H20,H3:H17,0))</f>
        <v>ULEMÁ PEREIRA</v>
      </c>
      <c r="H20" s="24">
        <f>MIN(H3:H17)</f>
        <v>987.04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987.04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1974.08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2"/>
  <sheetViews>
    <sheetView tabSelected="1" view="pageBreakPreview" topLeftCell="A39" zoomScale="60" zoomScaleNormal="100" workbookViewId="0">
      <selection activeCell="G41" sqref="G41"/>
    </sheetView>
  </sheetViews>
  <sheetFormatPr defaultColWidth="9.140625" defaultRowHeight="12.75"/>
  <cols>
    <col min="1" max="1" width="15.140625" style="34" bestFit="1" customWidth="1"/>
    <col min="2" max="2" width="4.7109375" style="34" customWidth="1"/>
    <col min="3" max="3" width="66.7109375" style="34" customWidth="1"/>
    <col min="4" max="4" width="13.28515625" style="34" customWidth="1"/>
    <col min="5" max="5" width="10.140625" style="34" bestFit="1" customWidth="1"/>
    <col min="6" max="6" width="11.85546875" style="34" bestFit="1" customWidth="1"/>
    <col min="7" max="7" width="15.5703125" style="34" bestFit="1" customWidth="1"/>
    <col min="8" max="8" width="17.7109375" style="34" customWidth="1"/>
    <col min="9" max="14" width="9.140625" style="35"/>
    <col min="15" max="1024" width="9.140625" style="34"/>
    <col min="1025" max="1025" width="11.5703125" customWidth="1"/>
  </cols>
  <sheetData>
    <row r="1" spans="1:8" ht="15.75">
      <c r="A1" s="36"/>
      <c r="B1" s="36"/>
      <c r="C1" s="36"/>
      <c r="D1" s="36"/>
      <c r="E1" s="36"/>
      <c r="F1" s="36"/>
      <c r="G1" s="36"/>
      <c r="H1" s="36"/>
    </row>
    <row r="2" spans="1:8" ht="15.75">
      <c r="A2" s="36"/>
      <c r="B2" s="36"/>
      <c r="C2" s="36"/>
      <c r="D2" s="36"/>
      <c r="E2" s="36"/>
      <c r="F2" s="36"/>
      <c r="G2" s="36"/>
      <c r="H2" s="36"/>
    </row>
    <row r="3" spans="1:8" ht="15.75">
      <c r="A3" s="36"/>
      <c r="B3" s="36"/>
      <c r="C3" s="36"/>
      <c r="D3" s="36"/>
      <c r="E3" s="36"/>
      <c r="F3" s="36"/>
      <c r="G3" s="36"/>
      <c r="H3" s="36"/>
    </row>
    <row r="4" spans="1:8" ht="15.75">
      <c r="A4" s="36"/>
      <c r="B4" s="36"/>
      <c r="C4" s="36"/>
      <c r="D4" s="36"/>
      <c r="E4" s="36"/>
      <c r="F4" s="36"/>
      <c r="G4" s="36"/>
      <c r="H4" s="36"/>
    </row>
    <row r="5" spans="1:8" ht="15" customHeight="1">
      <c r="A5" s="53" t="s">
        <v>67</v>
      </c>
      <c r="B5" s="53"/>
      <c r="C5" s="53"/>
      <c r="D5" s="53"/>
      <c r="E5" s="53"/>
      <c r="F5" s="53"/>
      <c r="G5" s="53"/>
      <c r="H5" s="53"/>
    </row>
    <row r="6" spans="1:8" ht="15" customHeight="1">
      <c r="A6" s="53" t="s">
        <v>68</v>
      </c>
      <c r="B6" s="53"/>
      <c r="C6" s="53"/>
      <c r="D6" s="53"/>
      <c r="E6" s="53"/>
      <c r="F6" s="53"/>
      <c r="G6" s="53"/>
      <c r="H6" s="53"/>
    </row>
    <row r="7" spans="1:8" ht="15.75">
      <c r="A7" s="37"/>
      <c r="B7" s="37"/>
      <c r="C7" s="37"/>
      <c r="D7" s="37"/>
      <c r="E7" s="37"/>
      <c r="F7" s="37"/>
      <c r="G7" s="37"/>
      <c r="H7" s="37"/>
    </row>
    <row r="8" spans="1:8" ht="15.75" customHeight="1">
      <c r="A8" s="54" t="s">
        <v>69</v>
      </c>
      <c r="B8" s="54"/>
      <c r="C8" s="54"/>
      <c r="D8" s="54"/>
      <c r="E8" s="54"/>
      <c r="F8" s="54"/>
      <c r="G8" s="54"/>
      <c r="H8" s="54"/>
    </row>
    <row r="9" spans="1:8" ht="33" customHeight="1">
      <c r="A9" s="38" t="s">
        <v>121</v>
      </c>
      <c r="B9" s="38" t="s">
        <v>70</v>
      </c>
      <c r="C9" s="38" t="s">
        <v>71</v>
      </c>
      <c r="D9" s="38" t="s">
        <v>72</v>
      </c>
      <c r="E9" s="38" t="s">
        <v>73</v>
      </c>
      <c r="F9" s="38" t="s">
        <v>74</v>
      </c>
      <c r="G9" s="38" t="s">
        <v>75</v>
      </c>
      <c r="H9" s="38" t="s">
        <v>122</v>
      </c>
    </row>
    <row r="10" spans="1:8" ht="62.25" customHeight="1">
      <c r="A10" s="55" t="s">
        <v>123</v>
      </c>
      <c r="B10" s="39">
        <v>1</v>
      </c>
      <c r="C10" s="40" t="str">
        <f>Item1!B3</f>
        <v xml:space="preserve">Confecção de persiana para Zona de ESPLANADA, medindo 2,20m x 2,38m, totalizando 5,24m2. 
A fixação será na parede e a abertura será central.
</v>
      </c>
      <c r="D10" s="39" t="str">
        <f>Item1!C3</f>
        <v>UNIDADE</v>
      </c>
      <c r="E10" s="39">
        <f>Item1!D3</f>
        <v>1</v>
      </c>
      <c r="F10" s="41">
        <f>Item1!E3</f>
        <v>974.8</v>
      </c>
      <c r="G10" s="41">
        <f t="shared" ref="G10:G51" si="0">(ROUND(F10,2)*E10)</f>
        <v>974.8</v>
      </c>
      <c r="H10" s="59">
        <f>SUM(G10:G18)</f>
        <v>23732.159999999996</v>
      </c>
    </row>
    <row r="11" spans="1:8" ht="89.25">
      <c r="A11" s="56"/>
      <c r="B11" s="39">
        <v>2</v>
      </c>
      <c r="C11" s="40" t="str">
        <f>Item2!B3</f>
        <v xml:space="preserve">Confecção de persianas para Zona de SIMÕES FILHO, com as medidas abaixo, totalizando 8,20m²:
• Janela 1: (1,90 x 2,00)m – abertura para a esquerda;
• Janela 2: (2,20 x 2,00)m – abertura central.
Todas deverão ser fixadas na parede.
</v>
      </c>
      <c r="D11" s="39" t="str">
        <f>Item2!C3</f>
        <v>UNIDADE</v>
      </c>
      <c r="E11" s="39">
        <f>Item2!D3</f>
        <v>2</v>
      </c>
      <c r="F11" s="41">
        <f>Item2!E3</f>
        <v>672.5</v>
      </c>
      <c r="G11" s="41">
        <f t="shared" si="0"/>
        <v>1345</v>
      </c>
      <c r="H11" s="60"/>
    </row>
    <row r="12" spans="1:8" ht="127.5">
      <c r="A12" s="56"/>
      <c r="B12" s="39">
        <v>3</v>
      </c>
      <c r="C12" s="40" t="str">
        <f>Item3!B3</f>
        <v xml:space="preserve">Confecção de persianas para Zona de CATU, com as medidas abaixo, totalizando 12,56m²:
• Janela 1: (2,36 x 1,40)m – abertura central;
• Janela 2: (2,36 x 1,40)m – abertura central; 
• Janela 3: (1,90 x 1,40)m – abertura para direita;
• Janela 4: (1,36 x 1,40)m – abertura central;
• Janela 5: (1,00 x 1,40)m – abertura para direita. 
Todas deverão ser fixadas na parede.
</v>
      </c>
      <c r="D12" s="39" t="str">
        <f>Item3!C3</f>
        <v>UNIDADE</v>
      </c>
      <c r="E12" s="39">
        <f>Item3!D3</f>
        <v>5</v>
      </c>
      <c r="F12" s="41">
        <f>Item3!E3</f>
        <v>414.34</v>
      </c>
      <c r="G12" s="41">
        <f t="shared" si="0"/>
        <v>2071.6999999999998</v>
      </c>
      <c r="H12" s="60"/>
    </row>
    <row r="13" spans="1:8" ht="89.25">
      <c r="A13" s="56"/>
      <c r="B13" s="39">
        <v>4</v>
      </c>
      <c r="C13" s="40" t="str">
        <f>Item4!B3</f>
        <v xml:space="preserve">Confecção de persianas para Zona de FEIRA DE SANTANA, com as medidas abaixo, totalizando 7,48m²:
• Janela 1: (2,20 x 1,70)m – abertura para esquerda;
• Janela 2: (2,20 x 1,70)m – abertura para direita.
Todas deverão ser fixadas na parede.
</v>
      </c>
      <c r="D13" s="39" t="str">
        <f>Item4!C3</f>
        <v>UNIDADE</v>
      </c>
      <c r="E13" s="39">
        <f>Item4!D3</f>
        <v>2</v>
      </c>
      <c r="F13" s="41">
        <f>Item4!E3</f>
        <v>786.78</v>
      </c>
      <c r="G13" s="41">
        <f t="shared" si="0"/>
        <v>1573.56</v>
      </c>
      <c r="H13" s="60"/>
    </row>
    <row r="14" spans="1:8" ht="369.75">
      <c r="A14" s="56"/>
      <c r="B14" s="39">
        <v>5</v>
      </c>
      <c r="C14" s="40" t="str">
        <f>Item5!B3</f>
        <v xml:space="preserve">Confecção de persianas para Zona de CAMAÇARI, com as medidas abaixo, totalizando 64,22m².
Central de Atendimento, com as medidas abaixo, totalizando 29,28m²:
• Janela 1.1: (1,20 x 1,50)m – abertura para a esquerda;
• Janela 1.2: (1,90 x 1,50)m – abertura para a direita;
• Janela 1.3: (3,00 x 1,50)m – abertura central;
• Janela 2.1: (1,98 x 1,50)m – abertura para a esquerda;
• Janela 2.2: (1,98 x 1,50)m – abertura central;
• Janela 2.3: (1,98 x 1,50)m – abertura para a direita;
• Janela 3.1: (2,49 x 1,50)m – abertura para a esquerda;
• Janela 3.2: (2,49 x 1,50)m – abertura central;
• Janela 3.3: (2,49 x 1,50)m – abertura para a direita.
Sala de Treinamento, com as medidas abaixo, totalizando 7,00m²:
• Janela 4.1: (2,33 x 1,50)m – abertura para a esquerda;
• Janela 4.2: (2,33 x 1,50)m – abertura para a direita.
Cartório da 170ª Zona Eleitoral, com as medidas abaixo, totalizando 11,12m²:
• Janela 5.1: (2,45 x 1,50)m – abertura para a esquerda;
• Janela 5.2: (2,45 x 1,50)m – abertura para a direita;
• Janela 6: (2,51 x 1,50)m – abertura central.
Cartório da 171ª Zona Eleitoral, com as medidas abaixo, totalizando 16,82m²:
• Janela 7.1: (1,88 x 1,50)m – abertura para a esquerda;
• Janela 7.2: (1,88 x 1,50)m – abertura para a direita;
• Janela 8: (2,85 x 1,50)m – abertura para a direita;
• Janela 9.1: (2,30 x 1,50)m – abertura para a direita;
• Janela 9.2: (2,30 x 1,50)m – abertura para a esquerda.
Todas deverão ser fixadas no fundo da viga.
</v>
      </c>
      <c r="D14" s="39" t="str">
        <f>Item5!C3</f>
        <v>UNIDADE</v>
      </c>
      <c r="E14" s="39">
        <f>Item5!D3</f>
        <v>19</v>
      </c>
      <c r="F14" s="41">
        <f>Item5!E3</f>
        <v>525.6</v>
      </c>
      <c r="G14" s="41">
        <f t="shared" si="0"/>
        <v>9986.4</v>
      </c>
      <c r="H14" s="60"/>
    </row>
    <row r="15" spans="1:8" ht="89.25">
      <c r="A15" s="56"/>
      <c r="B15" s="39">
        <v>6</v>
      </c>
      <c r="C15" s="40" t="str">
        <f>Item6!B3</f>
        <v xml:space="preserve">Confecção de persianas para Zona de RETIROLÂNDIA, com as medidas abaixo, totalizando 19,38m²:
• Janelas 1 a 4: (2,40 x 1,70)m;
• Janela 5: (1,80 x 1,70)m.
A fixação será na parede e a abertura para a esquerda.
</v>
      </c>
      <c r="D15" s="39" t="str">
        <f>Item6!C3</f>
        <v>UNIDADE</v>
      </c>
      <c r="E15" s="39">
        <f>Item6!D3</f>
        <v>5</v>
      </c>
      <c r="F15" s="41">
        <f>Item6!E3</f>
        <v>622.62</v>
      </c>
      <c r="G15" s="41">
        <f t="shared" si="0"/>
        <v>3113.1</v>
      </c>
      <c r="H15" s="60"/>
    </row>
    <row r="16" spans="1:8" ht="89.25">
      <c r="A16" s="56"/>
      <c r="B16" s="39">
        <v>7</v>
      </c>
      <c r="C16" s="40" t="str">
        <f>Item7!B3</f>
        <v xml:space="preserve">Confecção de persianas para Zona de POJUCA, com as medidas abaixo, totalizando 4,32m²:
• Janela 1: (1,65 x 1,35)m;
• Janela 2: (1,55 x 1,35)m.
Todas deverão ser fixadas na parede e a abertura para a esquerda.
</v>
      </c>
      <c r="D16" s="39" t="str">
        <f>Item7!C3</f>
        <v>UNIDADE</v>
      </c>
      <c r="E16" s="39">
        <f>Item7!D3</f>
        <v>2</v>
      </c>
      <c r="F16" s="41">
        <f>Item7!E3</f>
        <v>379.3</v>
      </c>
      <c r="G16" s="41">
        <f t="shared" si="0"/>
        <v>758.6</v>
      </c>
      <c r="H16" s="60"/>
    </row>
    <row r="17" spans="1:8" ht="63.75">
      <c r="A17" s="56"/>
      <c r="B17" s="39">
        <v>8</v>
      </c>
      <c r="C17" s="40" t="str">
        <f>Item8!B3</f>
        <v xml:space="preserve">Confecção de persianas para Zona de VALENTE, medindo 2,90m x 2,00m cada, totalizando 11,60m2. 
A fixação será na parede e a abertura será central.
</v>
      </c>
      <c r="D17" s="39" t="str">
        <f>Item8!C3</f>
        <v>UNIDADE</v>
      </c>
      <c r="E17" s="39">
        <f>Item8!D3</f>
        <v>2</v>
      </c>
      <c r="F17" s="41">
        <f>Item8!E3</f>
        <v>987.25</v>
      </c>
      <c r="G17" s="41">
        <f t="shared" si="0"/>
        <v>1974.5</v>
      </c>
      <c r="H17" s="60"/>
    </row>
    <row r="18" spans="1:8" ht="89.25">
      <c r="A18" s="57"/>
      <c r="B18" s="39">
        <v>9</v>
      </c>
      <c r="C18" s="40" t="str">
        <f>Item9!B3</f>
        <v xml:space="preserve">Confecção de persianas para Zona de SÃO FRANCISCO DO CONDE, com as medidas abaixo, totalizando 12,30m²:
• Porta 1 - Cartório: (2,53 x 2,65)m – abertura para a esquerda;
• Porta 2 - Cartório: (2,00 x 2,80)m – abertura para a esquerda.
Todas deverão ser fixadas na parede.
</v>
      </c>
      <c r="D18" s="39" t="str">
        <f>Item9!C3</f>
        <v>UNIDADE</v>
      </c>
      <c r="E18" s="39">
        <f>Item9!D3</f>
        <v>2</v>
      </c>
      <c r="F18" s="41">
        <f>Item9!E3</f>
        <v>967.25</v>
      </c>
      <c r="G18" s="41">
        <f t="shared" si="0"/>
        <v>1934.5</v>
      </c>
      <c r="H18" s="61"/>
    </row>
    <row r="19" spans="1:8" ht="102">
      <c r="A19" s="55" t="s">
        <v>124</v>
      </c>
      <c r="B19" s="39">
        <v>10</v>
      </c>
      <c r="C19" s="40" t="str">
        <f>Item10!B3</f>
        <v xml:space="preserve">Confecção de persianas para Zona de IPIRÁ, com as medidas abaixo, totalizando 7,38m²:
• Janela 1 - Cartório: (1,90 x 1,70)m – abertura central;
• Janela 2 - Sala do juiz: (1,70 x 1,70)m – abertura central;
• Janela 3 - Copa: (1,80 x 0,70)m – abertura para a esquerda.
Todas deverão ser fixadas na parede.
</v>
      </c>
      <c r="D19" s="39" t="str">
        <f>Item10!C3</f>
        <v>UNIDADE</v>
      </c>
      <c r="E19" s="39">
        <f>Item10!D3</f>
        <v>3</v>
      </c>
      <c r="F19" s="41">
        <f>Item10!E3</f>
        <v>453.6</v>
      </c>
      <c r="G19" s="41">
        <f t="shared" si="0"/>
        <v>1360.8000000000002</v>
      </c>
      <c r="H19" s="59">
        <f>SUM(G19:G27)</f>
        <v>14774.359999999999</v>
      </c>
    </row>
    <row r="20" spans="1:8" ht="63.75">
      <c r="A20" s="56"/>
      <c r="B20" s="39">
        <v>11</v>
      </c>
      <c r="C20" s="40" t="str">
        <f>Item11!B3</f>
        <v xml:space="preserve">Confecção de persiana para Zona de SANTA TERESINHA, medindo 1,65m x 1,30m e totalizando 2,15m2, para a janela da sala do analista. 
A fixação será no teto e a abertura será para a esquerda.
</v>
      </c>
      <c r="D20" s="39" t="str">
        <f>Item11!C3</f>
        <v>UNIDADE</v>
      </c>
      <c r="E20" s="39">
        <f>Item11!D3</f>
        <v>1</v>
      </c>
      <c r="F20" s="41">
        <f>Item11!E3</f>
        <v>503</v>
      </c>
      <c r="G20" s="41">
        <f t="shared" si="0"/>
        <v>503</v>
      </c>
      <c r="H20" s="60"/>
    </row>
    <row r="21" spans="1:8" ht="63.75">
      <c r="A21" s="56"/>
      <c r="B21" s="39">
        <v>12</v>
      </c>
      <c r="C21" s="40" t="str">
        <f>Item12!B3</f>
        <v xml:space="preserve">Confecção de persianas para Zona de JUAZEIRO, para a sala de audiências da 47ª Zona Eleitoral, medindo 2,27m x 1,87m cada, totalizando 8,49m2. 
A fixação será na parede e a abertura será central.
</v>
      </c>
      <c r="D21" s="39" t="str">
        <f>Item12!C3</f>
        <v>UNIDADE</v>
      </c>
      <c r="E21" s="39">
        <f>Item12!D3</f>
        <v>2</v>
      </c>
      <c r="F21" s="41">
        <f>Item12!E3</f>
        <v>939.95</v>
      </c>
      <c r="G21" s="41">
        <f t="shared" si="0"/>
        <v>1879.9</v>
      </c>
      <c r="H21" s="60"/>
    </row>
    <row r="22" spans="1:8" ht="99.95" customHeight="1">
      <c r="A22" s="56"/>
      <c r="B22" s="39">
        <v>13</v>
      </c>
      <c r="C22" s="40" t="str">
        <f>Item13!B3</f>
        <v xml:space="preserve">Confecção de persianas para Zona de PARIPIRANGA, com as medidas abaixo, totalizando 24,05m²:
• Janela 1: (1,70 x 1,90)m – abertura para a direita;
• Janela 2: (1,70 x 1,90)m – abertura para a direita;
• Janela 3: (1,15 x 1,40)m – abertura para a direita;
• Janela 4: (1,80 x 1,90)m – abertura central;
• Janela 5: (1,30 x 1,40)m – abertura central;
• Janela 6: (1,70 x 1,40)m – abertura para a esquerda;
• Janela 7: (2,40 x 1,40)m – abertura central;
• Janela 8: (1,60 x 1,90)m – abertura para a direita;
• Janela 9: (1,40 x 1,40)m – abertura central.
Todas deverão ser fixadas na parede.
</v>
      </c>
      <c r="D22" s="39" t="str">
        <f>Item13!C3</f>
        <v>UNIDADE</v>
      </c>
      <c r="E22" s="39">
        <f>Item13!D3</f>
        <v>9</v>
      </c>
      <c r="F22" s="41">
        <f>Item13!E3</f>
        <v>504.94</v>
      </c>
      <c r="G22" s="41">
        <f t="shared" si="0"/>
        <v>4544.46</v>
      </c>
      <c r="H22" s="60"/>
    </row>
    <row r="23" spans="1:8" ht="63.75">
      <c r="A23" s="56"/>
      <c r="B23" s="39">
        <v>14</v>
      </c>
      <c r="C23" s="40" t="str">
        <f>Item14!B3</f>
        <v xml:space="preserve">Confecção de persiana para Zona de TUCANO, medindo 2,90m x 1,75m e totalizando 5,08m2. 
A fixação será na parede e a abertura será central.
</v>
      </c>
      <c r="D23" s="39" t="str">
        <f>Item14!C3</f>
        <v>UNIDADE</v>
      </c>
      <c r="E23" s="39">
        <f>Item14!D3</f>
        <v>1</v>
      </c>
      <c r="F23" s="41">
        <f>Item14!E3</f>
        <v>1039.3</v>
      </c>
      <c r="G23" s="41">
        <f t="shared" si="0"/>
        <v>1039.3</v>
      </c>
      <c r="H23" s="60"/>
    </row>
    <row r="24" spans="1:8" ht="89.25">
      <c r="A24" s="56"/>
      <c r="B24" s="39">
        <v>15</v>
      </c>
      <c r="C24" s="40" t="str">
        <f>Item15!B3</f>
        <v xml:space="preserve">Confecção de persianas para Zona de SENTO SÉ com as medidas abaixo, totalizando 6,40m²:
• Janela 1.1: (2,00 x 1,60)m – abertura para a direita;
• Janela 1.2: (2,00 x 1,60)m – abertura para a esquerda.
Todas deverão ser fixadas na parede.
</v>
      </c>
      <c r="D24" s="39" t="str">
        <f>Item15!C3</f>
        <v>UNIDADE</v>
      </c>
      <c r="E24" s="39">
        <f>Item15!D3</f>
        <v>2</v>
      </c>
      <c r="F24" s="41">
        <f>Item15!E3</f>
        <v>854</v>
      </c>
      <c r="G24" s="41">
        <f t="shared" si="0"/>
        <v>1708</v>
      </c>
      <c r="H24" s="60"/>
    </row>
    <row r="25" spans="1:8" ht="63.75">
      <c r="A25" s="56"/>
      <c r="B25" s="39">
        <v>16</v>
      </c>
      <c r="C25" s="40" t="str">
        <f>Item16!B3</f>
        <v xml:space="preserve">Confecção de persianas para Zona de ITIÚBA medindo 2,00m x 1,85m cada, totalizando 7,40m2. 
A fixação será na parede e a abertura será lateral para esquerda.
</v>
      </c>
      <c r="D25" s="39" t="str">
        <f>Item16!C3</f>
        <v>UNIDADE</v>
      </c>
      <c r="E25" s="39">
        <f>Item16!D3</f>
        <v>2</v>
      </c>
      <c r="F25" s="41">
        <f>Item16!E3</f>
        <v>782</v>
      </c>
      <c r="G25" s="41">
        <f t="shared" si="0"/>
        <v>1564</v>
      </c>
      <c r="H25" s="60"/>
    </row>
    <row r="26" spans="1:8" ht="89.25">
      <c r="A26" s="56"/>
      <c r="B26" s="39">
        <v>17</v>
      </c>
      <c r="C26" s="40" t="str">
        <f>Item17!B3</f>
        <v xml:space="preserve">Confecção de persianas para Zona de CHORROCHÓ com as medidas abaixo, totalizando 5,29m²:
• Janela 1: (1,45 x 1,30)m;
• Janela 2: (1,65 x 2,06)m.
Todas deverão ser fixadas na parede e a abertura será central.
</v>
      </c>
      <c r="D26" s="39" t="str">
        <f>Item17!C3</f>
        <v>UNIDADE</v>
      </c>
      <c r="E26" s="39">
        <f>Item17!D3</f>
        <v>2</v>
      </c>
      <c r="F26" s="41">
        <f>Item17!E3</f>
        <v>666.45</v>
      </c>
      <c r="G26" s="41">
        <f t="shared" si="0"/>
        <v>1332.9</v>
      </c>
      <c r="H26" s="60"/>
    </row>
    <row r="27" spans="1:8" ht="76.5">
      <c r="A27" s="57"/>
      <c r="B27" s="39">
        <v>18</v>
      </c>
      <c r="C27" s="40" t="str">
        <f>Item18!B3</f>
        <v xml:space="preserve">Confecção de persianas para Zona de JAGUARARI medindo 1,50m x 1,00m cada, totalizando 3,00m².
Todas deverão ser fixadas na parede e abertura central.
</v>
      </c>
      <c r="D27" s="39" t="str">
        <f>Item18!C3</f>
        <v>UNIDADE</v>
      </c>
      <c r="E27" s="39">
        <f>Item18!D3</f>
        <v>2</v>
      </c>
      <c r="F27" s="41">
        <f>Item18!E3</f>
        <v>421</v>
      </c>
      <c r="G27" s="41">
        <f t="shared" si="0"/>
        <v>842</v>
      </c>
      <c r="H27" s="60"/>
    </row>
    <row r="28" spans="1:8" ht="63.75">
      <c r="A28" s="55" t="s">
        <v>125</v>
      </c>
      <c r="B28" s="39">
        <v>19</v>
      </c>
      <c r="C28" s="40" t="str">
        <f>Item19!B3</f>
        <v xml:space="preserve">Confecção de persiana para Zona de LENÇÓIS, medindo 1,60m x 1,20m e totalizando 1,92m2. 
A fixação será na parede e a abertura será central.
</v>
      </c>
      <c r="D28" s="39" t="str">
        <f>Item19!C3</f>
        <v>UNIDADE</v>
      </c>
      <c r="E28" s="39">
        <f>Item19!D3</f>
        <v>1</v>
      </c>
      <c r="F28" s="41">
        <f>Item19!E3</f>
        <v>667.9</v>
      </c>
      <c r="G28" s="41">
        <f t="shared" si="0"/>
        <v>667.9</v>
      </c>
      <c r="H28" s="62">
        <f>SUM(G28:G33)</f>
        <v>10701.59</v>
      </c>
    </row>
    <row r="29" spans="1:8" ht="102">
      <c r="A29" s="56"/>
      <c r="B29" s="39">
        <v>20</v>
      </c>
      <c r="C29" s="40" t="str">
        <f>Item20!B3</f>
        <v xml:space="preserve">Confecção de persianas para Zona de IRECÊ, com as medidas abaixo, totalizando 11,67m²:
• Janela 1: (2,15 x 1,80)m – abertura central;
• Janela 2.1: (2,05 x 1,90)m – abertura para a esquerda;
• Janela 2.2: (2,05 x 1,90)m – abertura para a direita.
Todas deverão ser fixadas na parede.
</v>
      </c>
      <c r="D29" s="39" t="str">
        <f>Item20!C3</f>
        <v>UNIDADE</v>
      </c>
      <c r="E29" s="39">
        <f>Item20!D3</f>
        <v>3</v>
      </c>
      <c r="F29" s="41">
        <f>Item20!E3</f>
        <v>850.63</v>
      </c>
      <c r="G29" s="41">
        <f t="shared" si="0"/>
        <v>2551.89</v>
      </c>
      <c r="H29" s="62"/>
    </row>
    <row r="30" spans="1:8" ht="63.75">
      <c r="A30" s="56"/>
      <c r="B30" s="39">
        <v>21</v>
      </c>
      <c r="C30" s="40" t="str">
        <f>Item21!B3</f>
        <v xml:space="preserve">Confecção de persiana para Zona de PIATÃ, medindo 2,30m x 1,80m e totalizando 4,14m2. 
A fixação será no teto e a abertura será para a esquerda.
</v>
      </c>
      <c r="D30" s="39" t="str">
        <f>Item21!C3</f>
        <v>UNIDADE</v>
      </c>
      <c r="E30" s="39">
        <f>Item21!D3</f>
        <v>1</v>
      </c>
      <c r="F30" s="41">
        <f>Item21!E3</f>
        <v>1221.3</v>
      </c>
      <c r="G30" s="41">
        <f t="shared" si="0"/>
        <v>1221.3</v>
      </c>
      <c r="H30" s="62"/>
    </row>
    <row r="31" spans="1:8" ht="63.75">
      <c r="A31" s="56"/>
      <c r="B31" s="39">
        <v>22</v>
      </c>
      <c r="C31" s="40" t="str">
        <f>Item22!B3</f>
        <v xml:space="preserve">Confecção de persiana para Zona de IBOTIRAMA, medindo 1,60m x 1,40m, totalizando 2,24m².
Fixação na parede e abertura lateral para esquerda.
</v>
      </c>
      <c r="D31" s="39" t="str">
        <f>Item22!C3</f>
        <v>UNIDADE</v>
      </c>
      <c r="E31" s="39">
        <f>Item22!D3</f>
        <v>1</v>
      </c>
      <c r="F31" s="41">
        <f>Item22!E3</f>
        <v>957.3</v>
      </c>
      <c r="G31" s="41">
        <f t="shared" si="0"/>
        <v>957.3</v>
      </c>
      <c r="H31" s="62"/>
    </row>
    <row r="32" spans="1:8" ht="89.25">
      <c r="A32" s="56"/>
      <c r="B32" s="39">
        <v>23</v>
      </c>
      <c r="C32" s="40" t="str">
        <f>Item23!B3</f>
        <v xml:space="preserve">Confecção de persianas para Zona de BARRA DO MENDES, com as medidas abaixo, totalizando 13,50m²:
• Janelas 1 a 3: (1,70 x 2,10)m – abertura para esquerda;
• Janela 4: (1,47 x 1,90)m – abertura central.
Todas deverão ser fixadas na parede.
</v>
      </c>
      <c r="D32" s="39" t="str">
        <f>Item23!C3</f>
        <v>UNIDADE</v>
      </c>
      <c r="E32" s="39">
        <f>Item23!D3</f>
        <v>4</v>
      </c>
      <c r="F32" s="41">
        <f>Item23!E3</f>
        <v>741.5</v>
      </c>
      <c r="G32" s="41">
        <f t="shared" si="0"/>
        <v>2966</v>
      </c>
      <c r="H32" s="62"/>
    </row>
    <row r="33" spans="1:8" ht="102">
      <c r="A33" s="57"/>
      <c r="B33" s="39">
        <v>24</v>
      </c>
      <c r="C33" s="40" t="str">
        <f>Item24!B3</f>
        <v xml:space="preserve">Confecção de persianas para Zona de SANTA RITA DE CÁSSIA, com as medidas abaixo, totalizando 7,51m²:
• Janelas 1 e 2: (1,90 x 0,90)m – abertura central;
• Janela 3: (1,60 x 1,32)m – abertura para a direita;
• Janela 4: (1,58 x 1,25)m – abertura para a direita.
Todas deverão ser fixadas na parede.
</v>
      </c>
      <c r="D33" s="39" t="str">
        <f>Item24!C3</f>
        <v>UNIDADE</v>
      </c>
      <c r="E33" s="39">
        <f>Item24!D3</f>
        <v>4</v>
      </c>
      <c r="F33" s="41">
        <f>Item24!E3</f>
        <v>584.29999999999995</v>
      </c>
      <c r="G33" s="41">
        <f t="shared" si="0"/>
        <v>2337.1999999999998</v>
      </c>
      <c r="H33" s="63"/>
    </row>
    <row r="34" spans="1:8" ht="76.5">
      <c r="A34" s="55" t="s">
        <v>126</v>
      </c>
      <c r="B34" s="39">
        <v>25</v>
      </c>
      <c r="C34" s="40" t="str">
        <f>Item25!B3</f>
        <v xml:space="preserve">Confecção de persiana para Zona de CORIBE, medindo 2,45m x 1,90m e totalizando 4,66m2.
A fixação será na parede e a abertura será central.
</v>
      </c>
      <c r="D34" s="39" t="str">
        <f>Item25!C3</f>
        <v>UNIDADE</v>
      </c>
      <c r="E34" s="39">
        <f>Item25!D3</f>
        <v>1</v>
      </c>
      <c r="F34" s="41">
        <f>Item25!E3</f>
        <v>1694.34</v>
      </c>
      <c r="G34" s="41">
        <f t="shared" si="0"/>
        <v>1694.34</v>
      </c>
      <c r="H34" s="59">
        <f>SUM(G34:G40)</f>
        <v>17272.689999999999</v>
      </c>
    </row>
    <row r="35" spans="1:8" ht="76.5">
      <c r="A35" s="56"/>
      <c r="B35" s="39">
        <v>26</v>
      </c>
      <c r="C35" s="40" t="str">
        <f>Item26!B3</f>
        <v xml:space="preserve">Confecção de persianas para Zona de GUANAMBI, medindo 3,20m x 1,18m cada, totalizando 7,56m2. 
A fixação será na parede e a abertura será central.
</v>
      </c>
      <c r="D35" s="39" t="str">
        <f>Item26!C3</f>
        <v>UNIDADE</v>
      </c>
      <c r="E35" s="39">
        <f>Item26!D3</f>
        <v>2</v>
      </c>
      <c r="F35" s="41">
        <f>Item26!E3</f>
        <v>999.47</v>
      </c>
      <c r="G35" s="41">
        <f t="shared" si="0"/>
        <v>1998.94</v>
      </c>
      <c r="H35" s="60"/>
    </row>
    <row r="36" spans="1:8" ht="242.25">
      <c r="A36" s="56"/>
      <c r="B36" s="39">
        <v>27</v>
      </c>
      <c r="C36" s="40" t="str">
        <f>Item27!B3</f>
        <v xml:space="preserve">Confecção de persianas em BARREIRAS, no Cartório da 70ª Zona Eleitoral, com as medidas abaixo, totalizando 17,91m²:
• Janela 1: (2,36 x 1,57)m;
• Janela 2: (2,26 x 1,70)m;
• Janela 3: (2,10 x 1,70)m;
• Janela 4: (1,96 x 1,70)m;
• Janela 5: (2,16 x 1,60)m.
A fixação será na parede e a abertura será central.
Confecção de persianas BARREIRAS, no Cartório da 75ª Zona Eleitoral, com as medidas abaixo, totalizando 17,91m²:
• Janela 6: (2,36 x 1,57)m;
• Janela 7: (2,26 x 1,70)m;
• Janela 8: (2,10 x 1,70)m;
• Janela 9: (1,96 x 1,70)m;
• Janela 10: (2,16 x 1,60)m,
A fixação será na parede e a abertura será central.
</v>
      </c>
      <c r="D36" s="39" t="str">
        <f>Item27!C3</f>
        <v>UNIDADE</v>
      </c>
      <c r="E36" s="39">
        <f>Item27!D3</f>
        <v>10</v>
      </c>
      <c r="F36" s="41">
        <f>Item27!E3</f>
        <v>648.16999999999996</v>
      </c>
      <c r="G36" s="41">
        <f t="shared" si="0"/>
        <v>6481.7</v>
      </c>
      <c r="H36" s="60"/>
    </row>
    <row r="37" spans="1:8" ht="76.5">
      <c r="A37" s="56"/>
      <c r="B37" s="39">
        <v>28</v>
      </c>
      <c r="C37" s="40" t="str">
        <f>Item28!B3</f>
        <v xml:space="preserve">Confecção de persiana para Zona de JACARACI, medindo 1,70m x 1,30m, totalizando 2,21m2. 
A fixação será na parede e a abertura será central.
</v>
      </c>
      <c r="D37" s="39" t="str">
        <f>Item28!C3</f>
        <v>UNIDADE</v>
      </c>
      <c r="E37" s="39">
        <f>Item28!D3</f>
        <v>1</v>
      </c>
      <c r="F37" s="41">
        <f>Item28!E3</f>
        <v>863.04</v>
      </c>
      <c r="G37" s="41">
        <f t="shared" si="0"/>
        <v>863.04</v>
      </c>
      <c r="H37" s="60"/>
    </row>
    <row r="38" spans="1:8" ht="102">
      <c r="A38" s="56"/>
      <c r="B38" s="39">
        <v>29</v>
      </c>
      <c r="C38" s="40" t="str">
        <f>Item29!B3</f>
        <v xml:space="preserve">Confecção de persianas para Zona de RIACHO DE SANTANA, com as medidas abaixo, totalizando 11,54m²:
• Janelas 1 e 2 - Salas de arquivo 1 e 2: (1,87 x 1,47)m – abertura para direita;
• Janela 3 - Sala de estar: (1,40 x 1,40)m – abertura central;
• Janela 4 - Sala de audiências: (2,40 x 1,70)m – abertura central.
Todas deverão ser fixadas na parede.
</v>
      </c>
      <c r="D38" s="39" t="str">
        <f>Item29!C3</f>
        <v>UNIDADE</v>
      </c>
      <c r="E38" s="39">
        <f>Item29!D3</f>
        <v>4</v>
      </c>
      <c r="F38" s="41">
        <f>Item29!E3</f>
        <v>662.24</v>
      </c>
      <c r="G38" s="41">
        <f t="shared" si="0"/>
        <v>2648.96</v>
      </c>
      <c r="H38" s="60"/>
    </row>
    <row r="39" spans="1:8" ht="89.25">
      <c r="A39" s="56"/>
      <c r="B39" s="39">
        <v>30</v>
      </c>
      <c r="C39" s="40" t="str">
        <f>Item30!B3</f>
        <v xml:space="preserve">Confecção de persianas para Zona de CORRENTINA, com as medidas abaixo, totalizando 7,03m²:
• Janela 1: (2,50 x 1,90)m – abertura central;
• Janela 2: (1,90 x 1,20)m – abertura para esquerda.
Todas deverão ser fixadas na parede.
</v>
      </c>
      <c r="D39" s="39" t="str">
        <f>Item30!C3</f>
        <v>UNIDADE</v>
      </c>
      <c r="E39" s="39">
        <f>Item30!D3</f>
        <v>2</v>
      </c>
      <c r="F39" s="41">
        <f>Item30!E3</f>
        <v>968.11</v>
      </c>
      <c r="G39" s="41">
        <f t="shared" si="0"/>
        <v>1936.22</v>
      </c>
      <c r="H39" s="60"/>
    </row>
    <row r="40" spans="1:8" ht="102">
      <c r="A40" s="57"/>
      <c r="B40" s="39">
        <v>31</v>
      </c>
      <c r="C40" s="40" t="str">
        <f>Item31!B3</f>
        <v xml:space="preserve">Confecção de persianas para Zona de TREMEDAL, com as medidas abaixo, totalizando 6,02m²:
• Janela 1 - Sala do chefe de cartório: (1,60 x 1,40)m – abertura central;
• Janela 2 - Sala técnica judiciária: (1,40 x 1,40)m – abertura central;
• Janela 3 - Recepção: (1,30 x 1,40)m – abertura lateral esquerda. 
Todas deverão ser fixadas na parede.
</v>
      </c>
      <c r="D40" s="39" t="str">
        <f>Item31!C3</f>
        <v>UNIDADE</v>
      </c>
      <c r="E40" s="39">
        <f>Item31!D3</f>
        <v>3</v>
      </c>
      <c r="F40" s="41">
        <f>Item31!E3</f>
        <v>549.83000000000004</v>
      </c>
      <c r="G40" s="41">
        <f t="shared" si="0"/>
        <v>1649.4900000000002</v>
      </c>
      <c r="H40" s="61"/>
    </row>
    <row r="41" spans="1:8" ht="306">
      <c r="A41" s="58" t="s">
        <v>127</v>
      </c>
      <c r="B41" s="39">
        <v>32</v>
      </c>
      <c r="C41" s="40" t="str">
        <f>Item32!B3</f>
        <v xml:space="preserve">Confecção de persianas em JEQUIÉ, para o Cartório da 22ª Zona Eleitoral, com as medidas abaixo, totalizando 7,17m²:
• Janela 1: (1,80 x 0,78)m – abertura central;
• Janela 2.1: (2,30 x 0,78)m – abertura para a esquerda;
• Janela 2.2: (2,30 x 0,78)m – abertura para a direita;
• Janela 3 - sala do juiz: (2,79 x 0,78)m – abertura central.
Todas deverão ser fixadas na parede.
Confecção de persianas em JEQUIÉ, para o Cartório da 23ª Zona Eleitoral, com as medidas abaixo, totalizando 9,94m²:
• Janela 4.1: (2,50 x 0,78)m – abertura para a esquerda;
• Janela 4.2: (2,50 x 0,78)m – abertura para a direita;
• Janela 5: (1,80 x 0,78)m – abertura central;
• Janela 6: (3,20 x 0,78)m – abertura central;
• Janela 7 - sala do juiz: (2,75 x 0,78)m – abertura central.
Todas deverão ser fixadas na parede.
Confecção de persianas para a Sala de Treinamento, com as medidas abaixo, totalizando 5,58m²:
• Janela 8.1: (2,38 x 0,78)m – abertura para a esquerda;
• Janela 8.2: (2,38 x 0,78)m – abertura central;
• Janela 8.3: (2,38 x 0,78)m – abertura para a direita.
Todas deverão ser fixadas na parede.
</v>
      </c>
      <c r="D41" s="39" t="str">
        <f>Item32!C3</f>
        <v>UNIDADE</v>
      </c>
      <c r="E41" s="39">
        <f>Item32!D3</f>
        <v>12</v>
      </c>
      <c r="F41" s="41">
        <f>Item32!E3</f>
        <v>388.34</v>
      </c>
      <c r="G41" s="41">
        <f t="shared" si="0"/>
        <v>4660.08</v>
      </c>
      <c r="H41" s="59">
        <f>SUM(G41:G51)</f>
        <v>27070.43</v>
      </c>
    </row>
    <row r="42" spans="1:8" ht="89.25">
      <c r="A42" s="56"/>
      <c r="B42" s="39">
        <v>33</v>
      </c>
      <c r="C42" s="40" t="str">
        <f>Item33!B3</f>
        <v xml:space="preserve">Confecção de persianas para Zona de AMARGOSA, para a porta de entrada do cartório, medindo 2,10m x 3,20m cada, totalizando 13,44m2. 
A fixação será na parede e a abertura será lateral, uma para esquerda e outra para direita.
</v>
      </c>
      <c r="D42" s="39" t="str">
        <f>Item33!C3</f>
        <v>UNIDADE</v>
      </c>
      <c r="E42" s="39">
        <f>Item33!D3</f>
        <v>2</v>
      </c>
      <c r="F42" s="41">
        <f>Item33!E3</f>
        <v>1332.78</v>
      </c>
      <c r="G42" s="41">
        <f t="shared" si="0"/>
        <v>2665.56</v>
      </c>
      <c r="H42" s="60"/>
    </row>
    <row r="43" spans="1:8" ht="127.5">
      <c r="A43" s="56"/>
      <c r="B43" s="39">
        <v>34</v>
      </c>
      <c r="C43" s="40" t="str">
        <f>Item34!B3</f>
        <v xml:space="preserve">Confecção de persianas para Zona de COARACI, com as medidas abaixo, totalizando 12,44m²:
• Janela 1: (0,90 x 1,85)m;
• Janela 2: (1,90 x 1,80)m;
• Janela 3: (1,10 x 1,85)m;
• Janela 4: (1,10 x 1,85)m;
• Janela 5: (1,87 x 1,75)m.
A fixação será na parede e a abertura será central.
</v>
      </c>
      <c r="D43" s="39" t="str">
        <f>Item34!C3</f>
        <v>UNIDADE</v>
      </c>
      <c r="E43" s="39">
        <f>Item34!D3</f>
        <v>5</v>
      </c>
      <c r="F43" s="41">
        <f>Item34!E3</f>
        <v>548.51</v>
      </c>
      <c r="G43" s="41">
        <f t="shared" si="0"/>
        <v>2742.55</v>
      </c>
      <c r="H43" s="60"/>
    </row>
    <row r="44" spans="1:8" ht="76.5">
      <c r="A44" s="56"/>
      <c r="B44" s="39">
        <v>35</v>
      </c>
      <c r="C44" s="40" t="str">
        <f>Item35!B3</f>
        <v xml:space="preserve">Confecção de persianas para Zona de ITAJUÍPE, com as medidas abaixo, totalizando 9,81m²:
• Janela 1: (2,50 x 2,10)m – abertura central e fixação na viga metálica;
• Janela 2.1: (1,69 x 1,35)m – abertura para a esquerda e fixação na parede;
• Janela 2.2: (1,69 x 1,35)m – abertura para a direita e fixação na parede.
</v>
      </c>
      <c r="D44" s="39" t="str">
        <f>Item35!C3</f>
        <v>UNIDADE</v>
      </c>
      <c r="E44" s="39">
        <f>Item35!D3</f>
        <v>3</v>
      </c>
      <c r="F44" s="41">
        <f>Item35!E3</f>
        <v>732.48</v>
      </c>
      <c r="G44" s="41">
        <f t="shared" si="0"/>
        <v>2197.44</v>
      </c>
      <c r="H44" s="60"/>
    </row>
    <row r="45" spans="1:8" ht="63.75">
      <c r="A45" s="56"/>
      <c r="B45" s="39">
        <v>36</v>
      </c>
      <c r="C45" s="40" t="str">
        <f>Item36!B3</f>
        <v xml:space="preserve">Confecção de persiana para Zona de ITAGIBÁ, medindo 2,70m x 1,80m e totalizando 4,86m2. 
A fixação será na parede e a abertura será central.
</v>
      </c>
      <c r="D45" s="39" t="str">
        <f>Item36!C3</f>
        <v>UNIDADE</v>
      </c>
      <c r="E45" s="39">
        <f>Item36!D3</f>
        <v>1</v>
      </c>
      <c r="F45" s="41">
        <f>Item36!E3</f>
        <v>1226.6400000000001</v>
      </c>
      <c r="G45" s="41">
        <f t="shared" si="0"/>
        <v>1226.6400000000001</v>
      </c>
      <c r="H45" s="60"/>
    </row>
    <row r="46" spans="1:8" ht="102">
      <c r="A46" s="56"/>
      <c r="B46" s="39">
        <v>37</v>
      </c>
      <c r="C46" s="40" t="str">
        <f>Item37!B3</f>
        <v xml:space="preserve">Confecção de persianas para Zona de ENCRUZILHADA, com as medidas abaixo, totalizando 6,37m²:
• Janela 1 - Copa: (1,50 x 1,30)m – abertura para esquerda;
• Janela 2 - Sala de atendimento: (1,70 x 1,30)m – abertura central;
• Janela 3 - Sala do rack: (1,70 x 1,30)m – abertura central.
Todas deverão ser fixadas na parede.
</v>
      </c>
      <c r="D46" s="39" t="str">
        <f>Item37!C3</f>
        <v>UNIDADE</v>
      </c>
      <c r="E46" s="39">
        <f>Item37!D3</f>
        <v>3</v>
      </c>
      <c r="F46" s="41">
        <f>Item37!E3</f>
        <v>587.29</v>
      </c>
      <c r="G46" s="41">
        <f t="shared" si="0"/>
        <v>1761.87</v>
      </c>
      <c r="H46" s="60"/>
    </row>
    <row r="47" spans="1:8" ht="127.5">
      <c r="A47" s="56"/>
      <c r="B47" s="39">
        <v>38</v>
      </c>
      <c r="C47" s="40" t="str">
        <f>Item38!B3</f>
        <v xml:space="preserve">Confecção de persianas em ITABUNA, no Cartório da 27ª Zona Eleitoral, totalizando 5,90 m²:
• Janela 1: (1,20 x 2,46)m;
• Janela 2: (1,20 x 2,46)m;
A fixação será na parede e a abertura será lateral para esquerda.
Confecção de persianas em ITABUNA, no Cartório da 28ª Zona Eleitoral, totalizando 5,90 m²:
• Janela 3: (1,20 x 2,46)m – abertura lateral para a esquerda e fixação na parede;
• Janela 4: (1,20 x 2,46)m – abertura lateral para a direita e fixação na parede.
</v>
      </c>
      <c r="D47" s="39" t="str">
        <f>Item38!C3</f>
        <v>UNIDADE</v>
      </c>
      <c r="E47" s="39">
        <f>Item38!D3</f>
        <v>4</v>
      </c>
      <c r="F47" s="41">
        <f>Item38!E3</f>
        <v>461.65</v>
      </c>
      <c r="G47" s="41">
        <f t="shared" si="0"/>
        <v>1846.6</v>
      </c>
      <c r="H47" s="60"/>
    </row>
    <row r="48" spans="1:8" ht="63.75">
      <c r="A48" s="56"/>
      <c r="B48" s="39">
        <v>39</v>
      </c>
      <c r="C48" s="40" t="str">
        <f>Item39!B3</f>
        <v xml:space="preserve">Confecção de persianas para Zona de BELMONTE, medindo 1,60m x 1,24m cada, totalizando 3,96m2. 
A fixação será na parede e a abertura será lateral para a direita.
</v>
      </c>
      <c r="D48" s="39" t="str">
        <f>Item39!C3</f>
        <v>UNIDADE</v>
      </c>
      <c r="E48" s="39">
        <f>Item39!D3</f>
        <v>2</v>
      </c>
      <c r="F48" s="41">
        <f>Item39!E3</f>
        <v>621.02</v>
      </c>
      <c r="G48" s="41">
        <f t="shared" si="0"/>
        <v>1242.04</v>
      </c>
      <c r="H48" s="60"/>
    </row>
    <row r="49" spans="1:8" ht="177.75" customHeight="1">
      <c r="A49" s="56"/>
      <c r="B49" s="39">
        <v>40</v>
      </c>
      <c r="C49" s="40" t="str">
        <f>Item40!B3</f>
        <v xml:space="preserve">Confecção de persianas para Zona de PORTO SEGURO, apenas para o Cartório da 121ª Zona Eleitoral, com as medidas abaixo, totalizando 23,68m²:
• Janela 1 - sala do Cartório 1: (2,17 x 1,75)m;
• Janela 2 - sala do Cartório 1: (2,17 x 1,75)m.
A fixação será na parede e a abertura será lateral, uma para esquerda e outra para direita.
• Janela 3 - sala do Cartório 2: (3,14 x 1,75)m;
• Janela 4 - sala do Cartório 2: (3,14 x 1,75)m.
A fixação será na parede e a abertura será lateral, uma para esquerda e outra para direita.
• Janela 5 - sala da juíza: (2,90x1,75)m. 
A fixação será na parede e a abertura será central.
</v>
      </c>
      <c r="D49" s="39" t="str">
        <f>Item40!C3</f>
        <v>UNIDADE</v>
      </c>
      <c r="E49" s="39">
        <f>Item40!D3</f>
        <v>5</v>
      </c>
      <c r="F49" s="41">
        <f>Item40!E3</f>
        <v>986.76</v>
      </c>
      <c r="G49" s="41">
        <f t="shared" si="0"/>
        <v>4933.8</v>
      </c>
      <c r="H49" s="60"/>
    </row>
    <row r="50" spans="1:8" ht="102">
      <c r="A50" s="56"/>
      <c r="B50" s="39">
        <v>41</v>
      </c>
      <c r="C50" s="40" t="str">
        <f>Item41!B3</f>
        <v xml:space="preserve">Confecção de persianas para Zona de ITAMBÉ, com as medidas abaixo, totalizando 7,72m²:
• Janela 1: (1,20 x 1,60)m – abertura para a direita;
• Janela 2: (1,90 x 1,45)m – abertura central;
• Janela 3: (1,90 x 1,60)m – abertura central.
Todas deverão ser fixadas na parede.
</v>
      </c>
      <c r="D50" s="39" t="str">
        <f>Item41!C3</f>
        <v>UNIDADE</v>
      </c>
      <c r="E50" s="39">
        <f>Item41!D3</f>
        <v>3</v>
      </c>
      <c r="F50" s="41">
        <f>Item41!E3</f>
        <v>606.59</v>
      </c>
      <c r="G50" s="41">
        <f t="shared" si="0"/>
        <v>1819.77</v>
      </c>
      <c r="H50" s="60"/>
    </row>
    <row r="51" spans="1:8" ht="89.25">
      <c r="A51" s="57"/>
      <c r="B51" s="39">
        <v>42</v>
      </c>
      <c r="C51" s="40" t="str">
        <f>Item42!B3</f>
        <v xml:space="preserve">Confecção de persianas para Zona de CAMAMU, com as medidas abaixo, totalizando 7,96m²:
• Janela 1.1: (2,04 x 1,95)m – abertura para a esquerda;
• Janela 1.2: (2,04 x 1,95)m – abertura para a direita.
Todas deverão ser fixadas na parede.
</v>
      </c>
      <c r="D51" s="39" t="str">
        <f>Item42!C3</f>
        <v>UNIDADE</v>
      </c>
      <c r="E51" s="39">
        <f>Item42!D3</f>
        <v>2</v>
      </c>
      <c r="F51" s="41">
        <f>Item42!E3</f>
        <v>987.04</v>
      </c>
      <c r="G51" s="41">
        <f t="shared" si="0"/>
        <v>1974.08</v>
      </c>
      <c r="H51" s="61"/>
    </row>
    <row r="52" spans="1:8" ht="15.75" customHeight="1">
      <c r="A52" s="38"/>
      <c r="B52" s="38"/>
      <c r="C52" s="38"/>
      <c r="D52" s="54" t="s">
        <v>76</v>
      </c>
      <c r="E52" s="54"/>
      <c r="F52" s="54"/>
      <c r="G52" s="42">
        <f>SUM(G10:G51)</f>
        <v>93551.23000000001</v>
      </c>
      <c r="H52" s="42">
        <f>SUM(H10:H51)</f>
        <v>93551.23000000001</v>
      </c>
    </row>
  </sheetData>
  <mergeCells count="14">
    <mergeCell ref="A5:H5"/>
    <mergeCell ref="A6:H6"/>
    <mergeCell ref="A8:H8"/>
    <mergeCell ref="D52:F52"/>
    <mergeCell ref="A10:A18"/>
    <mergeCell ref="A19:A27"/>
    <mergeCell ref="A28:A33"/>
    <mergeCell ref="A34:A40"/>
    <mergeCell ref="A41:A51"/>
    <mergeCell ref="H10:H18"/>
    <mergeCell ref="H19:H27"/>
    <mergeCell ref="H28:H33"/>
    <mergeCell ref="H34:H40"/>
    <mergeCell ref="H41:H51"/>
  </mergeCells>
  <pageMargins left="0.51180555555555496" right="0.51180555555555496" top="0.78749999999999998" bottom="0.95416666666666705" header="0.51180555555555496" footer="0.78749999999999998"/>
  <pageSetup paperSize="9" scale="89" firstPageNumber="0" fitToHeight="0" orientation="landscape" horizontalDpi="300" verticalDpi="300" r:id="rId1"/>
  <headerFooter>
    <oddFooter>&amp;L&amp;"Calibri,Regular"&amp;12Estimativa em &amp;D</oddFooter>
  </headerFooter>
  <rowBreaks count="1" manualBreakCount="1">
    <brk id="18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81</v>
      </c>
      <c r="C3" s="46" t="s">
        <v>3</v>
      </c>
      <c r="D3" s="47">
        <v>19</v>
      </c>
      <c r="E3" s="48">
        <f>IF(C20&lt;=25%,D20,MIN(E20:F20))</f>
        <v>525.6</v>
      </c>
      <c r="F3" s="48">
        <f>MIN(H3:H17)</f>
        <v>409</v>
      </c>
      <c r="G3" s="6" t="s">
        <v>119</v>
      </c>
      <c r="H3" s="7">
        <f>12201.8/19</f>
        <v>642.19999999999993</v>
      </c>
      <c r="I3" s="8">
        <f t="shared" ref="I3:I17" si="0">IF(H3="","",(IF($C$20&lt;25%,"N/A",IF(H3&lt;=($D$20+$A$20),H3,"Descartado"))))</f>
        <v>642.19999999999993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409</v>
      </c>
      <c r="I4" s="8">
        <f>IF(H4="","",(IF($C$20&lt;25%,"N/A",IF(H4&lt;=($D$20+$A$20),H4,"Descartado"))))</f>
        <v>409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>IF(H5="","",(IF($C$20&lt;25%,"N/A",IF(H5&lt;=($D$20+$A$20),H5,"Descartado"))))</f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164.89730137270286</v>
      </c>
      <c r="B20" s="19">
        <f>COUNT(H3:H17)</f>
        <v>2</v>
      </c>
      <c r="C20" s="20">
        <f>IF(B20&lt;2,"N/A",(A20/D20))</f>
        <v>0.31373154751275273</v>
      </c>
      <c r="D20" s="21">
        <f>ROUND(AVERAGE(H3:H17),2)</f>
        <v>525.6</v>
      </c>
      <c r="E20" s="22">
        <f>IFERROR(ROUND(IF(B20&lt;2,"N/A",(IF(C20&lt;=25%,"N/A",AVERAGE(I3:I17)))),2),"N/A")</f>
        <v>525.6</v>
      </c>
      <c r="F20" s="22">
        <f>ROUND(MEDIAN(H3:H17),2)</f>
        <v>525.6</v>
      </c>
      <c r="G20" s="23" t="str">
        <f>INDEX(G3:G17,MATCH(H20,H3:H17,0))</f>
        <v>ANDREA CARLA</v>
      </c>
      <c r="H20" s="24">
        <f>MIN(H3:H17)</f>
        <v>409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525.6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9986.4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82</v>
      </c>
      <c r="C3" s="46" t="s">
        <v>3</v>
      </c>
      <c r="D3" s="47">
        <v>5</v>
      </c>
      <c r="E3" s="48">
        <f>IF(C20&lt;=25%,D20,MIN(E20:F20))</f>
        <v>622.62</v>
      </c>
      <c r="F3" s="48">
        <f>MIN(H3:H17)</f>
        <v>508.8</v>
      </c>
      <c r="G3" s="6" t="s">
        <v>119</v>
      </c>
      <c r="H3" s="7">
        <f>3682.2/5</f>
        <v>736.43999999999994</v>
      </c>
      <c r="I3" s="8">
        <f t="shared" ref="I3:I17" si="0">IF(H3="","",(IF($C$20&lt;25%,"N/A",IF(H3&lt;=($D$20+$A$20),H3,"Descartado"))))</f>
        <v>736.43999999999994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508.8</v>
      </c>
      <c r="I4" s="8">
        <f>IF(H4="","",(IF($C$20&lt;25%,"N/A",IF(H4&lt;=($D$20+$A$20),H4,"Descartado"))))</f>
        <v>508.8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>IF(H5="","",(IF($C$20&lt;25%,"N/A",IF(H5&lt;=($D$20+$A$20),H5,"Descartado"))))</f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160.9657876693056</v>
      </c>
      <c r="B20" s="19">
        <f>COUNT(H3:H17)</f>
        <v>2</v>
      </c>
      <c r="C20" s="20">
        <f>IF(B20&lt;2,"N/A",(A20/D20))</f>
        <v>0.25852974152662234</v>
      </c>
      <c r="D20" s="21">
        <f>ROUND(AVERAGE(H3:H17),2)</f>
        <v>622.62</v>
      </c>
      <c r="E20" s="22">
        <f>IFERROR(ROUND(IF(B20&lt;2,"N/A",(IF(C20&lt;=25%,"N/A",AVERAGE(I3:I17)))),2),"N/A")</f>
        <v>622.62</v>
      </c>
      <c r="F20" s="22">
        <f>ROUND(MEDIAN(H3:H17),2)</f>
        <v>622.62</v>
      </c>
      <c r="G20" s="23" t="str">
        <f>INDEX(G3:G17,MATCH(H20,H3:H17,0))</f>
        <v>ANDREA CARLA</v>
      </c>
      <c r="H20" s="24">
        <f>MIN(H3:H17)</f>
        <v>508.8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622.62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3113.1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83</v>
      </c>
      <c r="C3" s="46" t="s">
        <v>3</v>
      </c>
      <c r="D3" s="47">
        <v>2</v>
      </c>
      <c r="E3" s="48">
        <f>IF(C20&lt;=25%,D20,MIN(E20:F20))</f>
        <v>379.3</v>
      </c>
      <c r="F3" s="48">
        <f>MIN(H3:H17)</f>
        <v>348.2</v>
      </c>
      <c r="G3" s="6" t="s">
        <v>119</v>
      </c>
      <c r="H3" s="7">
        <f>820.8/2</f>
        <v>410.4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348.2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43.982041789803247</v>
      </c>
      <c r="B20" s="19">
        <f>COUNT(H3:H17)</f>
        <v>2</v>
      </c>
      <c r="C20" s="20">
        <f>IF(B20&lt;2,"N/A",(A20/D20))</f>
        <v>0.11595581805906471</v>
      </c>
      <c r="D20" s="21">
        <f>ROUND(AVERAGE(H3:H17),2)</f>
        <v>379.3</v>
      </c>
      <c r="E20" s="22" t="str">
        <f>IFERROR(ROUND(IF(B20&lt;2,"N/A",(IF(C20&lt;=25%,"N/A",AVERAGE(I3:I17)))),2),"N/A")</f>
        <v>N/A</v>
      </c>
      <c r="F20" s="22">
        <f>ROUND(MEDIAN(H3:H17),2)</f>
        <v>379.3</v>
      </c>
      <c r="G20" s="23" t="str">
        <f>INDEX(G3:G17,MATCH(H20,H3:H17,0))</f>
        <v>ANDREA CARLA</v>
      </c>
      <c r="H20" s="24">
        <f>MIN(H3:H17)</f>
        <v>348.2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379.3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758.6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32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84</v>
      </c>
      <c r="C3" s="46" t="s">
        <v>3</v>
      </c>
      <c r="D3" s="47">
        <v>2</v>
      </c>
      <c r="E3" s="48">
        <f>IF(C20&lt;=25%,D20,MIN(E20:F20))</f>
        <v>987.25</v>
      </c>
      <c r="F3" s="48">
        <f>MIN(H3:H17)</f>
        <v>872.5</v>
      </c>
      <c r="G3" s="6" t="s">
        <v>119</v>
      </c>
      <c r="H3" s="7">
        <f>2204/2</f>
        <v>1102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872.5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162.28100628231266</v>
      </c>
      <c r="B20" s="19">
        <f>COUNT(H3:H17)</f>
        <v>2</v>
      </c>
      <c r="C20" s="20">
        <f>IF(B20&lt;2,"N/A",(A20/D20))</f>
        <v>0.16437681061768819</v>
      </c>
      <c r="D20" s="21">
        <f>ROUND(AVERAGE(H3:H17),2)</f>
        <v>987.25</v>
      </c>
      <c r="E20" s="22" t="str">
        <f>IFERROR(ROUND(IF(B20&lt;2,"N/A",(IF(C20&lt;=25%,"N/A",AVERAGE(I3:I17)))),2),"N/A")</f>
        <v>N/A</v>
      </c>
      <c r="F20" s="22">
        <f>ROUND(MEDIAN(H3:H17),2)</f>
        <v>987.25</v>
      </c>
      <c r="G20" s="23" t="str">
        <f>INDEX(G3:G17,MATCH(H20,H3:H17,0))</f>
        <v>ANDREA CARLA</v>
      </c>
      <c r="H20" s="24">
        <f>MIN(H3:H17)</f>
        <v>872.5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987.25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1974.5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zoomScaleNormal="100" workbookViewId="0">
      <selection activeCell="H5" sqref="H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9" ht="25.5">
      <c r="A2" s="44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4"/>
      <c r="B3" s="45" t="s">
        <v>85</v>
      </c>
      <c r="C3" s="46" t="s">
        <v>3</v>
      </c>
      <c r="D3" s="47">
        <v>2</v>
      </c>
      <c r="E3" s="48">
        <f>IF(C20&lt;=25%,D20,MIN(E20:F20))</f>
        <v>967.25</v>
      </c>
      <c r="F3" s="48">
        <f>MIN(H3:H17)</f>
        <v>816</v>
      </c>
      <c r="G3" s="6" t="s">
        <v>119</v>
      </c>
      <c r="H3" s="7">
        <f>2237/2</f>
        <v>1118.5</v>
      </c>
      <c r="I3" s="8" t="str">
        <f t="shared" ref="I3:I17" si="0">IF(H3="","",(IF($C$20&lt;25%,"N/A",IF(H3&lt;=($D$20+$A$20),H3,"Descartado"))))</f>
        <v>N/A</v>
      </c>
    </row>
    <row r="4" spans="1:9">
      <c r="A4" s="44"/>
      <c r="B4" s="45"/>
      <c r="C4" s="46"/>
      <c r="D4" s="47"/>
      <c r="E4" s="48"/>
      <c r="F4" s="48"/>
      <c r="G4" s="6" t="s">
        <v>120</v>
      </c>
      <c r="H4" s="7">
        <v>816</v>
      </c>
      <c r="I4" s="8" t="str">
        <f t="shared" si="0"/>
        <v>N/A</v>
      </c>
    </row>
    <row r="5" spans="1:9">
      <c r="A5" s="44"/>
      <c r="B5" s="45"/>
      <c r="C5" s="46"/>
      <c r="D5" s="47"/>
      <c r="E5" s="48"/>
      <c r="F5" s="48"/>
      <c r="G5" s="6"/>
      <c r="H5" s="7"/>
      <c r="I5" s="8" t="str">
        <f t="shared" si="0"/>
        <v/>
      </c>
    </row>
    <row r="6" spans="1:9">
      <c r="A6" s="44"/>
      <c r="B6" s="45"/>
      <c r="C6" s="46"/>
      <c r="D6" s="47"/>
      <c r="E6" s="48"/>
      <c r="F6" s="48"/>
      <c r="G6" s="6"/>
      <c r="H6" s="7"/>
      <c r="I6" s="8" t="str">
        <f t="shared" si="0"/>
        <v/>
      </c>
    </row>
    <row r="7" spans="1:9">
      <c r="A7" s="44"/>
      <c r="B7" s="45"/>
      <c r="C7" s="46"/>
      <c r="D7" s="47"/>
      <c r="E7" s="48"/>
      <c r="F7" s="48"/>
      <c r="G7" s="6"/>
      <c r="H7" s="7"/>
      <c r="I7" s="8" t="str">
        <f t="shared" si="0"/>
        <v/>
      </c>
    </row>
    <row r="8" spans="1:9">
      <c r="A8" s="44"/>
      <c r="B8" s="45"/>
      <c r="C8" s="46"/>
      <c r="D8" s="47"/>
      <c r="E8" s="48"/>
      <c r="F8" s="48"/>
      <c r="G8" s="6"/>
      <c r="H8" s="7"/>
      <c r="I8" s="8" t="str">
        <f t="shared" si="0"/>
        <v/>
      </c>
    </row>
    <row r="9" spans="1:9">
      <c r="A9" s="44"/>
      <c r="B9" s="45"/>
      <c r="C9" s="46"/>
      <c r="D9" s="47"/>
      <c r="E9" s="48"/>
      <c r="F9" s="48"/>
      <c r="G9" s="6"/>
      <c r="H9" s="7"/>
      <c r="I9" s="8" t="str">
        <f t="shared" si="0"/>
        <v/>
      </c>
    </row>
    <row r="10" spans="1:9">
      <c r="A10" s="44"/>
      <c r="B10" s="45"/>
      <c r="C10" s="46"/>
      <c r="D10" s="47"/>
      <c r="E10" s="48"/>
      <c r="F10" s="48"/>
      <c r="G10" s="6"/>
      <c r="H10" s="7"/>
      <c r="I10" s="8" t="str">
        <f t="shared" si="0"/>
        <v/>
      </c>
    </row>
    <row r="11" spans="1:9">
      <c r="A11" s="44"/>
      <c r="B11" s="45"/>
      <c r="C11" s="46"/>
      <c r="D11" s="47"/>
      <c r="E11" s="48"/>
      <c r="F11" s="48"/>
      <c r="G11" s="6"/>
      <c r="H11" s="7"/>
      <c r="I11" s="8" t="str">
        <f t="shared" si="0"/>
        <v/>
      </c>
    </row>
    <row r="12" spans="1:9">
      <c r="A12" s="44"/>
      <c r="B12" s="45"/>
      <c r="C12" s="46"/>
      <c r="D12" s="47"/>
      <c r="E12" s="48"/>
      <c r="F12" s="48"/>
      <c r="G12" s="6"/>
      <c r="H12" s="7"/>
      <c r="I12" s="8" t="str">
        <f t="shared" si="0"/>
        <v/>
      </c>
    </row>
    <row r="13" spans="1:9">
      <c r="A13" s="44"/>
      <c r="B13" s="45"/>
      <c r="C13" s="46"/>
      <c r="D13" s="47"/>
      <c r="E13" s="48"/>
      <c r="F13" s="48"/>
      <c r="G13" s="6"/>
      <c r="H13" s="7"/>
      <c r="I13" s="8" t="str">
        <f t="shared" si="0"/>
        <v/>
      </c>
    </row>
    <row r="14" spans="1:9">
      <c r="A14" s="44"/>
      <c r="B14" s="45"/>
      <c r="C14" s="46"/>
      <c r="D14" s="47"/>
      <c r="E14" s="48"/>
      <c r="F14" s="48"/>
      <c r="G14" s="6"/>
      <c r="H14" s="7"/>
      <c r="I14" s="8" t="str">
        <f t="shared" si="0"/>
        <v/>
      </c>
    </row>
    <row r="15" spans="1:9">
      <c r="A15" s="44"/>
      <c r="B15" s="45"/>
      <c r="C15" s="46"/>
      <c r="D15" s="47"/>
      <c r="E15" s="48"/>
      <c r="F15" s="48"/>
      <c r="G15" s="6"/>
      <c r="H15" s="7"/>
      <c r="I15" s="8" t="str">
        <f t="shared" si="0"/>
        <v/>
      </c>
    </row>
    <row r="16" spans="1:9">
      <c r="A16" s="44"/>
      <c r="B16" s="45"/>
      <c r="C16" s="46"/>
      <c r="D16" s="47"/>
      <c r="E16" s="48"/>
      <c r="F16" s="48"/>
      <c r="G16" s="6"/>
      <c r="H16" s="7"/>
      <c r="I16" s="8" t="str">
        <f t="shared" si="0"/>
        <v/>
      </c>
    </row>
    <row r="17" spans="1:11">
      <c r="A17" s="44"/>
      <c r="B17" s="45"/>
      <c r="C17" s="46"/>
      <c r="D17" s="47"/>
      <c r="E17" s="48"/>
      <c r="F17" s="48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213.89980130893062</v>
      </c>
      <c r="B20" s="19">
        <f>COUNT(H3:H17)</f>
        <v>2</v>
      </c>
      <c r="C20" s="20">
        <f>IF(B20&lt;2,"N/A",(A20/D20))</f>
        <v>0.22114220864195464</v>
      </c>
      <c r="D20" s="21">
        <f>ROUND(AVERAGE(H3:H17),2)</f>
        <v>967.25</v>
      </c>
      <c r="E20" s="22" t="str">
        <f>IFERROR(ROUND(IF(B20&lt;2,"N/A",(IF(C20&lt;=25%,"N/A",AVERAGE(I3:I17)))),2),"N/A")</f>
        <v>N/A</v>
      </c>
      <c r="F20" s="22">
        <f>ROUND(MEDIAN(H3:H17),2)</f>
        <v>967.25</v>
      </c>
      <c r="G20" s="23" t="str">
        <f>INDEX(G3:G17,MATCH(H20,H3:H17,0))</f>
        <v>ANDREA CARLA</v>
      </c>
      <c r="H20" s="24">
        <f>MIN(H3:H17)</f>
        <v>816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967.25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1934.5</v>
      </c>
    </row>
    <row r="24" spans="1:11">
      <c r="B24" s="29"/>
      <c r="C24" s="29"/>
      <c r="D24" s="18"/>
      <c r="E24" s="18"/>
    </row>
    <row r="26" spans="1:11" ht="12.75" customHeight="1">
      <c r="A26" s="51" t="s">
        <v>19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20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21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22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23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24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25</v>
      </c>
      <c r="B32" s="52"/>
      <c r="C32" s="52"/>
      <c r="D32" s="52"/>
      <c r="E32" s="52"/>
      <c r="F32" s="52"/>
      <c r="G32" s="52"/>
      <c r="H32" s="52"/>
      <c r="I32" s="52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43</vt:i4>
      </vt:variant>
      <vt:variant>
        <vt:lpstr>Intervalos nomeados</vt:lpstr>
      </vt:variant>
      <vt:variant>
        <vt:i4>2</vt:i4>
      </vt:variant>
    </vt:vector>
  </HeadingPairs>
  <TitlesOfParts>
    <vt:vector size="45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TOTAL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29</cp:revision>
  <cp:lastPrinted>2022-10-27T13:16:43Z</cp:lastPrinted>
  <dcterms:created xsi:type="dcterms:W3CDTF">2019-01-16T20:04:04Z</dcterms:created>
  <dcterms:modified xsi:type="dcterms:W3CDTF">2022-11-04T16:24:40Z</dcterms:modified>
  <dc:language>pt-BR</dc:language>
</cp:coreProperties>
</file>