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10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Item10" sheetId="41" r:id="rId10"/>
    <sheet name="TOTAL" sheetId="5" r:id="rId11"/>
    <sheet name="menores" sheetId="6" r:id="rId12"/>
  </sheets>
  <definedNames>
    <definedName name="_xlnm.Print_Area" localSheetId="11">menores!$A$1:$F$23</definedName>
    <definedName name="_xlnm.Print_Area" localSheetId="10">TOTAL!$A$1:$F$19</definedName>
  </definedNames>
  <calcPr calcId="145621"/>
</workbook>
</file>

<file path=xl/calcChain.xml><?xml version="1.0" encoding="utf-8"?>
<calcChain xmlns="http://schemas.openxmlformats.org/spreadsheetml/2006/main">
  <c r="H3" i="41" l="1"/>
  <c r="H3" i="40"/>
  <c r="H3" i="39"/>
  <c r="H3" i="38"/>
  <c r="H3" i="75"/>
  <c r="H3" i="74"/>
  <c r="H3" i="73"/>
  <c r="H3" i="72"/>
  <c r="H3" i="71"/>
  <c r="H3" i="70"/>
  <c r="C22" i="6" l="1"/>
  <c r="D22" i="6"/>
  <c r="B22" i="6"/>
  <c r="C20" i="6"/>
  <c r="D20" i="6"/>
  <c r="B20" i="6"/>
  <c r="C18" i="6"/>
  <c r="D18" i="6"/>
  <c r="B18" i="6"/>
  <c r="C16" i="6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C18" i="5"/>
  <c r="D18" i="5"/>
  <c r="B18" i="5"/>
  <c r="C17" i="5"/>
  <c r="D17" i="5"/>
  <c r="B17" i="5"/>
  <c r="C16" i="5"/>
  <c r="D16" i="5"/>
  <c r="B16" i="5"/>
  <c r="C15" i="5"/>
  <c r="D15" i="5"/>
  <c r="B15" i="5"/>
  <c r="C14" i="5"/>
  <c r="D14" i="5"/>
  <c r="B14" i="5"/>
  <c r="C13" i="5"/>
  <c r="D13" i="5"/>
  <c r="B13" i="5"/>
  <c r="C12" i="5"/>
  <c r="D12" i="5"/>
  <c r="B12" i="5"/>
  <c r="C11" i="5"/>
  <c r="D11" i="5"/>
  <c r="B11" i="5"/>
  <c r="C10" i="5"/>
  <c r="D10" i="5"/>
  <c r="B10" i="5"/>
  <c r="C9" i="5"/>
  <c r="D9" i="5"/>
  <c r="B9" i="5"/>
  <c r="H20" i="75"/>
  <c r="G20" i="75" s="1"/>
  <c r="B13" i="6" s="1"/>
  <c r="F20" i="75"/>
  <c r="D20" i="75"/>
  <c r="B20" i="75"/>
  <c r="I17" i="75"/>
  <c r="I16" i="75"/>
  <c r="I15" i="75"/>
  <c r="I14" i="75"/>
  <c r="I13" i="75"/>
  <c r="I12" i="75"/>
  <c r="I11" i="75"/>
  <c r="I10" i="75"/>
  <c r="I9" i="75"/>
  <c r="I8" i="75"/>
  <c r="I7" i="75"/>
  <c r="I6" i="75"/>
  <c r="F3" i="75"/>
  <c r="E14" i="6" s="1"/>
  <c r="H20" i="74"/>
  <c r="G20" i="74" s="1"/>
  <c r="B11" i="6" s="1"/>
  <c r="F20" i="74"/>
  <c r="D20" i="74"/>
  <c r="B20" i="74"/>
  <c r="I17" i="74"/>
  <c r="I16" i="74"/>
  <c r="I15" i="74"/>
  <c r="I14" i="74"/>
  <c r="I13" i="74"/>
  <c r="I12" i="74"/>
  <c r="I11" i="74"/>
  <c r="I10" i="74"/>
  <c r="I9" i="74"/>
  <c r="I8" i="74"/>
  <c r="I7" i="74"/>
  <c r="I6" i="74"/>
  <c r="F3" i="74"/>
  <c r="E12" i="6" s="1"/>
  <c r="H20" i="73"/>
  <c r="G20" i="73" s="1"/>
  <c r="B9" i="6" s="1"/>
  <c r="F20" i="73"/>
  <c r="D20" i="73"/>
  <c r="B20" i="73"/>
  <c r="I17" i="73"/>
  <c r="I16" i="73"/>
  <c r="I15" i="73"/>
  <c r="I14" i="73"/>
  <c r="I13" i="73"/>
  <c r="I12" i="73"/>
  <c r="I11" i="73"/>
  <c r="I10" i="73"/>
  <c r="I9" i="73"/>
  <c r="I8" i="73"/>
  <c r="I7" i="73"/>
  <c r="I6" i="73"/>
  <c r="F3" i="73"/>
  <c r="E10" i="6" s="1"/>
  <c r="H20" i="72"/>
  <c r="G20" i="72" s="1"/>
  <c r="B7" i="6" s="1"/>
  <c r="F20" i="72"/>
  <c r="D20" i="72"/>
  <c r="B20" i="72"/>
  <c r="A20" i="72" s="1"/>
  <c r="I17" i="72"/>
  <c r="I16" i="72"/>
  <c r="I15" i="72"/>
  <c r="I14" i="72"/>
  <c r="I13" i="72"/>
  <c r="I12" i="72"/>
  <c r="I11" i="72"/>
  <c r="I10" i="72"/>
  <c r="I9" i="72"/>
  <c r="I8" i="72"/>
  <c r="I7" i="72"/>
  <c r="I6" i="72"/>
  <c r="F3" i="72"/>
  <c r="E8" i="6" s="1"/>
  <c r="H20" i="71"/>
  <c r="G20" i="71" s="1"/>
  <c r="B5" i="6" s="1"/>
  <c r="F20" i="71"/>
  <c r="D20" i="71"/>
  <c r="B20" i="71"/>
  <c r="A20" i="71" s="1"/>
  <c r="I17" i="71"/>
  <c r="I16" i="71"/>
  <c r="I15" i="71"/>
  <c r="I14" i="71"/>
  <c r="I13" i="71"/>
  <c r="I12" i="71"/>
  <c r="I11" i="71"/>
  <c r="I10" i="71"/>
  <c r="I9" i="71"/>
  <c r="I8" i="71"/>
  <c r="I7" i="71"/>
  <c r="I6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I6" i="70"/>
  <c r="F3" i="70"/>
  <c r="E4" i="6" s="1"/>
  <c r="H20" i="41"/>
  <c r="G20" i="41" s="1"/>
  <c r="B21" i="6" s="1"/>
  <c r="F20" i="41"/>
  <c r="D20" i="41"/>
  <c r="B20" i="41"/>
  <c r="I17" i="41"/>
  <c r="I16" i="41"/>
  <c r="I15" i="41"/>
  <c r="I14" i="41"/>
  <c r="I13" i="41"/>
  <c r="I12" i="41"/>
  <c r="I11" i="41"/>
  <c r="I10" i="41"/>
  <c r="I9" i="41"/>
  <c r="I8" i="41"/>
  <c r="I7" i="41"/>
  <c r="I6" i="41"/>
  <c r="F3" i="41"/>
  <c r="E22" i="6" s="1"/>
  <c r="H20" i="40"/>
  <c r="G20" i="40" s="1"/>
  <c r="B19" i="6" s="1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I7" i="40"/>
  <c r="I6" i="40"/>
  <c r="F3" i="40"/>
  <c r="E20" i="6" s="1"/>
  <c r="H20" i="39"/>
  <c r="G20" i="39" s="1"/>
  <c r="B17" i="6" s="1"/>
  <c r="F20" i="39"/>
  <c r="D20" i="39"/>
  <c r="B20" i="39"/>
  <c r="A20" i="39" s="1"/>
  <c r="I17" i="39"/>
  <c r="I16" i="39"/>
  <c r="I15" i="39"/>
  <c r="I14" i="39"/>
  <c r="I13" i="39"/>
  <c r="I12" i="39"/>
  <c r="I11" i="39"/>
  <c r="I10" i="39"/>
  <c r="I9" i="39"/>
  <c r="I8" i="39"/>
  <c r="I7" i="39"/>
  <c r="I6" i="39"/>
  <c r="F3" i="39"/>
  <c r="E18" i="6" s="1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I10" i="38"/>
  <c r="I9" i="38"/>
  <c r="I8" i="38"/>
  <c r="I7" i="38"/>
  <c r="I6" i="38"/>
  <c r="F3" i="38"/>
  <c r="E16" i="6" s="1"/>
  <c r="C20" i="71" l="1"/>
  <c r="I4" i="71" s="1"/>
  <c r="A20" i="41"/>
  <c r="C20" i="41" s="1"/>
  <c r="C20" i="39"/>
  <c r="I4" i="39" s="1"/>
  <c r="C20" i="72"/>
  <c r="I3" i="72" s="1"/>
  <c r="F16" i="6"/>
  <c r="F8" i="6"/>
  <c r="F6" i="6"/>
  <c r="F20" i="6"/>
  <c r="F12" i="6"/>
  <c r="F22" i="6"/>
  <c r="F18" i="6"/>
  <c r="F14" i="6"/>
  <c r="F10" i="6"/>
  <c r="I5" i="71"/>
  <c r="A20" i="73"/>
  <c r="C20" i="73" s="1"/>
  <c r="A20" i="75"/>
  <c r="C20" i="75" s="1"/>
  <c r="A20" i="70"/>
  <c r="C20" i="70" s="1"/>
  <c r="A20" i="74"/>
  <c r="C20" i="74" s="1"/>
  <c r="A20" i="38"/>
  <c r="C20" i="38" s="1"/>
  <c r="I5" i="41"/>
  <c r="A20" i="40"/>
  <c r="C20" i="40" s="1"/>
  <c r="F4" i="6"/>
  <c r="I4" i="41" l="1"/>
  <c r="I3" i="41"/>
  <c r="E20" i="41" s="1"/>
  <c r="I4" i="72"/>
  <c r="E20" i="72" s="1"/>
  <c r="E3" i="72" s="1"/>
  <c r="E11" i="5" s="1"/>
  <c r="F11" i="5" s="1"/>
  <c r="I3" i="71"/>
  <c r="E20" i="71"/>
  <c r="H22" i="71" s="1"/>
  <c r="H23" i="71" s="1"/>
  <c r="I5" i="39"/>
  <c r="I3" i="39"/>
  <c r="E20" i="39"/>
  <c r="E3" i="39" s="1"/>
  <c r="E16" i="5" s="1"/>
  <c r="F16" i="5" s="1"/>
  <c r="I5" i="72"/>
  <c r="F23" i="6"/>
  <c r="I5" i="73"/>
  <c r="I4" i="73"/>
  <c r="I3" i="73"/>
  <c r="I3" i="75"/>
  <c r="I5" i="75"/>
  <c r="I4" i="75"/>
  <c r="I4" i="74"/>
  <c r="I5" i="74"/>
  <c r="I3" i="74"/>
  <c r="I4" i="70"/>
  <c r="I5" i="70"/>
  <c r="I3" i="70"/>
  <c r="E20" i="70" s="1"/>
  <c r="E3" i="70" s="1"/>
  <c r="E9" i="5" s="1"/>
  <c r="F9" i="5" s="1"/>
  <c r="I4" i="38"/>
  <c r="I3" i="38"/>
  <c r="I5" i="38"/>
  <c r="I5" i="40"/>
  <c r="I4" i="40"/>
  <c r="I3" i="40"/>
  <c r="H22" i="41" l="1"/>
  <c r="H23" i="41" s="1"/>
  <c r="E3" i="41"/>
  <c r="E18" i="5" s="1"/>
  <c r="F18" i="5" s="1"/>
  <c r="E20" i="40"/>
  <c r="E20" i="75"/>
  <c r="E20" i="74"/>
  <c r="H22" i="74" s="1"/>
  <c r="H23" i="74" s="1"/>
  <c r="E20" i="38"/>
  <c r="H22" i="38" s="1"/>
  <c r="H23" i="38" s="1"/>
  <c r="E20" i="73"/>
  <c r="H22" i="73" s="1"/>
  <c r="H23" i="73" s="1"/>
  <c r="E3" i="71"/>
  <c r="E10" i="5" s="1"/>
  <c r="F10" i="5" s="1"/>
  <c r="H22" i="39"/>
  <c r="H23" i="39" s="1"/>
  <c r="H22" i="72"/>
  <c r="H23" i="72" s="1"/>
  <c r="H22" i="75"/>
  <c r="H23" i="75" s="1"/>
  <c r="E3" i="75"/>
  <c r="E14" i="5" s="1"/>
  <c r="F14" i="5" s="1"/>
  <c r="H22" i="70"/>
  <c r="H23" i="70" s="1"/>
  <c r="H22" i="40"/>
  <c r="H23" i="40" s="1"/>
  <c r="E3" i="40"/>
  <c r="E17" i="5" s="1"/>
  <c r="F17" i="5" s="1"/>
  <c r="E3" i="74" l="1"/>
  <c r="E13" i="5" s="1"/>
  <c r="F13" i="5" s="1"/>
  <c r="E3" i="73"/>
  <c r="E12" i="5" s="1"/>
  <c r="F12" i="5" s="1"/>
  <c r="E3" i="38"/>
  <c r="E15" i="5" s="1"/>
  <c r="F15" i="5" s="1"/>
  <c r="F19" i="5" l="1"/>
  <c r="G9" i="5"/>
</calcChain>
</file>

<file path=xl/sharedStrings.xml><?xml version="1.0" encoding="utf-8"?>
<sst xmlns="http://schemas.openxmlformats.org/spreadsheetml/2006/main" count="326" uniqueCount="59">
  <si>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</si>
  <si>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</si>
  <si>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</si>
  <si>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</si>
  <si>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</si>
  <si>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</si>
  <si>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</si>
  <si>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</si>
  <si>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</si>
  <si>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</si>
  <si>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</si>
  <si>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</si>
  <si>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</si>
  <si>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</si>
  <si>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</si>
  <si>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</si>
  <si>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</si>
  <si>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</si>
  <si>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</si>
  <si>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</si>
  <si>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</si>
  <si>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</si>
  <si>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</si>
  <si>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</si>
  <si>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</si>
  <si>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</si>
  <si>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</si>
  <si>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</si>
  <si>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</si>
  <si>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</si>
  <si>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</si>
  <si>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</si>
  <si>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</si>
  <si>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</si>
  <si>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</si>
  <si>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</si>
  <si>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</si>
  <si>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</si>
  <si>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</si>
  <si>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</si>
  <si>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</si>
  <si>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</si>
  <si>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</si>
  <si>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</si>
  <si>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</si>
  <si>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</si>
  <si>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</si>
  <si>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TVO</t>
  </si>
  <si>
    <t>ABROLHOS</t>
  </si>
  <si>
    <t>Fronha</t>
  </si>
  <si>
    <t>Avental para exame</t>
  </si>
  <si>
    <t>Jaleco</t>
  </si>
  <si>
    <t xml:space="preserve">Cobertor
- antialérgico, 100% algodão
Dimensão: 2,00 x 1,40
</t>
  </si>
  <si>
    <t xml:space="preserve">Cortina de biombo
- em tecido de algodão
- dimensões: 52 cm x 142 cm
</t>
  </si>
  <si>
    <t xml:space="preserve">Cortina divisória
- brim branco, em algodão
- dimensões: 530 cm x 190 cm
</t>
  </si>
  <si>
    <t>Lençol
Dimensão: 1,50 x 2,00</t>
  </si>
  <si>
    <t>Toalha
- cor branca, felpuda, 100% algodão
Dimensão: 1,40 x 0,70</t>
  </si>
  <si>
    <t>Toga
- tecido em microfibra acetinada</t>
  </si>
  <si>
    <t>Pelerine
- tecido em microfibra acetinada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</si>
</sst>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2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3209926</xdr:colOff>
      <xdr:row>0</xdr:row>
      <xdr:rowOff>0</xdr:rowOff>
    </xdr:from>
    <xdr:to>
      <xdr:col>1</xdr:col>
      <xdr:colOff>5781675</xdr:colOff>
      <xdr:row>6</xdr:row>
      <xdr:rowOff>6733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9526" y="0"/>
          <a:ext cx="2571749" cy="9782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55</v>
      </c>
      <c r="C3" s="63" t="s">
        <v>8</v>
      </c>
      <c r="D3" s="66">
        <v>600</v>
      </c>
      <c r="E3" s="69">
        <f>IF(C20&lt;=25%,D20,MIN(E20:F20))</f>
        <v>5.29</v>
      </c>
      <c r="F3" s="69">
        <f>MIN(H3:H17)</f>
        <v>4.5</v>
      </c>
      <c r="G3" s="5" t="s">
        <v>47</v>
      </c>
      <c r="H3" s="14">
        <f>5*1.2173</f>
        <v>6.0865</v>
      </c>
      <c r="I3" s="30" t="str">
        <f>IF(H3="","",(IF($C$20&lt;25%,"N/A",IF(H3&lt;=($D$20+$A$20),H3,"Descartado"))))</f>
        <v>N/A</v>
      </c>
    </row>
    <row r="4" spans="1:9">
      <c r="A4" s="59"/>
      <c r="B4" s="61"/>
      <c r="C4" s="64"/>
      <c r="D4" s="67"/>
      <c r="E4" s="70"/>
      <c r="F4" s="70"/>
      <c r="G4" s="5" t="s">
        <v>48</v>
      </c>
      <c r="H4" s="14">
        <v>4.5</v>
      </c>
      <c r="I4" s="30" t="str">
        <f t="shared" ref="I4:I17" si="0">IF(H4="","",(IF($C$20&lt;25%,"N/A",IF(H4&lt;=($D$20+$A$20),H4,"Descartado"))))</f>
        <v>N/A</v>
      </c>
    </row>
    <row r="5" spans="1:9">
      <c r="A5" s="59"/>
      <c r="B5" s="61"/>
      <c r="C5" s="64"/>
      <c r="D5" s="67"/>
      <c r="E5" s="70"/>
      <c r="F5" s="70"/>
      <c r="G5" s="5"/>
      <c r="H5" s="14"/>
      <c r="I5" s="30" t="str">
        <f t="shared" si="0"/>
        <v/>
      </c>
    </row>
    <row r="6" spans="1:9">
      <c r="A6" s="59"/>
      <c r="B6" s="61"/>
      <c r="C6" s="64"/>
      <c r="D6" s="67"/>
      <c r="E6" s="70"/>
      <c r="F6" s="70"/>
      <c r="G6" s="5"/>
      <c r="H6" s="14"/>
      <c r="I6" s="30" t="str">
        <f t="shared" si="0"/>
        <v/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34</v>
      </c>
      <c r="H19" s="54"/>
      <c r="I19" s="32"/>
    </row>
    <row r="20" spans="1:11">
      <c r="A20" s="20">
        <f>IF(B20&lt;2,"N/A",(STDEV(H3:H17)))</f>
        <v>1.1218249083524541</v>
      </c>
      <c r="B20" s="20">
        <f>COUNT(H3:H17)</f>
        <v>2</v>
      </c>
      <c r="C20" s="21">
        <f>IF(B20&lt;2,"N/A",(A20/D20))</f>
        <v>0.21206520006662649</v>
      </c>
      <c r="D20" s="22">
        <f>ROUND(AVERAGE(H3:H17),2)</f>
        <v>5.29</v>
      </c>
      <c r="E20" s="23" t="str">
        <f>IFERROR(ROUND(IF(B20&lt;2,"N/A",(IF(C20&lt;=25%,"N/A",AVERAGE(I3:I17)))),2),"N/A")</f>
        <v>N/A</v>
      </c>
      <c r="F20" s="23">
        <f>ROUND(MEDIAN(H3:H17),2)</f>
        <v>5.29</v>
      </c>
      <c r="G20" s="24" t="str">
        <f>INDEX(G3:G17,MATCH(H20,H3:H17,0))</f>
        <v>ABROLHOS</v>
      </c>
      <c r="H20" s="25">
        <f>MIN(H3:H17)</f>
        <v>4.5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37</v>
      </c>
      <c r="H22" s="27">
        <f>IF(C20&lt;=25%,D20,MIN(E20:F20))</f>
        <v>5.29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3174</v>
      </c>
    </row>
    <row r="24" spans="1:11">
      <c r="B24" s="38"/>
      <c r="C24" s="38"/>
      <c r="D24" s="32"/>
      <c r="E24" s="32"/>
    </row>
    <row r="26" spans="1:11">
      <c r="A26" s="47" t="s">
        <v>25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26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27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28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29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30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31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5" sqref="G15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46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58</v>
      </c>
      <c r="C3" s="63" t="s">
        <v>8</v>
      </c>
      <c r="D3" s="66">
        <v>56</v>
      </c>
      <c r="E3" s="69">
        <f>IF(C20&lt;=25%,D20,MIN(E20:F20))</f>
        <v>15.13</v>
      </c>
      <c r="F3" s="69">
        <f>MIN(H3:H17)</f>
        <v>12</v>
      </c>
      <c r="G3" s="5" t="s">
        <v>47</v>
      </c>
      <c r="H3" s="14">
        <f>15*1.2173</f>
        <v>18.259499999999999</v>
      </c>
      <c r="I3" s="30">
        <f>IF(H3="","",(IF($C$20&lt;25%,"N/A",IF(H3&lt;=($D$20+$A$20),H3,"Descartado"))))</f>
        <v>18.259499999999999</v>
      </c>
    </row>
    <row r="4" spans="1:9">
      <c r="A4" s="59"/>
      <c r="B4" s="61"/>
      <c r="C4" s="64"/>
      <c r="D4" s="67"/>
      <c r="E4" s="70"/>
      <c r="F4" s="70"/>
      <c r="G4" s="5" t="s">
        <v>48</v>
      </c>
      <c r="H4" s="14">
        <v>12</v>
      </c>
      <c r="I4" s="30">
        <f t="shared" ref="I4:I17" si="0">IF(H4="","",(IF($C$20&lt;25%,"N/A",IF(H4&lt;=($D$20+$A$20),H4,"Descartado"))))</f>
        <v>12</v>
      </c>
    </row>
    <row r="5" spans="1:9">
      <c r="A5" s="59"/>
      <c r="B5" s="61"/>
      <c r="C5" s="64"/>
      <c r="D5" s="67"/>
      <c r="E5" s="70"/>
      <c r="F5" s="70"/>
      <c r="G5" s="5"/>
      <c r="H5" s="14"/>
      <c r="I5" s="30" t="str">
        <f t="shared" si="0"/>
        <v/>
      </c>
    </row>
    <row r="6" spans="1:9">
      <c r="A6" s="59"/>
      <c r="B6" s="61"/>
      <c r="C6" s="64"/>
      <c r="D6" s="67"/>
      <c r="E6" s="70"/>
      <c r="F6" s="70"/>
      <c r="H6" s="14"/>
      <c r="I6" s="30" t="str">
        <f t="shared" si="0"/>
        <v/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34</v>
      </c>
      <c r="H19" s="54"/>
      <c r="I19" s="32"/>
    </row>
    <row r="20" spans="1:11">
      <c r="A20" s="20">
        <f>IF(B20&lt;2,"N/A",(STDEV(H3:H17)))</f>
        <v>4.4261348968371914</v>
      </c>
      <c r="B20" s="20">
        <f>COUNT(H3:H17)</f>
        <v>2</v>
      </c>
      <c r="C20" s="21">
        <f>IF(B20&lt;2,"N/A",(A20/D20))</f>
        <v>0.29254031043206813</v>
      </c>
      <c r="D20" s="22">
        <f>ROUND(AVERAGE(H3:H17),2)</f>
        <v>15.13</v>
      </c>
      <c r="E20" s="23">
        <f>IFERROR(ROUND(IF(B20&lt;2,"N/A",(IF(C20&lt;=25%,"N/A",AVERAGE(I3:I17)))),2),"N/A")</f>
        <v>15.13</v>
      </c>
      <c r="F20" s="23">
        <f>ROUND(MEDIAN(H3:H17),2)</f>
        <v>15.13</v>
      </c>
      <c r="G20" s="24" t="str">
        <f>INDEX(G3:G17,MATCH(H20,H3:H17,0))</f>
        <v>ABROLHOS</v>
      </c>
      <c r="H20" s="25">
        <f>MIN(H3:H17)</f>
        <v>12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37</v>
      </c>
      <c r="H22" s="27">
        <f>IF(C20&lt;=25%,D20,MIN(E20:F20))</f>
        <v>15.13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847.28000000000009</v>
      </c>
    </row>
    <row r="24" spans="1:11">
      <c r="B24" s="38"/>
      <c r="C24" s="38"/>
      <c r="D24" s="32"/>
      <c r="E24" s="32"/>
    </row>
    <row r="26" spans="1:11">
      <c r="A26" s="47" t="s">
        <v>25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26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27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28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29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30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31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N19"/>
  <sheetViews>
    <sheetView tabSelected="1" view="pageBreakPreview" topLeftCell="A5" zoomScaleNormal="100" zoomScaleSheetLayoutView="100" workbookViewId="0">
      <selection activeCell="D9" sqref="D9:D18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8.5703125" style="1" customWidth="1"/>
    <col min="7" max="14" width="9.140625" style="2"/>
    <col min="15" max="16384" width="9.140625" style="1"/>
  </cols>
  <sheetData>
    <row r="7" spans="1:7" ht="15.75">
      <c r="A7" s="72" t="s">
        <v>14</v>
      </c>
      <c r="B7" s="72"/>
      <c r="C7" s="72"/>
      <c r="D7" s="72"/>
      <c r="E7" s="72"/>
      <c r="F7" s="72"/>
    </row>
    <row r="8" spans="1:7" ht="25.5">
      <c r="A8" s="41" t="s">
        <v>15</v>
      </c>
      <c r="B8" s="41" t="s">
        <v>16</v>
      </c>
      <c r="C8" s="41" t="s">
        <v>17</v>
      </c>
      <c r="D8" s="41" t="s">
        <v>18</v>
      </c>
      <c r="E8" s="41" t="s">
        <v>13</v>
      </c>
      <c r="F8" s="41" t="s">
        <v>19</v>
      </c>
    </row>
    <row r="9" spans="1:7">
      <c r="A9" s="42">
        <v>1</v>
      </c>
      <c r="B9" s="43" t="str">
        <f>Item1!B3</f>
        <v>Lençol
Dimensão: 1,50 x 2,00</v>
      </c>
      <c r="C9" s="42" t="str">
        <f>Item1!C3</f>
        <v>unidade</v>
      </c>
      <c r="D9" s="42">
        <f>Item1!D3</f>
        <v>600</v>
      </c>
      <c r="E9" s="43">
        <f>Item1!E3</f>
        <v>5.29</v>
      </c>
      <c r="F9" s="44">
        <f t="shared" ref="F9:F18" si="0">(ROUND(E9,2)*D9)</f>
        <v>3174</v>
      </c>
      <c r="G9" s="3" t="str">
        <f>IF(F9&gt;80000,"necessária a subdivisão deste item em cotas!","")</f>
        <v/>
      </c>
    </row>
    <row r="10" spans="1:7">
      <c r="A10" s="42">
        <v>2</v>
      </c>
      <c r="B10" s="43" t="str">
        <f>Item2!B3</f>
        <v>Fronha</v>
      </c>
      <c r="C10" s="42" t="str">
        <f>Item2!C3</f>
        <v>unidade</v>
      </c>
      <c r="D10" s="42">
        <f>Item2!D3</f>
        <v>600</v>
      </c>
      <c r="E10" s="43">
        <f>Item2!E3</f>
        <v>2.4700000000000002</v>
      </c>
      <c r="F10" s="44">
        <f t="shared" si="0"/>
        <v>1482.0000000000002</v>
      </c>
    </row>
    <row r="11" spans="1:7">
      <c r="A11" s="42">
        <v>3</v>
      </c>
      <c r="B11" s="43" t="str">
        <f>Item3!B3</f>
        <v>Avental para exame</v>
      </c>
      <c r="C11" s="42" t="str">
        <f>Item3!C3</f>
        <v>unidade</v>
      </c>
      <c r="D11" s="42">
        <f>Item3!D3</f>
        <v>90</v>
      </c>
      <c r="E11" s="43">
        <f>Item3!E3</f>
        <v>5.29</v>
      </c>
      <c r="F11" s="44">
        <f t="shared" si="0"/>
        <v>476.1</v>
      </c>
    </row>
    <row r="12" spans="1:7">
      <c r="A12" s="42">
        <v>4</v>
      </c>
      <c r="B12" s="43" t="str">
        <f>Item4!B3</f>
        <v>Jaleco</v>
      </c>
      <c r="C12" s="42" t="str">
        <f>Item4!C3</f>
        <v>unidade</v>
      </c>
      <c r="D12" s="42">
        <f>Item4!D3</f>
        <v>1200</v>
      </c>
      <c r="E12" s="43">
        <f>Item4!E3</f>
        <v>14.26</v>
      </c>
      <c r="F12" s="44">
        <f t="shared" si="0"/>
        <v>17112</v>
      </c>
    </row>
    <row r="13" spans="1:7" ht="38.25">
      <c r="A13" s="42">
        <v>5</v>
      </c>
      <c r="B13" s="43" t="str">
        <f>Item5!B3</f>
        <v>Toalha
- cor branca, felpuda, 100% algodão
Dimensão: 1,40 x 0,70</v>
      </c>
      <c r="C13" s="42" t="str">
        <f>Item5!C3</f>
        <v>unidade</v>
      </c>
      <c r="D13" s="42">
        <f>Item5!D3</f>
        <v>30</v>
      </c>
      <c r="E13" s="43">
        <f>Item5!E3</f>
        <v>5.65</v>
      </c>
      <c r="F13" s="44">
        <f t="shared" si="0"/>
        <v>169.5</v>
      </c>
    </row>
    <row r="14" spans="1:7" ht="51">
      <c r="A14" s="42">
        <v>6</v>
      </c>
      <c r="B14" s="43" t="str">
        <f>Item6!B3</f>
        <v xml:space="preserve">Cobertor
- antialérgico, 100% algodão
Dimensão: 2,00 x 1,40
</v>
      </c>
      <c r="C14" s="42" t="str">
        <f>Item6!C3</f>
        <v>unidade</v>
      </c>
      <c r="D14" s="42">
        <f>Item6!D3</f>
        <v>30</v>
      </c>
      <c r="E14" s="43">
        <f>Item6!E3</f>
        <v>15.96</v>
      </c>
      <c r="F14" s="44">
        <f t="shared" si="0"/>
        <v>478.8</v>
      </c>
    </row>
    <row r="15" spans="1:7" ht="51">
      <c r="A15" s="42">
        <v>7</v>
      </c>
      <c r="B15" s="43" t="str">
        <f>Item7!B3</f>
        <v xml:space="preserve">Cortina de biombo
- em tecido de algodão
- dimensões: 52 cm x 142 cm
</v>
      </c>
      <c r="C15" s="42" t="str">
        <f>Item7!C3</f>
        <v>unidade</v>
      </c>
      <c r="D15" s="42">
        <f>Item7!D3</f>
        <v>45</v>
      </c>
      <c r="E15" s="43">
        <f>Item7!E3</f>
        <v>18.39</v>
      </c>
      <c r="F15" s="44">
        <f t="shared" si="0"/>
        <v>827.55000000000007</v>
      </c>
    </row>
    <row r="16" spans="1:7" ht="51">
      <c r="A16" s="42">
        <v>8</v>
      </c>
      <c r="B16" s="43" t="str">
        <f>Item8!B3</f>
        <v xml:space="preserve">Cortina divisória
- brim branco, em algodão
- dimensões: 530 cm x 190 cm
</v>
      </c>
      <c r="C16" s="42" t="str">
        <f>Item8!C3</f>
        <v>unidade</v>
      </c>
      <c r="D16" s="42">
        <f>Item8!D3</f>
        <v>20</v>
      </c>
      <c r="E16" s="43">
        <f>Item8!E3</f>
        <v>53.13</v>
      </c>
      <c r="F16" s="44">
        <f t="shared" si="0"/>
        <v>1062.6000000000001</v>
      </c>
    </row>
    <row r="17" spans="1:6" ht="25.5">
      <c r="A17" s="42">
        <v>9</v>
      </c>
      <c r="B17" s="43" t="str">
        <f>Item9!B3</f>
        <v>Toga
- tecido em microfibra acetinada</v>
      </c>
      <c r="C17" s="42" t="str">
        <f>Item9!C3</f>
        <v>unidade</v>
      </c>
      <c r="D17" s="42">
        <f>Item9!D3</f>
        <v>104</v>
      </c>
      <c r="E17" s="43">
        <f>Item9!E3</f>
        <v>21.02</v>
      </c>
      <c r="F17" s="44">
        <f t="shared" si="0"/>
        <v>2186.08</v>
      </c>
    </row>
    <row r="18" spans="1:6" ht="25.5">
      <c r="A18" s="42">
        <v>10</v>
      </c>
      <c r="B18" s="43" t="str">
        <f>Item10!B3</f>
        <v>Pelerine
- tecido em microfibra acetinada</v>
      </c>
      <c r="C18" s="42" t="str">
        <f>Item10!C3</f>
        <v>unidade</v>
      </c>
      <c r="D18" s="42">
        <f>Item10!D3</f>
        <v>56</v>
      </c>
      <c r="E18" s="43">
        <f>Item10!E3</f>
        <v>15.13</v>
      </c>
      <c r="F18" s="44">
        <f t="shared" si="0"/>
        <v>847.28000000000009</v>
      </c>
    </row>
    <row r="19" spans="1:6" ht="15.75">
      <c r="A19" s="39"/>
      <c r="B19" s="39"/>
      <c r="C19" s="73" t="s">
        <v>20</v>
      </c>
      <c r="D19" s="74"/>
      <c r="E19" s="75"/>
      <c r="F19" s="40">
        <f>SUM(F9:F18)</f>
        <v>27815.909999999996</v>
      </c>
    </row>
  </sheetData>
  <mergeCells count="2">
    <mergeCell ref="A7:F7"/>
    <mergeCell ref="C19:E19"/>
  </mergeCells>
  <pageMargins left="0.51181102362204722" right="0.51181102362204722" top="0.78740157480314965" bottom="0.78740157480314965" header="0.31496062992125984" footer="0.31496062992125984"/>
  <pageSetup paperSize="9" scale="61" fitToHeight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view="pageBreakPreview" zoomScaleNormal="100" zoomScaleSheetLayoutView="100" workbookViewId="0">
      <selection activeCell="B28" sqref="B28"/>
    </sheetView>
  </sheetViews>
  <sheetFormatPr defaultRowHeight="12.75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8.42578125" style="1" customWidth="1"/>
    <col min="7" max="14" width="9.140625" style="2"/>
    <col min="15" max="16384" width="9.140625" style="1"/>
  </cols>
  <sheetData>
    <row r="1" spans="1:6" s="2" customFormat="1" ht="15.75">
      <c r="A1" s="72" t="s">
        <v>21</v>
      </c>
      <c r="B1" s="72"/>
      <c r="C1" s="72"/>
      <c r="D1" s="72"/>
      <c r="E1" s="72"/>
      <c r="F1" s="72"/>
    </row>
    <row r="2" spans="1:6" s="2" customFormat="1" ht="25.5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6" s="2" customFormat="1" ht="17.25">
      <c r="A3" s="45" t="s">
        <v>22</v>
      </c>
      <c r="B3" s="76" t="str">
        <f>Item1!G20</f>
        <v>ABROLHOS</v>
      </c>
      <c r="C3" s="77"/>
      <c r="D3" s="77"/>
      <c r="E3" s="77"/>
      <c r="F3" s="78"/>
    </row>
    <row r="4" spans="1:6" s="2" customFormat="1">
      <c r="A4" s="42">
        <v>1</v>
      </c>
      <c r="B4" s="43" t="str">
        <f>Item1!B3</f>
        <v>Lençol
Dimensão: 1,50 x 2,00</v>
      </c>
      <c r="C4" s="42" t="str">
        <f>Item1!C3</f>
        <v>unidade</v>
      </c>
      <c r="D4" s="42">
        <f>Item1!D3</f>
        <v>600</v>
      </c>
      <c r="E4" s="44">
        <f>Item1!F3</f>
        <v>4.5</v>
      </c>
      <c r="F4" s="44">
        <f>(ROUND(E4,2)*D4)</f>
        <v>2700</v>
      </c>
    </row>
    <row r="5" spans="1:6" s="2" customFormat="1" ht="17.25">
      <c r="A5" s="45" t="s">
        <v>22</v>
      </c>
      <c r="B5" s="76" t="str">
        <f>Item2!G20</f>
        <v>TVO</v>
      </c>
      <c r="C5" s="77"/>
      <c r="D5" s="77"/>
      <c r="E5" s="77"/>
      <c r="F5" s="78"/>
    </row>
    <row r="6" spans="1:6">
      <c r="A6" s="42">
        <v>2</v>
      </c>
      <c r="B6" s="43" t="str">
        <f>Item2!B3</f>
        <v>Fronha</v>
      </c>
      <c r="C6" s="42" t="str">
        <f>Item2!C3</f>
        <v>unidade</v>
      </c>
      <c r="D6" s="42">
        <f>Item2!D3</f>
        <v>600</v>
      </c>
      <c r="E6" s="44">
        <f>Item2!F3</f>
        <v>2.4346000000000001</v>
      </c>
      <c r="F6" s="44">
        <f>(ROUND(E6,2)*D6)</f>
        <v>1458</v>
      </c>
    </row>
    <row r="7" spans="1:6" ht="17.25">
      <c r="A7" s="45" t="s">
        <v>22</v>
      </c>
      <c r="B7" s="79" t="str">
        <f>Item3!G20</f>
        <v>ABROLHOS</v>
      </c>
      <c r="C7" s="80"/>
      <c r="D7" s="80"/>
      <c r="E7" s="80"/>
      <c r="F7" s="81"/>
    </row>
    <row r="8" spans="1:6">
      <c r="A8" s="42">
        <v>3</v>
      </c>
      <c r="B8" s="43" t="str">
        <f>Item3!B3</f>
        <v>Avental para exame</v>
      </c>
      <c r="C8" s="42" t="str">
        <f>Item3!C3</f>
        <v>unidade</v>
      </c>
      <c r="D8" s="42">
        <f>Item3!D3</f>
        <v>90</v>
      </c>
      <c r="E8" s="44">
        <f>Item3!F3</f>
        <v>4.5</v>
      </c>
      <c r="F8" s="44">
        <f>(ROUND(E8,2)*D8)</f>
        <v>405</v>
      </c>
    </row>
    <row r="9" spans="1:6" ht="12.75" customHeight="1">
      <c r="A9" s="45" t="s">
        <v>22</v>
      </c>
      <c r="B9" s="79" t="str">
        <f>Item4!G20</f>
        <v>TVO</v>
      </c>
      <c r="C9" s="80"/>
      <c r="D9" s="80"/>
      <c r="E9" s="80"/>
      <c r="F9" s="81"/>
    </row>
    <row r="10" spans="1:6">
      <c r="A10" s="42">
        <v>4</v>
      </c>
      <c r="B10" s="43" t="str">
        <f>Item4!B3</f>
        <v>Jaleco</v>
      </c>
      <c r="C10" s="42" t="str">
        <f>Item4!C3</f>
        <v>unidade</v>
      </c>
      <c r="D10" s="42">
        <f>Item4!D3</f>
        <v>1200</v>
      </c>
      <c r="E10" s="44">
        <f>Item4!F3</f>
        <v>8.5211000000000006</v>
      </c>
      <c r="F10" s="44">
        <f>(ROUND(E10,2)*D10)</f>
        <v>10224</v>
      </c>
    </row>
    <row r="11" spans="1:6" ht="17.25">
      <c r="A11" s="45" t="s">
        <v>22</v>
      </c>
      <c r="B11" s="76" t="str">
        <f>Item5!G20</f>
        <v>ABROLHOS</v>
      </c>
      <c r="C11" s="77"/>
      <c r="D11" s="77"/>
      <c r="E11" s="77"/>
      <c r="F11" s="78"/>
    </row>
    <row r="12" spans="1:6" ht="38.25">
      <c r="A12" s="42">
        <v>5</v>
      </c>
      <c r="B12" s="43" t="str">
        <f>Item5!B3</f>
        <v>Toalha
- cor branca, felpuda, 100% algodão
Dimensão: 1,40 x 0,70</v>
      </c>
      <c r="C12" s="42" t="str">
        <f>Item5!C3</f>
        <v>unidade</v>
      </c>
      <c r="D12" s="42">
        <f>Item5!D3</f>
        <v>30</v>
      </c>
      <c r="E12" s="44">
        <f>Item5!F3</f>
        <v>4</v>
      </c>
      <c r="F12" s="44">
        <f>(ROUND(E12,2)*D12)</f>
        <v>120</v>
      </c>
    </row>
    <row r="13" spans="1:6" ht="17.25">
      <c r="A13" s="45" t="s">
        <v>22</v>
      </c>
      <c r="B13" s="76" t="str">
        <f>Item6!G20</f>
        <v>ABROLHOS</v>
      </c>
      <c r="C13" s="77"/>
      <c r="D13" s="77"/>
      <c r="E13" s="77"/>
      <c r="F13" s="78"/>
    </row>
    <row r="14" spans="1:6" ht="51">
      <c r="A14" s="42">
        <v>6</v>
      </c>
      <c r="B14" s="43" t="str">
        <f>Item6!B3</f>
        <v xml:space="preserve">Cobertor
- antialérgico, 100% algodão
Dimensão: 2,00 x 1,40
</v>
      </c>
      <c r="C14" s="42" t="str">
        <f>Item6!C3</f>
        <v>unidade</v>
      </c>
      <c r="D14" s="42">
        <f>Item6!D3</f>
        <v>30</v>
      </c>
      <c r="E14" s="44">
        <f>Item6!F3</f>
        <v>10</v>
      </c>
      <c r="F14" s="44">
        <f>(ROUND(E14,2)*D14)</f>
        <v>300</v>
      </c>
    </row>
    <row r="15" spans="1:6" ht="17.25">
      <c r="A15" s="45" t="s">
        <v>22</v>
      </c>
      <c r="B15" s="76" t="str">
        <f>Item7!G20</f>
        <v>ABROLHOS</v>
      </c>
      <c r="C15" s="77"/>
      <c r="D15" s="77"/>
      <c r="E15" s="77"/>
      <c r="F15" s="78"/>
    </row>
    <row r="16" spans="1:6" ht="51">
      <c r="A16" s="42">
        <v>7</v>
      </c>
      <c r="B16" s="43" t="str">
        <f>Item7!B3</f>
        <v xml:space="preserve">Cortina de biombo
- em tecido de algodão
- dimensões: 52 cm x 142 cm
</v>
      </c>
      <c r="C16" s="42" t="str">
        <f>Item7!C3</f>
        <v>unidade</v>
      </c>
      <c r="D16" s="42">
        <f>Item7!D3</f>
        <v>45</v>
      </c>
      <c r="E16" s="44">
        <f>Item7!F3</f>
        <v>10</v>
      </c>
      <c r="F16" s="44">
        <f>(ROUND(E16,2)*D16)</f>
        <v>450</v>
      </c>
    </row>
    <row r="17" spans="1:6" ht="17.25">
      <c r="A17" s="45" t="s">
        <v>22</v>
      </c>
      <c r="B17" s="76" t="str">
        <f>Item8!G20</f>
        <v>TVO</v>
      </c>
      <c r="C17" s="77"/>
      <c r="D17" s="77"/>
      <c r="E17" s="77"/>
      <c r="F17" s="78"/>
    </row>
    <row r="18" spans="1:6" ht="51">
      <c r="A18" s="42">
        <v>8</v>
      </c>
      <c r="B18" s="43" t="str">
        <f>Item8!B3</f>
        <v xml:space="preserve">Cortina divisória
- brim branco, em algodão
- dimensões: 530 cm x 190 cm
</v>
      </c>
      <c r="C18" s="42" t="str">
        <f>Item8!C3</f>
        <v>unidade</v>
      </c>
      <c r="D18" s="42">
        <f>Item8!D3</f>
        <v>20</v>
      </c>
      <c r="E18" s="44">
        <f>Item8!F3</f>
        <v>46.257400000000004</v>
      </c>
      <c r="F18" s="44">
        <f>(ROUND(E18,2)*D18)</f>
        <v>925.19999999999993</v>
      </c>
    </row>
    <row r="19" spans="1:6" ht="17.25">
      <c r="A19" s="45" t="s">
        <v>22</v>
      </c>
      <c r="B19" s="76" t="str">
        <f>Item9!G20</f>
        <v>TVO</v>
      </c>
      <c r="C19" s="77"/>
      <c r="D19" s="77"/>
      <c r="E19" s="77"/>
      <c r="F19" s="78"/>
    </row>
    <row r="20" spans="1:6" ht="25.5">
      <c r="A20" s="42">
        <v>9</v>
      </c>
      <c r="B20" s="43" t="str">
        <f>Item9!B3</f>
        <v>Toga
- tecido em microfibra acetinada</v>
      </c>
      <c r="C20" s="42" t="str">
        <f>Item9!C3</f>
        <v>unidade</v>
      </c>
      <c r="D20" s="42">
        <f>Item9!D3</f>
        <v>104</v>
      </c>
      <c r="E20" s="44">
        <f>Item9!F3</f>
        <v>17.042200000000001</v>
      </c>
      <c r="F20" s="44">
        <f>(ROUND(E20,2)*D20)</f>
        <v>1772.1599999999999</v>
      </c>
    </row>
    <row r="21" spans="1:6" ht="17.25">
      <c r="A21" s="45" t="s">
        <v>22</v>
      </c>
      <c r="B21" s="76" t="str">
        <f>Item10!G20</f>
        <v>ABROLHOS</v>
      </c>
      <c r="C21" s="77"/>
      <c r="D21" s="77"/>
      <c r="E21" s="77"/>
      <c r="F21" s="78"/>
    </row>
    <row r="22" spans="1:6" ht="25.5">
      <c r="A22" s="42">
        <v>10</v>
      </c>
      <c r="B22" s="43" t="str">
        <f>Item10!B3</f>
        <v>Pelerine
- tecido em microfibra acetinada</v>
      </c>
      <c r="C22" s="42" t="str">
        <f>Item10!C3</f>
        <v>unidade</v>
      </c>
      <c r="D22" s="42">
        <f>Item10!D3</f>
        <v>56</v>
      </c>
      <c r="E22" s="44">
        <f>Item10!F3</f>
        <v>12</v>
      </c>
      <c r="F22" s="44">
        <f>(ROUND(E22,2)*D22)</f>
        <v>672</v>
      </c>
    </row>
    <row r="23" spans="1:6" ht="15.75">
      <c r="A23" s="39"/>
      <c r="B23" s="39"/>
      <c r="C23" s="73" t="s">
        <v>23</v>
      </c>
      <c r="D23" s="74"/>
      <c r="E23" s="75"/>
      <c r="F23" s="40">
        <f>SUM(F4:F22)</f>
        <v>19026.36</v>
      </c>
    </row>
  </sheetData>
  <mergeCells count="12">
    <mergeCell ref="C23:E23"/>
    <mergeCell ref="B5:F5"/>
    <mergeCell ref="B7:F7"/>
    <mergeCell ref="B9:F9"/>
    <mergeCell ref="B11:F11"/>
    <mergeCell ref="B13:F13"/>
    <mergeCell ref="B15:F15"/>
    <mergeCell ref="B17:F17"/>
    <mergeCell ref="B19:F19"/>
    <mergeCell ref="A1:F1"/>
    <mergeCell ref="B3:F3"/>
    <mergeCell ref="B21:F21"/>
  </mergeCells>
  <pageMargins left="0.51181102362204722" right="0.51181102362204722" top="0.78740157480314965" bottom="0.78740157480314965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38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49</v>
      </c>
      <c r="C3" s="63" t="s">
        <v>8</v>
      </c>
      <c r="D3" s="66">
        <v>600</v>
      </c>
      <c r="E3" s="69">
        <f>IF(C20&lt;=25%,D20,MIN(E20:F20))</f>
        <v>2.4700000000000002</v>
      </c>
      <c r="F3" s="69">
        <f>MIN(H3:H17)</f>
        <v>2.4346000000000001</v>
      </c>
      <c r="G3" s="5" t="s">
        <v>47</v>
      </c>
      <c r="H3" s="14">
        <f>2*1.2173</f>
        <v>2.4346000000000001</v>
      </c>
      <c r="I3" s="30" t="str">
        <f>IF(H3="","",(IF($C$20&lt;25%,"N/A",IF(H3&lt;=($D$20+$A$20),H3,"Descartado"))))</f>
        <v>N/A</v>
      </c>
    </row>
    <row r="4" spans="1:9">
      <c r="A4" s="59"/>
      <c r="B4" s="61"/>
      <c r="C4" s="64"/>
      <c r="D4" s="67"/>
      <c r="E4" s="70"/>
      <c r="F4" s="70"/>
      <c r="G4" s="5" t="s">
        <v>48</v>
      </c>
      <c r="H4" s="14">
        <v>2.5</v>
      </c>
      <c r="I4" s="30" t="str">
        <f t="shared" ref="I4:I17" si="0">IF(H4="","",(IF($C$20&lt;25%,"N/A",IF(H4&lt;=($D$20+$A$20),H4,"Descartado"))))</f>
        <v>N/A</v>
      </c>
    </row>
    <row r="5" spans="1:9">
      <c r="A5" s="59"/>
      <c r="B5" s="61"/>
      <c r="C5" s="64"/>
      <c r="D5" s="67"/>
      <c r="E5" s="70"/>
      <c r="F5" s="70"/>
      <c r="G5" s="5"/>
      <c r="H5" s="14"/>
      <c r="I5" s="30" t="str">
        <f t="shared" si="0"/>
        <v/>
      </c>
    </row>
    <row r="6" spans="1:9">
      <c r="A6" s="59"/>
      <c r="B6" s="61"/>
      <c r="C6" s="64"/>
      <c r="D6" s="67"/>
      <c r="E6" s="70"/>
      <c r="F6" s="70"/>
      <c r="G6" s="5"/>
      <c r="H6" s="14"/>
      <c r="I6" s="30" t="str">
        <f t="shared" si="0"/>
        <v/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34</v>
      </c>
      <c r="H19" s="54"/>
      <c r="I19" s="32"/>
    </row>
    <row r="20" spans="1:11">
      <c r="A20" s="20">
        <f>IF(B20&lt;2,"N/A",(STDEV(H3:H17)))</f>
        <v>4.6244783489600143E-2</v>
      </c>
      <c r="B20" s="20">
        <f>COUNT(H3:H17)</f>
        <v>2</v>
      </c>
      <c r="C20" s="21">
        <f>IF(B20&lt;2,"N/A",(A20/D20))</f>
        <v>1.8722584408744997E-2</v>
      </c>
      <c r="D20" s="22">
        <f>ROUND(AVERAGE(H3:H17),2)</f>
        <v>2.4700000000000002</v>
      </c>
      <c r="E20" s="23" t="str">
        <f>IFERROR(ROUND(IF(B20&lt;2,"N/A",(IF(C20&lt;=25%,"N/A",AVERAGE(I3:I17)))),2),"N/A")</f>
        <v>N/A</v>
      </c>
      <c r="F20" s="23">
        <f>ROUND(MEDIAN(H3:H17),2)</f>
        <v>2.4700000000000002</v>
      </c>
      <c r="G20" s="24" t="str">
        <f>INDEX(G3:G17,MATCH(H20,H3:H17,0))</f>
        <v>TVO</v>
      </c>
      <c r="H20" s="25">
        <f>MIN(H3:H17)</f>
        <v>2.4346000000000001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37</v>
      </c>
      <c r="H22" s="27">
        <f>IF(C20&lt;=25%,D20,MIN(E20:F20))</f>
        <v>2.4700000000000002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1482.0000000000002</v>
      </c>
    </row>
    <row r="24" spans="1:11">
      <c r="B24" s="38"/>
      <c r="C24" s="38"/>
      <c r="D24" s="32"/>
      <c r="E24" s="32"/>
    </row>
    <row r="26" spans="1:11">
      <c r="A26" s="47" t="s">
        <v>25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26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27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28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29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30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31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28" sqref="A28:I2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39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50</v>
      </c>
      <c r="C3" s="63" t="s">
        <v>8</v>
      </c>
      <c r="D3" s="66">
        <v>90</v>
      </c>
      <c r="E3" s="69">
        <f>IF(C20&lt;=25%,D20,MIN(E20:F20))</f>
        <v>5.29</v>
      </c>
      <c r="F3" s="69">
        <f>MIN(H3:H17)</f>
        <v>4.5</v>
      </c>
      <c r="G3" s="5" t="s">
        <v>47</v>
      </c>
      <c r="H3" s="14">
        <f>5*1.2173</f>
        <v>6.0865</v>
      </c>
      <c r="I3" s="30" t="str">
        <f>IF(H3="","",(IF($C$20&lt;25%,"N/A",IF(H3&lt;=($D$20+$A$20),H3,"Descartado"))))</f>
        <v>N/A</v>
      </c>
    </row>
    <row r="4" spans="1:9">
      <c r="A4" s="59"/>
      <c r="B4" s="61"/>
      <c r="C4" s="64"/>
      <c r="D4" s="67"/>
      <c r="E4" s="70"/>
      <c r="F4" s="70"/>
      <c r="G4" s="5" t="s">
        <v>48</v>
      </c>
      <c r="H4" s="14">
        <v>4.5</v>
      </c>
      <c r="I4" s="30" t="str">
        <f t="shared" ref="I4:I17" si="0">IF(H4="","",(IF($C$20&lt;25%,"N/A",IF(H4&lt;=($D$20+$A$20),H4,"Descartado"))))</f>
        <v>N/A</v>
      </c>
    </row>
    <row r="5" spans="1:9">
      <c r="A5" s="59"/>
      <c r="B5" s="61"/>
      <c r="C5" s="64"/>
      <c r="D5" s="67"/>
      <c r="E5" s="70"/>
      <c r="F5" s="70"/>
      <c r="G5" s="5"/>
      <c r="H5" s="14"/>
      <c r="I5" s="30" t="str">
        <f t="shared" si="0"/>
        <v/>
      </c>
    </row>
    <row r="6" spans="1:9">
      <c r="A6" s="59"/>
      <c r="B6" s="61"/>
      <c r="C6" s="64"/>
      <c r="D6" s="67"/>
      <c r="E6" s="70"/>
      <c r="F6" s="70"/>
      <c r="G6" s="5"/>
      <c r="H6" s="14"/>
      <c r="I6" s="30" t="str">
        <f t="shared" si="0"/>
        <v/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34</v>
      </c>
      <c r="H19" s="54"/>
      <c r="I19" s="32"/>
    </row>
    <row r="20" spans="1:11">
      <c r="A20" s="20">
        <f>IF(B20&lt;2,"N/A",(STDEV(H3:H17)))</f>
        <v>1.1218249083524541</v>
      </c>
      <c r="B20" s="20">
        <f>COUNT(H3:H17)</f>
        <v>2</v>
      </c>
      <c r="C20" s="21">
        <f>IF(B20&lt;2,"N/A",(A20/D20))</f>
        <v>0.21206520006662649</v>
      </c>
      <c r="D20" s="22">
        <f>ROUND(AVERAGE(H3:H17),2)</f>
        <v>5.29</v>
      </c>
      <c r="E20" s="23" t="str">
        <f>IFERROR(ROUND(IF(B20&lt;2,"N/A",(IF(C20&lt;=25%,"N/A",AVERAGE(I3:I17)))),2),"N/A")</f>
        <v>N/A</v>
      </c>
      <c r="F20" s="23">
        <f>ROUND(MEDIAN(H3:H17),2)</f>
        <v>5.29</v>
      </c>
      <c r="G20" s="24" t="str">
        <f>INDEX(G3:G17,MATCH(H20,H3:H17,0))</f>
        <v>ABROLHOS</v>
      </c>
      <c r="H20" s="25">
        <f>MIN(H3:H17)</f>
        <v>4.5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37</v>
      </c>
      <c r="H22" s="27">
        <f>IF(C20&lt;=25%,D20,MIN(E20:F20))</f>
        <v>5.29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476.1</v>
      </c>
    </row>
    <row r="24" spans="1:11">
      <c r="B24" s="38"/>
      <c r="C24" s="38"/>
      <c r="D24" s="32"/>
      <c r="E24" s="32"/>
    </row>
    <row r="26" spans="1:11">
      <c r="A26" s="47" t="s">
        <v>25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26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27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28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29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30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31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40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51</v>
      </c>
      <c r="C3" s="63" t="s">
        <v>8</v>
      </c>
      <c r="D3" s="66">
        <v>1200</v>
      </c>
      <c r="E3" s="69">
        <f>IF(C20&lt;=25%,D20,MIN(E20:F20))</f>
        <v>14.26</v>
      </c>
      <c r="F3" s="69">
        <f>MIN(H3:H17)</f>
        <v>8.5211000000000006</v>
      </c>
      <c r="G3" s="5" t="s">
        <v>47</v>
      </c>
      <c r="H3" s="14">
        <f>7*1.2173</f>
        <v>8.5211000000000006</v>
      </c>
      <c r="I3" s="30">
        <f>IF(H3="","",(IF($C$20&lt;25%,"N/A",IF(H3&lt;=($D$20+$A$20),H3,"Descartado"))))</f>
        <v>8.5211000000000006</v>
      </c>
    </row>
    <row r="4" spans="1:9">
      <c r="A4" s="59"/>
      <c r="B4" s="61"/>
      <c r="C4" s="64"/>
      <c r="D4" s="67"/>
      <c r="E4" s="70"/>
      <c r="F4" s="70"/>
      <c r="G4" s="5" t="s">
        <v>48</v>
      </c>
      <c r="H4" s="14">
        <v>20</v>
      </c>
      <c r="I4" s="30">
        <f t="shared" ref="I4:I17" si="0">IF(H4="","",(IF($C$20&lt;25%,"N/A",IF(H4&lt;=($D$20+$A$20),H4,"Descartado"))))</f>
        <v>20</v>
      </c>
    </row>
    <row r="5" spans="1:9">
      <c r="A5" s="59"/>
      <c r="B5" s="61"/>
      <c r="C5" s="64"/>
      <c r="D5" s="67"/>
      <c r="E5" s="70"/>
      <c r="F5" s="70"/>
      <c r="G5" s="5"/>
      <c r="H5" s="14"/>
      <c r="I5" s="30" t="str">
        <f t="shared" si="0"/>
        <v/>
      </c>
    </row>
    <row r="6" spans="1:9">
      <c r="A6" s="59"/>
      <c r="B6" s="61"/>
      <c r="C6" s="64"/>
      <c r="D6" s="67"/>
      <c r="E6" s="70"/>
      <c r="F6" s="70"/>
      <c r="G6" s="5"/>
      <c r="H6" s="14"/>
      <c r="I6" s="30" t="str">
        <f t="shared" si="0"/>
        <v/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34</v>
      </c>
      <c r="H19" s="54"/>
      <c r="I19" s="32"/>
    </row>
    <row r="20" spans="1:11">
      <c r="A20" s="20">
        <f>IF(B20&lt;2,"N/A",(STDEV(H3:H17)))</f>
        <v>8.116808030562261</v>
      </c>
      <c r="B20" s="20">
        <f>COUNT(H3:H17)</f>
        <v>2</v>
      </c>
      <c r="C20" s="21">
        <f>IF(B20&lt;2,"N/A",(A20/D20))</f>
        <v>0.5692011241628514</v>
      </c>
      <c r="D20" s="22">
        <f>ROUND(AVERAGE(H3:H17),2)</f>
        <v>14.26</v>
      </c>
      <c r="E20" s="23">
        <f>IFERROR(ROUND(IF(B20&lt;2,"N/A",(IF(C20&lt;=25%,"N/A",AVERAGE(I3:I17)))),2),"N/A")</f>
        <v>14.26</v>
      </c>
      <c r="F20" s="23">
        <f>ROUND(MEDIAN(H3:H17),2)</f>
        <v>14.26</v>
      </c>
      <c r="G20" s="24" t="str">
        <f>INDEX(G3:G17,MATCH(H20,H3:H17,0))</f>
        <v>TVO</v>
      </c>
      <c r="H20" s="25">
        <f>MIN(H3:H17)</f>
        <v>8.5211000000000006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37</v>
      </c>
      <c r="H22" s="27">
        <f>IF(C20&lt;=25%,D20,MIN(E20:F20))</f>
        <v>14.26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17112</v>
      </c>
    </row>
    <row r="24" spans="1:11">
      <c r="B24" s="38"/>
      <c r="C24" s="38"/>
      <c r="D24" s="32"/>
      <c r="E24" s="32"/>
    </row>
    <row r="26" spans="1:11">
      <c r="A26" s="47" t="s">
        <v>25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26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27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28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29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30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31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41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56</v>
      </c>
      <c r="C3" s="63" t="s">
        <v>8</v>
      </c>
      <c r="D3" s="66">
        <v>30</v>
      </c>
      <c r="E3" s="69">
        <f>IF(C20&lt;=25%,D20,MIN(E20:F20))</f>
        <v>5.65</v>
      </c>
      <c r="F3" s="69">
        <f>MIN(H3:H17)</f>
        <v>4</v>
      </c>
      <c r="G3" s="5" t="s">
        <v>47</v>
      </c>
      <c r="H3" s="14">
        <f>6*1.2173</f>
        <v>7.3038000000000007</v>
      </c>
      <c r="I3" s="30">
        <f>IF(H3="","",(IF($C$20&lt;25%,"N/A",IF(H3&lt;=($D$20+$A$20),H3,"Descartado"))))</f>
        <v>7.3038000000000007</v>
      </c>
    </row>
    <row r="4" spans="1:9">
      <c r="A4" s="59"/>
      <c r="B4" s="61"/>
      <c r="C4" s="64"/>
      <c r="D4" s="67"/>
      <c r="E4" s="70"/>
      <c r="F4" s="70"/>
      <c r="G4" s="5" t="s">
        <v>48</v>
      </c>
      <c r="H4" s="14">
        <v>4</v>
      </c>
      <c r="I4" s="30">
        <f t="shared" ref="I4:I17" si="0">IF(H4="","",(IF($C$20&lt;25%,"N/A",IF(H4&lt;=($D$20+$A$20),H4,"Descartado"))))</f>
        <v>4</v>
      </c>
    </row>
    <row r="5" spans="1:9">
      <c r="A5" s="59"/>
      <c r="B5" s="61"/>
      <c r="C5" s="64"/>
      <c r="D5" s="67"/>
      <c r="E5" s="70"/>
      <c r="F5" s="70"/>
      <c r="G5" s="5"/>
      <c r="H5" s="14"/>
      <c r="I5" s="30" t="str">
        <f t="shared" si="0"/>
        <v/>
      </c>
    </row>
    <row r="6" spans="1:9">
      <c r="A6" s="59"/>
      <c r="B6" s="61"/>
      <c r="C6" s="64"/>
      <c r="D6" s="67"/>
      <c r="E6" s="70"/>
      <c r="F6" s="70"/>
      <c r="G6" s="5"/>
      <c r="H6" s="14"/>
      <c r="I6" s="30" t="str">
        <f t="shared" si="0"/>
        <v/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34</v>
      </c>
      <c r="H19" s="54"/>
      <c r="I19" s="32"/>
    </row>
    <row r="20" spans="1:11">
      <c r="A20" s="20">
        <f>IF(B20&lt;2,"N/A",(STDEV(H3:H17)))</f>
        <v>2.3361393836841162</v>
      </c>
      <c r="B20" s="20">
        <f>COUNT(H3:H17)</f>
        <v>2</v>
      </c>
      <c r="C20" s="21">
        <f>IF(B20&lt;2,"N/A",(A20/D20))</f>
        <v>0.41347599711223293</v>
      </c>
      <c r="D20" s="22">
        <f>ROUND(AVERAGE(H3:H17),2)</f>
        <v>5.65</v>
      </c>
      <c r="E20" s="23">
        <f>IFERROR(ROUND(IF(B20&lt;2,"N/A",(IF(C20&lt;=25%,"N/A",AVERAGE(I3:I17)))),2),"N/A")</f>
        <v>5.65</v>
      </c>
      <c r="F20" s="23">
        <f>ROUND(MEDIAN(H3:H17),2)</f>
        <v>5.65</v>
      </c>
      <c r="G20" s="24" t="str">
        <f>INDEX(G3:G17,MATCH(H20,H3:H17,0))</f>
        <v>ABROLHOS</v>
      </c>
      <c r="H20" s="25">
        <f>MIN(H3:H17)</f>
        <v>4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37</v>
      </c>
      <c r="H22" s="27">
        <f>IF(C20&lt;=25%,D20,MIN(E20:F20))</f>
        <v>5.65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169.5</v>
      </c>
    </row>
    <row r="24" spans="1:11">
      <c r="B24" s="38"/>
      <c r="C24" s="38"/>
      <c r="D24" s="32"/>
      <c r="E24" s="32"/>
    </row>
    <row r="26" spans="1:11">
      <c r="A26" s="47" t="s">
        <v>25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26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27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28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29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30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31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5" sqref="H5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42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52</v>
      </c>
      <c r="C3" s="63" t="s">
        <v>8</v>
      </c>
      <c r="D3" s="66">
        <v>30</v>
      </c>
      <c r="E3" s="69">
        <f>IF(C20&lt;=25%,D20,MIN(E20:F20))</f>
        <v>15.96</v>
      </c>
      <c r="F3" s="69">
        <f>MIN(H3:H17)</f>
        <v>10</v>
      </c>
      <c r="G3" s="5" t="s">
        <v>47</v>
      </c>
      <c r="H3" s="14">
        <f>18*1.2173</f>
        <v>21.9114</v>
      </c>
      <c r="I3" s="30">
        <f>IF(H3="","",(IF($C$20&lt;25%,"N/A",IF(H3&lt;=($D$20+$A$20),H3,"Descartado"))))</f>
        <v>21.9114</v>
      </c>
    </row>
    <row r="4" spans="1:9">
      <c r="A4" s="59"/>
      <c r="B4" s="61"/>
      <c r="C4" s="64"/>
      <c r="D4" s="67"/>
      <c r="E4" s="70"/>
      <c r="F4" s="70"/>
      <c r="G4" s="5" t="s">
        <v>48</v>
      </c>
      <c r="H4" s="14">
        <v>10</v>
      </c>
      <c r="I4" s="30">
        <f t="shared" ref="I4:I17" si="0">IF(H4="","",(IF($C$20&lt;25%,"N/A",IF(H4&lt;=($D$20+$A$20),H4,"Descartado"))))</f>
        <v>10</v>
      </c>
    </row>
    <row r="5" spans="1:9">
      <c r="A5" s="59"/>
      <c r="B5" s="61"/>
      <c r="C5" s="64"/>
      <c r="D5" s="67"/>
      <c r="E5" s="70"/>
      <c r="F5" s="70"/>
      <c r="G5" s="5"/>
      <c r="H5" s="14"/>
      <c r="I5" s="30" t="str">
        <f t="shared" si="0"/>
        <v/>
      </c>
    </row>
    <row r="6" spans="1:9">
      <c r="A6" s="59"/>
      <c r="B6" s="61"/>
      <c r="C6" s="64"/>
      <c r="D6" s="67"/>
      <c r="E6" s="70"/>
      <c r="F6" s="70"/>
      <c r="G6" s="5"/>
      <c r="H6" s="14"/>
      <c r="I6" s="30" t="str">
        <f t="shared" si="0"/>
        <v/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34</v>
      </c>
      <c r="H19" s="54"/>
      <c r="I19" s="32"/>
    </row>
    <row r="20" spans="1:11">
      <c r="A20" s="20">
        <f>IF(B20&lt;2,"N/A",(STDEV(H3:H17)))</f>
        <v>8.4226317134254405</v>
      </c>
      <c r="B20" s="20">
        <f>COUNT(H3:H17)</f>
        <v>2</v>
      </c>
      <c r="C20" s="21">
        <f>IF(B20&lt;2,"N/A",(A20/D20))</f>
        <v>0.52773381663066665</v>
      </c>
      <c r="D20" s="22">
        <f>ROUND(AVERAGE(H3:H17),2)</f>
        <v>15.96</v>
      </c>
      <c r="E20" s="23">
        <f>IFERROR(ROUND(IF(B20&lt;2,"N/A",(IF(C20&lt;=25%,"N/A",AVERAGE(I3:I17)))),2),"N/A")</f>
        <v>15.96</v>
      </c>
      <c r="F20" s="23">
        <f>ROUND(MEDIAN(H3:H17),2)</f>
        <v>15.96</v>
      </c>
      <c r="G20" s="24" t="str">
        <f>INDEX(G3:G17,MATCH(H20,H3:H17,0))</f>
        <v>ABROLHOS</v>
      </c>
      <c r="H20" s="25">
        <f>MIN(H3:H17)</f>
        <v>10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37</v>
      </c>
      <c r="H22" s="27">
        <f>IF(C20&lt;=25%,D20,MIN(E20:F20))</f>
        <v>15.96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478.8</v>
      </c>
    </row>
    <row r="24" spans="1:11">
      <c r="B24" s="38"/>
      <c r="C24" s="38"/>
      <c r="D24" s="32"/>
      <c r="E24" s="32"/>
    </row>
    <row r="26" spans="1:11">
      <c r="A26" s="47" t="s">
        <v>25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26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27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28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29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30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31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5" sqref="H5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43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53</v>
      </c>
      <c r="C3" s="63" t="s">
        <v>8</v>
      </c>
      <c r="D3" s="66">
        <v>45</v>
      </c>
      <c r="E3" s="69">
        <f>IF(C20&lt;=25%,D20,MIN(E20:F20))</f>
        <v>18.39</v>
      </c>
      <c r="F3" s="69">
        <f>MIN(H3:H17)</f>
        <v>10</v>
      </c>
      <c r="G3" s="5" t="s">
        <v>47</v>
      </c>
      <c r="H3" s="14">
        <f>22*1.2173</f>
        <v>26.7806</v>
      </c>
      <c r="I3" s="30">
        <f>IF(H3="","",(IF($C$20&lt;25%,"N/A",IF(H3&lt;=($D$20+$A$20),H3,"Descartado"))))</f>
        <v>26.7806</v>
      </c>
    </row>
    <row r="4" spans="1:9">
      <c r="A4" s="59"/>
      <c r="B4" s="61"/>
      <c r="C4" s="64"/>
      <c r="D4" s="67"/>
      <c r="E4" s="70"/>
      <c r="F4" s="70"/>
      <c r="G4" s="5" t="s">
        <v>48</v>
      </c>
      <c r="H4" s="14">
        <v>10</v>
      </c>
      <c r="I4" s="30">
        <f t="shared" ref="I4:I17" si="0">IF(H4="","",(IF($C$20&lt;25%,"N/A",IF(H4&lt;=($D$20+$A$20),H4,"Descartado"))))</f>
        <v>10</v>
      </c>
    </row>
    <row r="5" spans="1:9">
      <c r="A5" s="59"/>
      <c r="B5" s="61"/>
      <c r="C5" s="64"/>
      <c r="D5" s="67"/>
      <c r="E5" s="70"/>
      <c r="F5" s="70"/>
      <c r="G5" s="5"/>
      <c r="H5" s="14"/>
      <c r="I5" s="30" t="str">
        <f t="shared" si="0"/>
        <v/>
      </c>
    </row>
    <row r="6" spans="1:9">
      <c r="A6" s="59"/>
      <c r="B6" s="61"/>
      <c r="C6" s="64"/>
      <c r="D6" s="67"/>
      <c r="E6" s="70"/>
      <c r="F6" s="70"/>
      <c r="G6" s="5"/>
      <c r="H6" s="14"/>
      <c r="I6" s="30" t="str">
        <f t="shared" si="0"/>
        <v/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34</v>
      </c>
      <c r="H19" s="54"/>
      <c r="I19" s="32"/>
    </row>
    <row r="20" spans="1:11">
      <c r="A20" s="20">
        <f>IF(B20&lt;2,"N/A",(STDEV(H3:H17)))</f>
        <v>11.86567605237898</v>
      </c>
      <c r="B20" s="20">
        <f>COUNT(H3:H17)</f>
        <v>2</v>
      </c>
      <c r="C20" s="21">
        <f>IF(B20&lt;2,"N/A",(A20/D20))</f>
        <v>0.64522436391402826</v>
      </c>
      <c r="D20" s="22">
        <f>ROUND(AVERAGE(H3:H17),2)</f>
        <v>18.39</v>
      </c>
      <c r="E20" s="23">
        <f>IFERROR(ROUND(IF(B20&lt;2,"N/A",(IF(C20&lt;=25%,"N/A",AVERAGE(I3:I17)))),2),"N/A")</f>
        <v>18.39</v>
      </c>
      <c r="F20" s="23">
        <f>ROUND(MEDIAN(H3:H17),2)</f>
        <v>18.39</v>
      </c>
      <c r="G20" s="24" t="str">
        <f>INDEX(G3:G17,MATCH(H20,H3:H17,0))</f>
        <v>ABROLHOS</v>
      </c>
      <c r="H20" s="25">
        <f>MIN(H3:H17)</f>
        <v>10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37</v>
      </c>
      <c r="H22" s="27">
        <f>IF(C20&lt;=25%,D20,MIN(E20:F20))</f>
        <v>18.39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827.55000000000007</v>
      </c>
    </row>
    <row r="24" spans="1:11">
      <c r="B24" s="38"/>
      <c r="C24" s="38"/>
      <c r="D24" s="32"/>
      <c r="E24" s="32"/>
    </row>
    <row r="26" spans="1:11">
      <c r="A26" s="47" t="s">
        <v>25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26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27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28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29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30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31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5" sqref="H5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44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54</v>
      </c>
      <c r="C3" s="63" t="s">
        <v>8</v>
      </c>
      <c r="D3" s="66">
        <v>20</v>
      </c>
      <c r="E3" s="69">
        <f>IF(C20&lt;=25%,D20,MIN(E20:F20))</f>
        <v>53.13</v>
      </c>
      <c r="F3" s="69">
        <f>MIN(H3:H17)</f>
        <v>46.257400000000004</v>
      </c>
      <c r="G3" s="5" t="s">
        <v>47</v>
      </c>
      <c r="H3" s="14">
        <f>38*1.2173</f>
        <v>46.257400000000004</v>
      </c>
      <c r="I3" s="30" t="str">
        <f>IF(H3="","",(IF($C$20&lt;25%,"N/A",IF(H3&lt;=($D$20+$A$20),H3,"Descartado"))))</f>
        <v>N/A</v>
      </c>
    </row>
    <row r="4" spans="1:9">
      <c r="A4" s="59"/>
      <c r="B4" s="61"/>
      <c r="C4" s="64"/>
      <c r="D4" s="67"/>
      <c r="E4" s="70"/>
      <c r="F4" s="70"/>
      <c r="G4" s="5" t="s">
        <v>48</v>
      </c>
      <c r="H4" s="14">
        <v>60</v>
      </c>
      <c r="I4" s="30" t="str">
        <f t="shared" ref="I4:I17" si="0">IF(H4="","",(IF($C$20&lt;25%,"N/A",IF(H4&lt;=($D$20+$A$20),H4,"Descartado"))))</f>
        <v>N/A</v>
      </c>
    </row>
    <row r="5" spans="1:9">
      <c r="A5" s="59"/>
      <c r="B5" s="61"/>
      <c r="C5" s="64"/>
      <c r="D5" s="67"/>
      <c r="E5" s="70"/>
      <c r="F5" s="70"/>
      <c r="G5" s="5"/>
      <c r="H5" s="14"/>
      <c r="I5" s="30" t="str">
        <f t="shared" si="0"/>
        <v/>
      </c>
    </row>
    <row r="6" spans="1:9">
      <c r="A6" s="59"/>
      <c r="B6" s="61"/>
      <c r="C6" s="64"/>
      <c r="D6" s="67"/>
      <c r="E6" s="70"/>
      <c r="F6" s="70"/>
      <c r="G6" s="5"/>
      <c r="H6" s="14"/>
      <c r="I6" s="30" t="str">
        <f t="shared" si="0"/>
        <v/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34</v>
      </c>
      <c r="H19" s="54"/>
      <c r="I19" s="32"/>
    </row>
    <row r="20" spans="1:11">
      <c r="A20" s="20">
        <f>IF(B20&lt;2,"N/A",(STDEV(H3:H17)))</f>
        <v>9.7174856511342398</v>
      </c>
      <c r="B20" s="20">
        <f>COUNT(H3:H17)</f>
        <v>2</v>
      </c>
      <c r="C20" s="21">
        <f>IF(B20&lt;2,"N/A",(A20/D20))</f>
        <v>0.18290016282955465</v>
      </c>
      <c r="D20" s="22">
        <f>ROUND(AVERAGE(H3:H17),2)</f>
        <v>53.13</v>
      </c>
      <c r="E20" s="23" t="str">
        <f>IFERROR(ROUND(IF(B20&lt;2,"N/A",(IF(C20&lt;=25%,"N/A",AVERAGE(I3:I17)))),2),"N/A")</f>
        <v>N/A</v>
      </c>
      <c r="F20" s="23">
        <f>ROUND(MEDIAN(H3:H17),2)</f>
        <v>53.13</v>
      </c>
      <c r="G20" s="24" t="str">
        <f>INDEX(G3:G17,MATCH(H20,H3:H17,0))</f>
        <v>TVO</v>
      </c>
      <c r="H20" s="25">
        <f>MIN(H3:H17)</f>
        <v>46.257400000000004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37</v>
      </c>
      <c r="H22" s="27">
        <f>IF(C20&lt;=25%,D20,MIN(E20:F20))</f>
        <v>53.13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1062.6000000000001</v>
      </c>
    </row>
    <row r="24" spans="1:11">
      <c r="B24" s="38"/>
      <c r="C24" s="38"/>
      <c r="D24" s="32"/>
      <c r="E24" s="32"/>
    </row>
    <row r="26" spans="1:11">
      <c r="A26" s="47" t="s">
        <v>25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26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27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28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29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30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31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5" sqref="H5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45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57</v>
      </c>
      <c r="C3" s="63" t="s">
        <v>8</v>
      </c>
      <c r="D3" s="66">
        <v>104</v>
      </c>
      <c r="E3" s="69">
        <f>IF(C20&lt;=25%,D20,MIN(E20:F20))</f>
        <v>21.02</v>
      </c>
      <c r="F3" s="69">
        <f>MIN(H3:H17)</f>
        <v>17.042200000000001</v>
      </c>
      <c r="G3" s="5" t="s">
        <v>47</v>
      </c>
      <c r="H3" s="14">
        <f>14*1.2173</f>
        <v>17.042200000000001</v>
      </c>
      <c r="I3" s="30">
        <f>IF(H3="","",(IF($C$20&lt;25%,"N/A",IF(H3&lt;=($D$20+$A$20),H3,"Descartado"))))</f>
        <v>17.042200000000001</v>
      </c>
    </row>
    <row r="4" spans="1:9">
      <c r="A4" s="59"/>
      <c r="B4" s="61"/>
      <c r="C4" s="64"/>
      <c r="D4" s="67"/>
      <c r="E4" s="70"/>
      <c r="F4" s="70"/>
      <c r="G4" s="5" t="s">
        <v>48</v>
      </c>
      <c r="H4" s="14">
        <v>25</v>
      </c>
      <c r="I4" s="30">
        <f t="shared" ref="I4:I17" si="0">IF(H4="","",(IF($C$20&lt;25%,"N/A",IF(H4&lt;=($D$20+$A$20),H4,"Descartado"))))</f>
        <v>25</v>
      </c>
    </row>
    <row r="5" spans="1:9">
      <c r="A5" s="59"/>
      <c r="B5" s="61"/>
      <c r="C5" s="64"/>
      <c r="D5" s="67"/>
      <c r="E5" s="70"/>
      <c r="F5" s="70"/>
      <c r="G5" s="5"/>
      <c r="H5" s="14"/>
      <c r="I5" s="30" t="str">
        <f t="shared" si="0"/>
        <v/>
      </c>
    </row>
    <row r="6" spans="1:9">
      <c r="A6" s="59"/>
      <c r="B6" s="61"/>
      <c r="C6" s="64"/>
      <c r="D6" s="67"/>
      <c r="E6" s="70"/>
      <c r="F6" s="70"/>
      <c r="G6" s="5"/>
      <c r="H6" s="14"/>
      <c r="I6" s="30" t="str">
        <f t="shared" si="0"/>
        <v/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34</v>
      </c>
      <c r="H19" s="54"/>
      <c r="I19" s="32"/>
    </row>
    <row r="20" spans="1:11">
      <c r="A20" s="20">
        <f>IF(B20&lt;2,"N/A",(STDEV(H3:H17)))</f>
        <v>5.6270143433263033</v>
      </c>
      <c r="B20" s="20">
        <f>COUNT(H3:H17)</f>
        <v>2</v>
      </c>
      <c r="C20" s="21">
        <f>IF(B20&lt;2,"N/A",(A20/D20))</f>
        <v>0.26769811338374422</v>
      </c>
      <c r="D20" s="22">
        <f>ROUND(AVERAGE(H3:H17),2)</f>
        <v>21.02</v>
      </c>
      <c r="E20" s="23">
        <f>IFERROR(ROUND(IF(B20&lt;2,"N/A",(IF(C20&lt;=25%,"N/A",AVERAGE(I3:I17)))),2),"N/A")</f>
        <v>21.02</v>
      </c>
      <c r="F20" s="23">
        <f>ROUND(MEDIAN(H3:H17),2)</f>
        <v>21.02</v>
      </c>
      <c r="G20" s="24" t="str">
        <f>INDEX(G3:G17,MATCH(H20,H3:H17,0))</f>
        <v>TVO</v>
      </c>
      <c r="H20" s="25">
        <f>MIN(H3:H17)</f>
        <v>17.042200000000001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37</v>
      </c>
      <c r="H22" s="27">
        <f>IF(C20&lt;=25%,D20,MIN(E20:F20))</f>
        <v>21.02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2186.08</v>
      </c>
    </row>
    <row r="24" spans="1:11">
      <c r="B24" s="38"/>
      <c r="C24" s="38"/>
      <c r="D24" s="32"/>
      <c r="E24" s="32"/>
    </row>
    <row r="26" spans="1:11">
      <c r="A26" s="47" t="s">
        <v>25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26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27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28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29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30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31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2</vt:i4>
      </vt:variant>
    </vt:vector>
  </HeadingPairs>
  <TitlesOfParts>
    <vt:vector size="14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Carlos Alberto</cp:lastModifiedBy>
  <cp:lastPrinted>2019-03-26T20:50:54Z</cp:lastPrinted>
  <dcterms:created xsi:type="dcterms:W3CDTF">2019-01-16T20:04:04Z</dcterms:created>
  <dcterms:modified xsi:type="dcterms:W3CDTF">2022-10-12T12:59:19Z</dcterms:modified>
</cp:coreProperties>
</file>