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95" yWindow="5715" windowWidth="16380" windowHeight="8190" tabRatio="500"/>
  </bookViews>
  <sheets>
    <sheet name="Item1" sheetId="1" r:id="rId1"/>
    <sheet name="TOTAL" sheetId="2" r:id="rId2"/>
  </sheets>
  <definedNames>
    <definedName name="_xlnm.Print_Area" localSheetId="1">TOTAL!$A$1:$F$19</definedName>
    <definedName name="Print_Area_0" localSheetId="1">TOTAL!$A$9:$F$19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7" i="1"/>
  <c r="H6" i="1"/>
  <c r="H5" i="1"/>
  <c r="H4" i="1"/>
  <c r="H3" i="1"/>
  <c r="D18" i="2" l="1"/>
  <c r="C18" i="2"/>
  <c r="B18" i="2"/>
  <c r="D11" i="2"/>
  <c r="C11" i="2"/>
  <c r="B11" i="2"/>
  <c r="H20" i="1"/>
  <c r="G20" i="1" s="1"/>
  <c r="B17" i="2" s="1"/>
  <c r="F20" i="1"/>
  <c r="D20" i="1"/>
  <c r="B20" i="1"/>
  <c r="I17" i="1"/>
  <c r="I16" i="1"/>
  <c r="I15" i="1"/>
  <c r="I14" i="1"/>
  <c r="F3" i="1"/>
  <c r="E18" i="2" s="1"/>
  <c r="F18" i="2" l="1"/>
  <c r="F19" i="2" s="1"/>
  <c r="A20" i="1"/>
  <c r="C20" i="1" s="1"/>
  <c r="I12" i="1" l="1"/>
  <c r="I13" i="1"/>
  <c r="I10" i="1"/>
  <c r="I11" i="1"/>
  <c r="I8" i="1"/>
  <c r="I9" i="1"/>
  <c r="I6" i="1"/>
  <c r="I7" i="1"/>
  <c r="I4" i="1"/>
  <c r="I5" i="1"/>
  <c r="I3" i="1"/>
  <c r="E20" i="1" l="1"/>
  <c r="H22" i="1" s="1"/>
  <c r="H23" i="1" s="1"/>
  <c r="E3" i="1" l="1"/>
  <c r="E11" i="2" s="1"/>
  <c r="F11" i="2" s="1"/>
  <c r="F12" i="2" s="1"/>
</calcChain>
</file>

<file path=xl/sharedStrings.xml><?xml version="1.0" encoding="utf-8"?>
<sst xmlns="http://schemas.openxmlformats.org/spreadsheetml/2006/main" count="56" uniqueCount="50">
  <si>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</si>
  <si>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</si>
  <si>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</si>
  <si>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</si>
  <si>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</si>
  <si>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</si>
  <si>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</si>
  <si>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</si>
  <si>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</si>
  <si>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</si>
  <si>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</si>
  <si>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</si>
  <si>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</si>
  <si>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</si>
  <si>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</si>
  <si>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</si>
  <si>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</si>
  <si>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</si>
  <si>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</si>
  <si>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</si>
  <si>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</si>
  <si>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</si>
  <si>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</si>
  <si>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</si>
  <si>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</si>
  <si>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</si>
  <si>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</si>
  <si>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</si>
  <si>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</si>
  <si>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</si>
  <si>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</si>
  <si>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</si>
  <si>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</si>
  <si>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</si>
  <si>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</si>
  <si>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</si>
  <si>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</si>
  <si>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Contratação de empresa para execução dos serviços de manutenção preventiva e corretiva dos elevadores existentes no Anexo III da Sede deste Tribunal. Marca Thyssenkrupp Elevadores
Tipo: COMERCIAL – Social/Serviço - 02 elevadores 
- Capacidade: 750 Kg ou 10 pessoas;
- Velocidade nominal: 105 m/min ou 1,75 m/s;
- Destinação comercial;
- Acionamento em corrente alternada com variação de voltagem e variação de freqüência (V.V.V.F.);
- Número de paradas: 09 (nove);
- Percurso total: 25,91 m</t>
  </si>
  <si>
    <t>MESES</t>
  </si>
  <si>
    <t>ENGELEV LTDA - PE 25/2022 TJ RN</t>
  </si>
  <si>
    <t>GRALHA ELEVADORES LTDA- PE 25/2022 TJ RN</t>
  </si>
  <si>
    <t>ELEVADORES MASTER LTDA - PE 25/2022 TJ RN</t>
  </si>
  <si>
    <t>A.S.R. COM E PREST SERV ENG -PE 25/2022 TJ RN</t>
  </si>
  <si>
    <t>MANUTECNICA MANUTENCAO - PE 47/2021 ATUALIZADO</t>
  </si>
  <si>
    <t>PREVELAR SOLUCOES ENG - PE47/2022 ATUALIZADO</t>
  </si>
  <si>
    <t>ROBSON S LACERDA - PE47/2022 ATUALIZADO</t>
  </si>
  <si>
    <t>ELEVADORES SUPER LTDA -  PE 25/2022 TJ RN</t>
  </si>
  <si>
    <t>ELEVADORES VILLARTA LTDA -- PE 25/2022 TJ RN</t>
  </si>
  <si>
    <t>ENGEL TECH ENG ELEVAD -PE 47/2022 ATUAL</t>
  </si>
  <si>
    <t>ABSOLUTA ELEV - PE 01/2022 CAU SP - ATUAL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</si>
</sst>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2762250</xdr:colOff>
      <xdr:row>0</xdr:row>
      <xdr:rowOff>0</xdr:rowOff>
    </xdr:from>
    <xdr:to>
      <xdr:col>2</xdr:col>
      <xdr:colOff>323850</xdr:colOff>
      <xdr:row>7</xdr:row>
      <xdr:rowOff>141916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1850" y="0"/>
          <a:ext cx="3352800" cy="127539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tabSelected="1" view="pageBreakPreview" topLeftCell="B1" zoomScaleNormal="100" workbookViewId="0">
      <selection activeCell="G12" sqref="G1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37</v>
      </c>
      <c r="C3" s="51" t="s">
        <v>38</v>
      </c>
      <c r="D3" s="52">
        <v>30</v>
      </c>
      <c r="E3" s="53">
        <f>IF(C20&lt;=25%,D20,MIN(E20:F20))</f>
        <v>1667.61</v>
      </c>
      <c r="F3" s="53">
        <f>MIN(H3:H17)</f>
        <v>1093.48</v>
      </c>
      <c r="G3" s="6" t="s">
        <v>46</v>
      </c>
      <c r="H3" s="7">
        <f>2*588.89</f>
        <v>1177.78</v>
      </c>
      <c r="I3" s="8">
        <f t="shared" ref="I3:I17" si="0">IF(H3="","",(IF($C$20&lt;25%,"N/A",IF(H3&lt;=($D$20+$A$20),H3,"Descartado"))))</f>
        <v>1177.78</v>
      </c>
    </row>
    <row r="4" spans="1:9">
      <c r="A4" s="49"/>
      <c r="B4" s="50"/>
      <c r="C4" s="51"/>
      <c r="D4" s="52"/>
      <c r="E4" s="53"/>
      <c r="F4" s="53"/>
      <c r="G4" s="6" t="s">
        <v>47</v>
      </c>
      <c r="H4" s="7">
        <f>590*2</f>
        <v>1180</v>
      </c>
      <c r="I4" s="8">
        <f t="shared" si="0"/>
        <v>1180</v>
      </c>
    </row>
    <row r="5" spans="1:9">
      <c r="A5" s="49"/>
      <c r="B5" s="50"/>
      <c r="C5" s="51"/>
      <c r="D5" s="52"/>
      <c r="E5" s="53"/>
      <c r="F5" s="53"/>
      <c r="G5" s="6" t="s">
        <v>42</v>
      </c>
      <c r="H5" s="7">
        <f>1333.33*2</f>
        <v>2666.66</v>
      </c>
      <c r="I5" s="8" t="str">
        <f t="shared" si="0"/>
        <v>Descartado</v>
      </c>
    </row>
    <row r="6" spans="1:9">
      <c r="A6" s="49"/>
      <c r="B6" s="50"/>
      <c r="C6" s="51"/>
      <c r="D6" s="52"/>
      <c r="E6" s="53"/>
      <c r="F6" s="53"/>
      <c r="G6" s="6" t="s">
        <v>41</v>
      </c>
      <c r="H6" s="7">
        <f>908.33*2</f>
        <v>1816.66</v>
      </c>
      <c r="I6" s="8">
        <f t="shared" si="0"/>
        <v>1816.66</v>
      </c>
    </row>
    <row r="7" spans="1:9">
      <c r="A7" s="49"/>
      <c r="B7" s="50"/>
      <c r="C7" s="51"/>
      <c r="D7" s="52"/>
      <c r="E7" s="53"/>
      <c r="F7" s="53"/>
      <c r="G7" s="6" t="s">
        <v>39</v>
      </c>
      <c r="H7" s="7">
        <f>996.94*2</f>
        <v>1993.88</v>
      </c>
      <c r="I7" s="8">
        <f t="shared" si="0"/>
        <v>1993.88</v>
      </c>
    </row>
    <row r="8" spans="1:9">
      <c r="A8" s="49"/>
      <c r="B8" s="50"/>
      <c r="C8" s="51"/>
      <c r="D8" s="52"/>
      <c r="E8" s="53"/>
      <c r="F8" s="53"/>
      <c r="G8" s="6" t="s">
        <v>40</v>
      </c>
      <c r="H8" s="7">
        <f>1194.44*2</f>
        <v>2388.88</v>
      </c>
      <c r="I8" s="8" t="str">
        <f t="shared" si="0"/>
        <v>Descartado</v>
      </c>
    </row>
    <row r="9" spans="1:9">
      <c r="A9" s="49"/>
      <c r="B9" s="50"/>
      <c r="C9" s="51"/>
      <c r="D9" s="52"/>
      <c r="E9" s="53"/>
      <c r="F9" s="53"/>
      <c r="G9" s="6" t="s">
        <v>49</v>
      </c>
      <c r="H9" s="7">
        <v>1093.48</v>
      </c>
      <c r="I9" s="8">
        <f t="shared" si="0"/>
        <v>1093.48</v>
      </c>
    </row>
    <row r="10" spans="1:9">
      <c r="A10" s="49"/>
      <c r="B10" s="50"/>
      <c r="C10" s="51"/>
      <c r="D10" s="52"/>
      <c r="E10" s="53"/>
      <c r="F10" s="53"/>
      <c r="G10" s="6" t="s">
        <v>43</v>
      </c>
      <c r="H10" s="7">
        <v>1856.23</v>
      </c>
      <c r="I10" s="8">
        <f t="shared" si="0"/>
        <v>1856.23</v>
      </c>
    </row>
    <row r="11" spans="1:9">
      <c r="A11" s="49"/>
      <c r="B11" s="50"/>
      <c r="C11" s="51"/>
      <c r="D11" s="52"/>
      <c r="E11" s="53"/>
      <c r="F11" s="53"/>
      <c r="G11" s="6" t="s">
        <v>44</v>
      </c>
      <c r="H11" s="7">
        <v>1898.43</v>
      </c>
      <c r="I11" s="8">
        <f t="shared" si="0"/>
        <v>1898.43</v>
      </c>
    </row>
    <row r="12" spans="1:9">
      <c r="A12" s="49"/>
      <c r="B12" s="50"/>
      <c r="C12" s="51"/>
      <c r="D12" s="52"/>
      <c r="E12" s="53"/>
      <c r="F12" s="53"/>
      <c r="G12" s="6" t="s">
        <v>45</v>
      </c>
      <c r="H12" s="7">
        <v>1996</v>
      </c>
      <c r="I12" s="8">
        <f t="shared" si="0"/>
        <v>1996</v>
      </c>
    </row>
    <row r="13" spans="1:9">
      <c r="A13" s="49"/>
      <c r="B13" s="50"/>
      <c r="C13" s="51"/>
      <c r="D13" s="52"/>
      <c r="E13" s="53"/>
      <c r="F13" s="53"/>
      <c r="G13" s="6" t="s">
        <v>48</v>
      </c>
      <c r="H13" s="7">
        <v>1996</v>
      </c>
      <c r="I13" s="8">
        <f t="shared" si="0"/>
        <v>1996</v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498.98103537108472</v>
      </c>
      <c r="B20" s="19">
        <f>COUNT(H3:H17)</f>
        <v>11</v>
      </c>
      <c r="C20" s="20">
        <f>IF(B20&lt;2,"N/A",(A20/D20))</f>
        <v>0.27356416412888418</v>
      </c>
      <c r="D20" s="21">
        <f>ROUND(AVERAGE(H3:H17),2)</f>
        <v>1824</v>
      </c>
      <c r="E20" s="22">
        <f>IFERROR(ROUND(IF(B20&lt;2,"N/A",(IF(C20&lt;=25%,"N/A",AVERAGE(I3:I17)))),2),"N/A")</f>
        <v>1667.61</v>
      </c>
      <c r="F20" s="22">
        <f>ROUND(MEDIAN(H3:H17),2)</f>
        <v>1898.43</v>
      </c>
      <c r="G20" s="23" t="str">
        <f>INDEX(G3:G17,MATCH(H20,H3:H17,0))</f>
        <v>ABSOLUTA ELEV - PE 01/2022 CAU SP - ATUAL</v>
      </c>
      <c r="H20" s="24">
        <f>MIN(H3:H17)</f>
        <v>1093.48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1667.61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50028.299999999996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view="pageBreakPreview" topLeftCell="A7" zoomScaleNormal="100" workbookViewId="0">
      <selection activeCell="B11" sqref="B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9.85546875" style="34" customWidth="1"/>
    <col min="7" max="14" width="9.140625" style="35"/>
    <col min="15" max="1024" width="9.140625" style="34"/>
  </cols>
  <sheetData>
    <row r="1" spans="1:7" ht="12.75" customHeight="1">
      <c r="A1" s="56"/>
      <c r="B1" s="56"/>
      <c r="C1" s="56"/>
      <c r="D1" s="56"/>
      <c r="E1" s="56"/>
      <c r="F1" s="56"/>
    </row>
    <row r="2" spans="1:7" ht="12.75" customHeight="1">
      <c r="A2" s="56"/>
      <c r="B2" s="56"/>
      <c r="C2" s="56"/>
      <c r="D2" s="56"/>
      <c r="E2" s="56"/>
      <c r="F2" s="56"/>
    </row>
    <row r="3" spans="1:7" ht="12.75" customHeight="1">
      <c r="A3" s="56"/>
      <c r="B3" s="56"/>
      <c r="C3" s="56"/>
      <c r="D3" s="56"/>
      <c r="E3" s="56"/>
      <c r="F3" s="56"/>
    </row>
    <row r="4" spans="1:7" ht="12.75" customHeight="1">
      <c r="A4" s="56"/>
      <c r="B4" s="56"/>
      <c r="C4" s="56"/>
      <c r="D4" s="56"/>
      <c r="E4" s="56"/>
      <c r="F4" s="56"/>
    </row>
    <row r="5" spans="1:7" ht="12.75" customHeight="1">
      <c r="A5" s="56"/>
      <c r="B5" s="56"/>
      <c r="C5" s="56"/>
      <c r="D5" s="56"/>
      <c r="E5" s="56"/>
      <c r="F5" s="56"/>
    </row>
    <row r="6" spans="1:7" ht="12.75" customHeight="1">
      <c r="A6" s="56"/>
      <c r="B6" s="56"/>
      <c r="C6" s="56"/>
      <c r="D6" s="56"/>
      <c r="E6" s="56"/>
      <c r="F6" s="56"/>
    </row>
    <row r="7" spans="1:7" ht="12.75" customHeight="1">
      <c r="A7" s="56"/>
      <c r="B7" s="56"/>
      <c r="C7" s="56"/>
      <c r="D7" s="56"/>
      <c r="E7" s="56"/>
      <c r="F7" s="56"/>
    </row>
    <row r="8" spans="1:7" ht="12.75" customHeight="1">
      <c r="A8" s="57"/>
      <c r="B8" s="57"/>
      <c r="C8" s="57"/>
      <c r="D8" s="57"/>
      <c r="E8" s="57"/>
      <c r="F8" s="57"/>
    </row>
    <row r="9" spans="1:7" ht="15.75" customHeight="1">
      <c r="A9" s="54" t="s">
        <v>26</v>
      </c>
      <c r="B9" s="54"/>
      <c r="C9" s="54"/>
      <c r="D9" s="54"/>
      <c r="E9" s="54"/>
      <c r="F9" s="54"/>
    </row>
    <row r="10" spans="1:7" ht="25.5">
      <c r="A10" s="36" t="s">
        <v>27</v>
      </c>
      <c r="B10" s="36" t="s">
        <v>28</v>
      </c>
      <c r="C10" s="36" t="s">
        <v>29</v>
      </c>
      <c r="D10" s="36" t="s">
        <v>30</v>
      </c>
      <c r="E10" s="36" t="s">
        <v>31</v>
      </c>
      <c r="F10" s="36" t="s">
        <v>32</v>
      </c>
    </row>
    <row r="11" spans="1:7" ht="114.75">
      <c r="A11" s="37">
        <v>1</v>
      </c>
      <c r="B11" s="38" t="str">
        <f>Item1!B3</f>
        <v>Contratação de empresa para execução dos serviços de manutenção preventiva e corretiva dos elevadores existentes no Anexo III da Sede deste Tribunal. Marca Thyssenkrupp Elevadores
Tipo: COMERCIAL – Social/Serviço - 02 elevadores 
- Capacidade: 750 Kg ou 10 pessoas;
- Velocidade nominal: 105 m/min ou 1,75 m/s;
- Destinação comercial;
- Acionamento em corrente alternada com variação de voltagem e variação de freqüência (V.V.V.F.);
- Número de paradas: 09 (nove);
- Percurso total: 25,91 m</v>
      </c>
      <c r="C11" s="37" t="str">
        <f>Item1!C3</f>
        <v>MESES</v>
      </c>
      <c r="D11" s="37">
        <f>Item1!D3</f>
        <v>30</v>
      </c>
      <c r="E11" s="39">
        <f>Item1!E3</f>
        <v>1667.61</v>
      </c>
      <c r="F11" s="39">
        <f>(ROUND(E11,2)*D11)</f>
        <v>50028.299999999996</v>
      </c>
      <c r="G11" s="40"/>
    </row>
    <row r="12" spans="1:7" ht="15.75" customHeight="1">
      <c r="A12" s="41"/>
      <c r="B12" s="41"/>
      <c r="C12" s="54" t="s">
        <v>33</v>
      </c>
      <c r="D12" s="54"/>
      <c r="E12" s="54"/>
      <c r="F12" s="42">
        <f>SUM(F11:F11)</f>
        <v>50028.299999999996</v>
      </c>
    </row>
    <row r="15" spans="1:7" ht="15.75" customHeight="1">
      <c r="A15" s="54" t="s">
        <v>34</v>
      </c>
      <c r="B15" s="54"/>
      <c r="C15" s="54"/>
      <c r="D15" s="54"/>
      <c r="E15" s="54"/>
      <c r="F15" s="54"/>
    </row>
    <row r="16" spans="1:7" ht="25.5">
      <c r="A16" s="36" t="s">
        <v>27</v>
      </c>
      <c r="B16" s="36" t="s">
        <v>28</v>
      </c>
      <c r="C16" s="36" t="s">
        <v>29</v>
      </c>
      <c r="D16" s="36" t="s">
        <v>30</v>
      </c>
      <c r="E16" s="36" t="s">
        <v>31</v>
      </c>
      <c r="F16" s="36" t="s">
        <v>32</v>
      </c>
    </row>
    <row r="17" spans="1:6" ht="17.25">
      <c r="A17" s="43" t="s">
        <v>35</v>
      </c>
      <c r="B17" s="55" t="str">
        <f>Item1!G20</f>
        <v>ABSOLUTA ELEV - PE 01/2022 CAU SP - ATUAL</v>
      </c>
      <c r="C17" s="55"/>
      <c r="D17" s="55"/>
      <c r="E17" s="55"/>
      <c r="F17" s="55"/>
    </row>
    <row r="18" spans="1:6" ht="114.75">
      <c r="A18" s="37">
        <v>1</v>
      </c>
      <c r="B18" s="38" t="str">
        <f>Item1!B3</f>
        <v>Contratação de empresa para execução dos serviços de manutenção preventiva e corretiva dos elevadores existentes no Anexo III da Sede deste Tribunal. Marca Thyssenkrupp Elevadores
Tipo: COMERCIAL – Social/Serviço - 02 elevadores 
- Capacidade: 750 Kg ou 10 pessoas;
- Velocidade nominal: 105 m/min ou 1,75 m/s;
- Destinação comercial;
- Acionamento em corrente alternada com variação de voltagem e variação de freqüência (V.V.V.F.);
- Número de paradas: 09 (nove);
- Percurso total: 25,91 m</v>
      </c>
      <c r="C18" s="37" t="str">
        <f>Item1!C3</f>
        <v>MESES</v>
      </c>
      <c r="D18" s="37">
        <f>Item1!D3</f>
        <v>30</v>
      </c>
      <c r="E18" s="39">
        <f>Item1!F3</f>
        <v>1093.48</v>
      </c>
      <c r="F18" s="39">
        <f>(ROUND(E18,2)*D18)</f>
        <v>32804.400000000001</v>
      </c>
    </row>
    <row r="19" spans="1:6" ht="30" customHeight="1">
      <c r="A19" s="41"/>
      <c r="B19" s="41"/>
      <c r="C19" s="54" t="s">
        <v>36</v>
      </c>
      <c r="D19" s="54"/>
      <c r="E19" s="54"/>
      <c r="F19" s="42">
        <f>SUM(F18:F18)</f>
        <v>32804.400000000001</v>
      </c>
    </row>
  </sheetData>
  <mergeCells count="13">
    <mergeCell ref="A1:F1"/>
    <mergeCell ref="A2:F2"/>
    <mergeCell ref="A3:F3"/>
    <mergeCell ref="A4:F4"/>
    <mergeCell ref="A5:F5"/>
    <mergeCell ref="A15:F15"/>
    <mergeCell ref="B17:F17"/>
    <mergeCell ref="C19:E19"/>
    <mergeCell ref="A6:F6"/>
    <mergeCell ref="A7:F7"/>
    <mergeCell ref="A8:F8"/>
    <mergeCell ref="A9:F9"/>
    <mergeCell ref="C12:E12"/>
  </mergeCells>
  <pageMargins left="0.51180555555555496" right="0.51180555555555496" top="0.78749999999999998" bottom="0.95416666666666705" header="0.51180555555555496" footer="0.78749999999999998"/>
  <pageSetup paperSize="9" scale="89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Item1</vt:lpstr>
      <vt:lpstr>TOTAL</vt:lpstr>
      <vt:lpstr>TOTAL!Area_de_impressao</vt:lpstr>
      <vt:lpstr>TOTAL!Print_Area_0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Cristiane Lima Silveira</cp:lastModifiedBy>
  <cp:revision>20</cp:revision>
  <cp:lastPrinted>2022-12-01T18:45:53Z</cp:lastPrinted>
  <dcterms:created xsi:type="dcterms:W3CDTF">2019-01-16T20:04:04Z</dcterms:created>
  <dcterms:modified xsi:type="dcterms:W3CDTF">2022-12-01T20:21:17Z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