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"/>
  </bookViews>
  <sheets>
    <sheet name="Item1" sheetId="70" r:id="rId1"/>
    <sheet name="Item2" sheetId="71" r:id="rId2"/>
    <sheet name="Item3" sheetId="72" r:id="rId3"/>
    <sheet name="TOTAL" sheetId="5" r:id="rId4"/>
    <sheet name="menores" sheetId="6" r:id="rId5"/>
  </sheets>
  <definedNames>
    <definedName name="_xlnm.Print_Area" localSheetId="4">menores!$A$1:$F$9</definedName>
    <definedName name="_xlnm.Print_Area" localSheetId="3">TOTAL!$A$1:$F$6</definedName>
  </definedNames>
  <calcPr calcId="145621"/>
</workbook>
</file>

<file path=xl/calcChain.xml><?xml version="1.0" encoding="utf-8"?>
<calcChain xmlns="http://schemas.openxmlformats.org/spreadsheetml/2006/main">
  <c r="H9" i="71" l="1"/>
  <c r="H8" i="71"/>
  <c r="H7" i="71"/>
  <c r="H6" i="71"/>
  <c r="H5" i="71"/>
  <c r="H10" i="70"/>
  <c r="H9" i="70"/>
  <c r="H8" i="70"/>
  <c r="H7" i="70"/>
  <c r="H6" i="70"/>
  <c r="H5" i="70"/>
  <c r="H4" i="70"/>
  <c r="H3" i="70"/>
  <c r="C8" i="6" l="1"/>
  <c r="D8" i="6"/>
  <c r="B8" i="6"/>
  <c r="C6" i="6"/>
  <c r="D6" i="6"/>
  <c r="B6" i="6"/>
  <c r="C4" i="6"/>
  <c r="D4" i="6"/>
  <c r="B4" i="6"/>
  <c r="C5" i="5"/>
  <c r="D5" i="5"/>
  <c r="B5" i="5"/>
  <c r="C4" i="5"/>
  <c r="D4" i="5"/>
  <c r="B4" i="5"/>
  <c r="C3" i="5"/>
  <c r="D3" i="5"/>
  <c r="B3" i="5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F3" i="72"/>
  <c r="E8" i="6" s="1"/>
  <c r="H20" i="71"/>
  <c r="G20" i="71" s="1"/>
  <c r="B5" i="6" s="1"/>
  <c r="F20" i="71"/>
  <c r="D20" i="71"/>
  <c r="B20" i="71"/>
  <c r="A20" i="71" s="1"/>
  <c r="C20" i="71" s="1"/>
  <c r="I7" i="71" s="1"/>
  <c r="I17" i="71"/>
  <c r="I16" i="71"/>
  <c r="I15" i="71"/>
  <c r="I14" i="71"/>
  <c r="I13" i="71"/>
  <c r="I12" i="71"/>
  <c r="I11" i="71"/>
  <c r="I10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F3" i="70"/>
  <c r="E4" i="6" s="1"/>
  <c r="I9" i="71" l="1"/>
  <c r="I8" i="71"/>
  <c r="I6" i="71"/>
  <c r="A20" i="72"/>
  <c r="C20" i="72" s="1"/>
  <c r="F8" i="6"/>
  <c r="F6" i="6"/>
  <c r="I3" i="71"/>
  <c r="I4" i="71"/>
  <c r="I5" i="71"/>
  <c r="A20" i="70"/>
  <c r="C20" i="70" s="1"/>
  <c r="I10" i="70" s="1"/>
  <c r="F4" i="6"/>
  <c r="I9" i="72" l="1"/>
  <c r="I10" i="72"/>
  <c r="I7" i="72"/>
  <c r="I8" i="72"/>
  <c r="I4" i="72"/>
  <c r="I6" i="72"/>
  <c r="I5" i="72"/>
  <c r="I3" i="72"/>
  <c r="E20" i="72" s="1"/>
  <c r="E3" i="72" s="1"/>
  <c r="E5" i="5" s="1"/>
  <c r="F5" i="5" s="1"/>
  <c r="E20" i="71"/>
  <c r="H22" i="71" s="1"/>
  <c r="H23" i="71" s="1"/>
  <c r="I8" i="70"/>
  <c r="I9" i="70"/>
  <c r="I6" i="70"/>
  <c r="I7" i="70"/>
  <c r="F9" i="6"/>
  <c r="E3" i="71"/>
  <c r="E4" i="5" s="1"/>
  <c r="F4" i="5" s="1"/>
  <c r="I4" i="70"/>
  <c r="I5" i="70"/>
  <c r="I3" i="70"/>
  <c r="E20" i="70" s="1"/>
  <c r="E3" i="70" s="1"/>
  <c r="E3" i="5" s="1"/>
  <c r="F3" i="5" s="1"/>
  <c r="H22" i="72" l="1"/>
  <c r="H23" i="72" s="1"/>
  <c r="F6" i="5"/>
  <c r="H22" i="70"/>
  <c r="H23" i="70" s="1"/>
</calcChain>
</file>

<file path=xl/sharedStrings.xml><?xml version="1.0" encoding="utf-8"?>
<sst xmlns="http://schemas.openxmlformats.org/spreadsheetml/2006/main" count="126" uniqueCount="66">
  <si>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</si>
  <si>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</si>
  <si>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</si>
  <si>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</si>
  <si>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</si>
  <si>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</si>
  <si>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</si>
  <si>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</si>
  <si>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</si>
  <si>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</si>
  <si>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</si>
  <si>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</si>
  <si>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</si>
  <si>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</si>
  <si>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</si>
  <si>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</si>
  <si>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</si>
  <si>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</si>
  <si>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</si>
  <si>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</si>
  <si>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</si>
  <si>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</si>
  <si>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</si>
  <si>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</si>
  <si>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</si>
  <si>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</si>
  <si>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</si>
  <si>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</si>
  <si>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</si>
  <si>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</si>
  <si>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</si>
  <si>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</si>
  <si>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</si>
  <si>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</si>
  <si>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</si>
  <si>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</si>
  <si>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</si>
  <si>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</si>
  <si>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</si>
  <si>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</si>
  <si>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Garrafa Térmica de Pressão
Capacidade: 500 ml;
Material: plástico;
Com alça;
Conservar líquidos quentes;
Conservação térmica de, no mínimo, 8 horas;
Ampola de Vidro;
Indicação expressa de conformidade com a norma NBR 13282/98 da ABNT
Marca/Modelo de referência:
Aladin/Invicta/Termolar</t>
  </si>
  <si>
    <t>Garrafa Térmica de Pressão
Capacidade: 1 litro;
Material: plástico;
Com alça;
Conservar líquidos quentes;
Conservação térmica de, no mínimo, 8 horas;
Ampola de Vidro;
Indicação expressa de conformidade com a norma NBR 13282/98 da ABNT
Marca/Modelo de referência:
Aladin/Invicta/Termolar</t>
  </si>
  <si>
    <t>Guardanapo de papel
100% em fibras virgens;
Folha simples;
Cor: Branco;
Dimensões mínimas: 20 x 23 cm;
Em embalagem plástica contendo no mínimo 50 unidades
Marca/ Modelo de referência: Kitchen/
Snob/Pétalas/Coquetel</t>
  </si>
  <si>
    <t>pacote</t>
  </si>
  <si>
    <t xml:space="preserve">MARCOS AURELIO COLLACO </t>
  </si>
  <si>
    <t xml:space="preserve">Y S DIAS COMERCIO DE PAPELARIA </t>
  </si>
  <si>
    <t xml:space="preserve">UEDAMA COMERCIO DE PRODUTOS ALIMENTICIOS LTDA </t>
  </si>
  <si>
    <t xml:space="preserve">MS LUCAS TRANSPORTES DE CARGAS LTDA </t>
  </si>
  <si>
    <t xml:space="preserve">A FAVORITA MATERIAIS DE LIMPEZA LTDA </t>
  </si>
  <si>
    <t xml:space="preserve">SANDU COMERCIO E DISTRIBUICAO DE PRODUTOS LTDA </t>
  </si>
  <si>
    <t xml:space="preserve">CAMINHO NOVO COMERCIO LTDA </t>
  </si>
  <si>
    <t xml:space="preserve">PLANETA COMERCIO E DISTRIBUICAO DE EQUIPAMENTOS E PRODUTOS LTDA </t>
  </si>
  <si>
    <t xml:space="preserve">COMERCIAL DE ALIMENTOS MI SANCHES LTDA </t>
  </si>
  <si>
    <t xml:space="preserve">VINICIUS NONATO DE SOUSA 34020283877 </t>
  </si>
  <si>
    <t xml:space="preserve">OLITHIER COMERCIO DE MATERIAIS E MERCADORIAS LTDA </t>
  </si>
  <si>
    <t xml:space="preserve">B2G MEDICAL COMERCIO DE PRODUTOS MEDICOS E CIRURGICOS LTDA </t>
  </si>
  <si>
    <t xml:space="preserve">R61 COMERCIAL DE ELETROELETRONICOS LTDA </t>
  </si>
  <si>
    <t xml:space="preserve">SJ COMERCIO DE UTILIDADES LTDA </t>
  </si>
  <si>
    <t xml:space="preserve">EF BRASIL INDUSTRIA LTDA </t>
  </si>
  <si>
    <t xml:space="preserve">AC CLEAN COMERCIO DE LIMPEZA LTDA </t>
  </si>
  <si>
    <t xml:space="preserve">BRUMALIMP MATERIAIS DE LIMPEZA E DESCARTAVEIS LTDA </t>
  </si>
  <si>
    <t xml:space="preserve">COMERCIAL VENER LTDA </t>
  </si>
  <si>
    <t xml:space="preserve">MARIA JOSE FERREIRA 96118520615 </t>
  </si>
  <si>
    <t>TY BORTHOLIN COMERCIAL LTDA</t>
  </si>
  <si>
    <t xml:space="preserve">WTRADE INTERMEDIACAO DE NEGOCIOS LTDA </t>
  </si>
  <si>
    <t xml:space="preserve">DISTRIBRAS ATACADISTA LTDA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</si>
</sst>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1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1" sqref="H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40</v>
      </c>
      <c r="C3" s="53" t="s">
        <v>8</v>
      </c>
      <c r="D3" s="56">
        <v>200</v>
      </c>
      <c r="E3" s="59">
        <f>IF(C20&lt;=25%,D20,MIN(E20:F20))</f>
        <v>40.130000000000003</v>
      </c>
      <c r="F3" s="59">
        <f>MIN(H3:H17)</f>
        <v>33.520000000000003</v>
      </c>
      <c r="G3" s="4" t="s">
        <v>44</v>
      </c>
      <c r="H3" s="13">
        <f>2800/70</f>
        <v>40</v>
      </c>
      <c r="I3" s="29" t="str">
        <f>IF(H3="","",(IF($C$20&lt;25%,"N/A",IF(H3&lt;=($D$20+$A$20),H3,"Descartado"))))</f>
        <v>N/A</v>
      </c>
    </row>
    <row r="4" spans="1:9">
      <c r="A4" s="49"/>
      <c r="B4" s="51"/>
      <c r="C4" s="54"/>
      <c r="D4" s="57"/>
      <c r="E4" s="60"/>
      <c r="F4" s="60"/>
      <c r="G4" s="4" t="s">
        <v>45</v>
      </c>
      <c r="H4" s="13">
        <f>3368.4/70</f>
        <v>48.120000000000005</v>
      </c>
      <c r="I4" s="29" t="str">
        <f t="shared" ref="I4:I17" si="0">IF(H4="","",(IF($C$20&lt;25%,"N/A",IF(H4&lt;=($D$20+$A$20),H4,"Descartado"))))</f>
        <v>N/A</v>
      </c>
    </row>
    <row r="5" spans="1:9">
      <c r="A5" s="49"/>
      <c r="B5" s="51"/>
      <c r="C5" s="54"/>
      <c r="D5" s="57"/>
      <c r="E5" s="60"/>
      <c r="F5" s="60"/>
      <c r="G5" s="4" t="s">
        <v>46</v>
      </c>
      <c r="H5" s="13">
        <f>2346.4/70</f>
        <v>33.520000000000003</v>
      </c>
      <c r="I5" s="29" t="str">
        <f t="shared" si="0"/>
        <v>N/A</v>
      </c>
    </row>
    <row r="6" spans="1:9">
      <c r="A6" s="49"/>
      <c r="B6" s="51"/>
      <c r="C6" s="54"/>
      <c r="D6" s="57"/>
      <c r="E6" s="60"/>
      <c r="F6" s="60"/>
      <c r="G6" s="4" t="s">
        <v>47</v>
      </c>
      <c r="H6" s="13">
        <f>3399.9/70</f>
        <v>48.57</v>
      </c>
      <c r="I6" s="29" t="str">
        <f t="shared" si="0"/>
        <v>N/A</v>
      </c>
    </row>
    <row r="7" spans="1:9">
      <c r="A7" s="49"/>
      <c r="B7" s="51"/>
      <c r="C7" s="54"/>
      <c r="D7" s="57"/>
      <c r="E7" s="60"/>
      <c r="F7" s="60"/>
      <c r="G7" s="4" t="s">
        <v>48</v>
      </c>
      <c r="H7" s="13">
        <f>2520.5/70</f>
        <v>36.00714285714286</v>
      </c>
      <c r="I7" s="29" t="str">
        <f t="shared" si="0"/>
        <v>N/A</v>
      </c>
    </row>
    <row r="8" spans="1:9">
      <c r="A8" s="49"/>
      <c r="B8" s="51"/>
      <c r="C8" s="54"/>
      <c r="D8" s="57"/>
      <c r="E8" s="60"/>
      <c r="F8" s="60"/>
      <c r="G8" s="4" t="s">
        <v>49</v>
      </c>
      <c r="H8" s="13">
        <f>2725.81/70</f>
        <v>38.94014285714286</v>
      </c>
      <c r="I8" s="29" t="str">
        <f t="shared" si="0"/>
        <v>N/A</v>
      </c>
    </row>
    <row r="9" spans="1:9">
      <c r="A9" s="49"/>
      <c r="B9" s="51"/>
      <c r="C9" s="54"/>
      <c r="D9" s="57"/>
      <c r="E9" s="60"/>
      <c r="F9" s="60"/>
      <c r="G9" s="4" t="s">
        <v>50</v>
      </c>
      <c r="H9" s="13">
        <f>2654.3/70</f>
        <v>37.918571428571433</v>
      </c>
      <c r="I9" s="29" t="str">
        <f t="shared" si="0"/>
        <v>N/A</v>
      </c>
    </row>
    <row r="10" spans="1:9">
      <c r="A10" s="49"/>
      <c r="B10" s="51"/>
      <c r="C10" s="54"/>
      <c r="D10" s="57"/>
      <c r="E10" s="60"/>
      <c r="F10" s="60"/>
      <c r="G10" s="4" t="s">
        <v>51</v>
      </c>
      <c r="H10" s="13">
        <f>2660/70</f>
        <v>38</v>
      </c>
      <c r="I10" s="29" t="str">
        <f t="shared" si="0"/>
        <v>N/A</v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5.4330150357461875</v>
      </c>
      <c r="B20" s="19">
        <f>COUNT(H3:H17)</f>
        <v>8</v>
      </c>
      <c r="C20" s="20">
        <f>IF(B20&lt;2,"N/A",(A20/D20))</f>
        <v>0.13538537343000714</v>
      </c>
      <c r="D20" s="21">
        <f>ROUND(AVERAGE(H3:H17),2)</f>
        <v>40.130000000000003</v>
      </c>
      <c r="E20" s="22" t="str">
        <f>IFERROR(ROUND(IF(B20&lt;2,"N/A",(IF(C20&lt;=25%,"N/A",AVERAGE(I3:I17)))),2),"N/A")</f>
        <v>N/A</v>
      </c>
      <c r="F20" s="22">
        <f>ROUND(MEDIAN(H3:H17),2)</f>
        <v>38.47</v>
      </c>
      <c r="G20" s="23" t="str">
        <f>INDEX(G3:G17,MATCH(H20,H3:H17,0))</f>
        <v xml:space="preserve">UEDAMA COMERCIO DE PRODUTOS ALIMENTICIOS LTDA </v>
      </c>
      <c r="H20" s="24">
        <f>MIN(H3:H17)</f>
        <v>33.520000000000003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40.130000000000003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8026.0000000000009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38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41</v>
      </c>
      <c r="C3" s="53" t="s">
        <v>8</v>
      </c>
      <c r="D3" s="56">
        <v>80</v>
      </c>
      <c r="E3" s="59">
        <f>IF(C20&lt;=25%,D20,MIN(E20:F20))</f>
        <v>58.81</v>
      </c>
      <c r="F3" s="59">
        <f>MIN(H3:H17)</f>
        <v>46.440000000000005</v>
      </c>
      <c r="G3" s="4" t="s">
        <v>52</v>
      </c>
      <c r="H3" s="13">
        <v>73.61</v>
      </c>
      <c r="I3" s="29" t="str">
        <f>IF(H3="","",(IF($C$20&lt;25%,"N/A",IF(H3&lt;=($D$20+$A$20),H3,"Descartado"))))</f>
        <v>N/A</v>
      </c>
    </row>
    <row r="4" spans="1:9">
      <c r="A4" s="49"/>
      <c r="B4" s="51"/>
      <c r="C4" s="54"/>
      <c r="D4" s="57"/>
      <c r="E4" s="60"/>
      <c r="F4" s="60"/>
      <c r="G4" s="4" t="s">
        <v>53</v>
      </c>
      <c r="H4" s="13">
        <v>50.4</v>
      </c>
      <c r="I4" s="29" t="str">
        <f t="shared" ref="I4:I17" si="0">IF(H4="","",(IF($C$20&lt;25%,"N/A",IF(H4&lt;=($D$20+$A$20),H4,"Descartado"))))</f>
        <v>N/A</v>
      </c>
    </row>
    <row r="5" spans="1:9">
      <c r="A5" s="49"/>
      <c r="B5" s="51"/>
      <c r="C5" s="54"/>
      <c r="D5" s="57"/>
      <c r="E5" s="60"/>
      <c r="F5" s="60"/>
      <c r="G5" s="4" t="s">
        <v>54</v>
      </c>
      <c r="H5" s="13">
        <f>1393.2/30</f>
        <v>46.440000000000005</v>
      </c>
      <c r="I5" s="29" t="str">
        <f t="shared" si="0"/>
        <v>N/A</v>
      </c>
    </row>
    <row r="6" spans="1:9">
      <c r="A6" s="49"/>
      <c r="B6" s="51"/>
      <c r="C6" s="54"/>
      <c r="D6" s="57"/>
      <c r="E6" s="60"/>
      <c r="F6" s="60"/>
      <c r="G6" s="4" t="s">
        <v>55</v>
      </c>
      <c r="H6" s="13">
        <f>2097/30</f>
        <v>69.900000000000006</v>
      </c>
      <c r="I6" s="29" t="str">
        <f t="shared" si="0"/>
        <v>N/A</v>
      </c>
    </row>
    <row r="7" spans="1:9">
      <c r="A7" s="49"/>
      <c r="B7" s="51"/>
      <c r="C7" s="54"/>
      <c r="D7" s="57"/>
      <c r="E7" s="60"/>
      <c r="F7" s="60"/>
      <c r="G7" s="4" t="s">
        <v>56</v>
      </c>
      <c r="H7" s="13">
        <f>1556.1/30</f>
        <v>51.87</v>
      </c>
      <c r="I7" s="29" t="str">
        <f t="shared" si="0"/>
        <v>N/A</v>
      </c>
    </row>
    <row r="8" spans="1:9">
      <c r="A8" s="49"/>
      <c r="B8" s="51"/>
      <c r="C8" s="54"/>
      <c r="D8" s="57"/>
      <c r="E8" s="60"/>
      <c r="F8" s="60"/>
      <c r="G8" s="4" t="s">
        <v>57</v>
      </c>
      <c r="H8" s="13">
        <f>2090.85/30</f>
        <v>69.694999999999993</v>
      </c>
      <c r="I8" s="29" t="str">
        <f t="shared" si="0"/>
        <v>N/A</v>
      </c>
    </row>
    <row r="9" spans="1:9">
      <c r="A9" s="49"/>
      <c r="B9" s="51"/>
      <c r="C9" s="54"/>
      <c r="D9" s="57"/>
      <c r="E9" s="60"/>
      <c r="F9" s="60"/>
      <c r="G9" s="4" t="s">
        <v>47</v>
      </c>
      <c r="H9" s="13">
        <f>1492/30</f>
        <v>49.733333333333334</v>
      </c>
      <c r="I9" s="29" t="str">
        <f t="shared" si="0"/>
        <v>N/A</v>
      </c>
    </row>
    <row r="10" spans="1:9">
      <c r="A10" s="49"/>
      <c r="B10" s="51"/>
      <c r="C10" s="54"/>
      <c r="D10" s="57"/>
      <c r="E10" s="60"/>
      <c r="F10" s="60"/>
      <c r="G10" s="4"/>
      <c r="H10" s="13"/>
      <c r="I10" s="29" t="str">
        <f t="shared" si="0"/>
        <v/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11.653366721783952</v>
      </c>
      <c r="B20" s="19">
        <f>COUNT(H3:H17)</f>
        <v>7</v>
      </c>
      <c r="C20" s="20">
        <f>IF(B20&lt;2,"N/A",(A20/D20))</f>
        <v>0.19815280941649296</v>
      </c>
      <c r="D20" s="21">
        <f>ROUND(AVERAGE(H3:H17),2)</f>
        <v>58.81</v>
      </c>
      <c r="E20" s="22" t="str">
        <f>IFERROR(ROUND(IF(B20&lt;2,"N/A",(IF(C20&lt;=25%,"N/A",AVERAGE(I3:I17)))),2),"N/A")</f>
        <v>N/A</v>
      </c>
      <c r="F20" s="22">
        <f>ROUND(MEDIAN(H3:H17),2)</f>
        <v>51.87</v>
      </c>
      <c r="G20" s="23" t="str">
        <f>INDEX(G3:G17,MATCH(H20,H3:H17,0))</f>
        <v xml:space="preserve">OLITHIER COMERCIO DE MATERIAIS E MERCADORIAS LTDA </v>
      </c>
      <c r="H20" s="24">
        <f>MIN(H3:H17)</f>
        <v>46.440000000000005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58.81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4704.8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1" sqref="H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39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42</v>
      </c>
      <c r="C3" s="53" t="s">
        <v>43</v>
      </c>
      <c r="D3" s="56">
        <v>1500</v>
      </c>
      <c r="E3" s="59">
        <f>IF(C20&lt;=25%,D20,MIN(E20:F20))</f>
        <v>1.96</v>
      </c>
      <c r="F3" s="59">
        <f>MIN(H3:H17)</f>
        <v>1.17</v>
      </c>
      <c r="G3" s="4" t="s">
        <v>58</v>
      </c>
      <c r="H3" s="13">
        <v>1.17</v>
      </c>
      <c r="I3" s="29" t="str">
        <f>IF(H3="","",(IF($C$20&lt;25%,"N/A",IF(H3&lt;=($D$20+$A$20),H3,"Descartado"))))</f>
        <v>N/A</v>
      </c>
    </row>
    <row r="4" spans="1:9">
      <c r="A4" s="49"/>
      <c r="B4" s="51"/>
      <c r="C4" s="54"/>
      <c r="D4" s="57"/>
      <c r="E4" s="60"/>
      <c r="F4" s="60"/>
      <c r="G4" s="4" t="s">
        <v>59</v>
      </c>
      <c r="H4" s="13">
        <v>2.29</v>
      </c>
      <c r="I4" s="29" t="str">
        <f t="shared" ref="I4:I17" si="0">IF(H4="","",(IF($C$20&lt;25%,"N/A",IF(H4&lt;=($D$20+$A$20),H4,"Descartado"))))</f>
        <v>N/A</v>
      </c>
    </row>
    <row r="5" spans="1:9">
      <c r="A5" s="49"/>
      <c r="B5" s="51"/>
      <c r="C5" s="54"/>
      <c r="D5" s="57"/>
      <c r="E5" s="60"/>
      <c r="F5" s="60"/>
      <c r="G5" s="4" t="s">
        <v>60</v>
      </c>
      <c r="H5" s="13">
        <v>2</v>
      </c>
      <c r="I5" s="29" t="str">
        <f t="shared" si="0"/>
        <v>N/A</v>
      </c>
    </row>
    <row r="6" spans="1:9">
      <c r="A6" s="49"/>
      <c r="B6" s="51"/>
      <c r="C6" s="54"/>
      <c r="D6" s="57"/>
      <c r="E6" s="60"/>
      <c r="F6" s="60"/>
      <c r="G6" s="4" t="s">
        <v>61</v>
      </c>
      <c r="H6" s="13">
        <v>1.7</v>
      </c>
      <c r="I6" s="29" t="str">
        <f t="shared" si="0"/>
        <v>N/A</v>
      </c>
    </row>
    <row r="7" spans="1:9">
      <c r="A7" s="49"/>
      <c r="B7" s="51"/>
      <c r="C7" s="54"/>
      <c r="D7" s="57"/>
      <c r="E7" s="60"/>
      <c r="F7" s="60"/>
      <c r="G7" s="4" t="s">
        <v>62</v>
      </c>
      <c r="H7" s="13">
        <v>2.4300000000000002</v>
      </c>
      <c r="I7" s="29" t="str">
        <f t="shared" si="0"/>
        <v>N/A</v>
      </c>
    </row>
    <row r="8" spans="1:9">
      <c r="A8" s="49"/>
      <c r="B8" s="51"/>
      <c r="C8" s="54"/>
      <c r="D8" s="57"/>
      <c r="E8" s="60"/>
      <c r="F8" s="60"/>
      <c r="G8" s="4" t="s">
        <v>63</v>
      </c>
      <c r="H8" s="13">
        <v>1.69</v>
      </c>
      <c r="I8" s="29" t="str">
        <f t="shared" si="0"/>
        <v>N/A</v>
      </c>
    </row>
    <row r="9" spans="1:9">
      <c r="A9" s="49"/>
      <c r="B9" s="51"/>
      <c r="C9" s="54"/>
      <c r="D9" s="57"/>
      <c r="E9" s="60"/>
      <c r="F9" s="60"/>
      <c r="G9" s="4" t="s">
        <v>64</v>
      </c>
      <c r="H9" s="13">
        <v>1.91</v>
      </c>
      <c r="I9" s="29" t="str">
        <f t="shared" si="0"/>
        <v>N/A</v>
      </c>
    </row>
    <row r="10" spans="1:9">
      <c r="A10" s="49"/>
      <c r="B10" s="51"/>
      <c r="C10" s="54"/>
      <c r="D10" s="57"/>
      <c r="E10" s="60"/>
      <c r="F10" s="60"/>
      <c r="G10" s="4" t="s">
        <v>65</v>
      </c>
      <c r="H10" s="13">
        <v>2.4500000000000002</v>
      </c>
      <c r="I10" s="29" t="str">
        <f t="shared" si="0"/>
        <v>N/A</v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0.43726422218150895</v>
      </c>
      <c r="B20" s="19">
        <f>COUNT(H3:H17)</f>
        <v>8</v>
      </c>
      <c r="C20" s="20">
        <f>IF(B20&lt;2,"N/A",(A20/D20))</f>
        <v>0.22309399090893314</v>
      </c>
      <c r="D20" s="21">
        <f>ROUND(AVERAGE(H3:H17),2)</f>
        <v>1.96</v>
      </c>
      <c r="E20" s="22" t="str">
        <f>IFERROR(ROUND(IF(B20&lt;2,"N/A",(IF(C20&lt;=25%,"N/A",AVERAGE(I3:I17)))),2),"N/A")</f>
        <v>N/A</v>
      </c>
      <c r="F20" s="22">
        <f>ROUND(MEDIAN(H3:H17),2)</f>
        <v>1.96</v>
      </c>
      <c r="G20" s="23" t="str">
        <f>INDEX(G3:G17,MATCH(H20,H3:H17,0))</f>
        <v xml:space="preserve">EF BRASIL INDUSTRIA LTDA </v>
      </c>
      <c r="H20" s="24">
        <f>MIN(H3:H17)</f>
        <v>1.17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1.96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2940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tabSelected="1" zoomScaleNormal="100" zoomScaleSheetLayoutView="100" workbookViewId="0">
      <selection activeCell="B3" sqref="B3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3" width="9.140625" style="2"/>
    <col min="14" max="16384" width="9.140625" style="1"/>
  </cols>
  <sheetData>
    <row r="1" spans="1:6" ht="15.75">
      <c r="A1" s="71" t="s">
        <v>14</v>
      </c>
      <c r="B1" s="71"/>
      <c r="C1" s="71"/>
      <c r="D1" s="71"/>
      <c r="E1" s="71"/>
      <c r="F1" s="71"/>
    </row>
    <row r="2" spans="1:6" ht="25.5">
      <c r="A2" s="40" t="s">
        <v>15</v>
      </c>
      <c r="B2" s="40" t="s">
        <v>16</v>
      </c>
      <c r="C2" s="40" t="s">
        <v>17</v>
      </c>
      <c r="D2" s="40" t="s">
        <v>18</v>
      </c>
      <c r="E2" s="40" t="s">
        <v>13</v>
      </c>
      <c r="F2" s="40" t="s">
        <v>19</v>
      </c>
    </row>
    <row r="3" spans="1:6" ht="127.5">
      <c r="A3" s="41">
        <v>1</v>
      </c>
      <c r="B3" s="42" t="str">
        <f>Item1!B3</f>
        <v>Garrafa Térmica de Pressão
Capacidade: 500 ml;
Material: plástico;
Com alça;
Conservar líquidos quentes;
Conservação térmica de, no mínimo, 8 horas;
Ampola de Vidro;
Indicação expressa de conformidade com a norma NBR 13282/98 da ABNT
Marca/Modelo de referência:
Aladin/Invicta/Termolar</v>
      </c>
      <c r="C3" s="41" t="str">
        <f>Item1!C3</f>
        <v>unidade</v>
      </c>
      <c r="D3" s="41">
        <f>Item1!D3</f>
        <v>200</v>
      </c>
      <c r="E3" s="43">
        <f>Item1!E3</f>
        <v>40.130000000000003</v>
      </c>
      <c r="F3" s="43">
        <f t="shared" ref="F3:F5" si="0">(ROUND(E3,2)*D3)</f>
        <v>8026.0000000000009</v>
      </c>
    </row>
    <row r="4" spans="1:6" ht="127.5">
      <c r="A4" s="41">
        <v>2</v>
      </c>
      <c r="B4" s="42" t="str">
        <f>Item2!B3</f>
        <v>Garrafa Térmica de Pressão
Capacidade: 1 litro;
Material: plástico;
Com alça;
Conservar líquidos quentes;
Conservação térmica de, no mínimo, 8 horas;
Ampola de Vidro;
Indicação expressa de conformidade com a norma NBR 13282/98 da ABNT
Marca/Modelo de referência:
Aladin/Invicta/Termolar</v>
      </c>
      <c r="C4" s="41" t="str">
        <f>Item2!C3</f>
        <v>unidade</v>
      </c>
      <c r="D4" s="41">
        <f>Item2!D3</f>
        <v>80</v>
      </c>
      <c r="E4" s="43">
        <f>Item2!E3</f>
        <v>58.81</v>
      </c>
      <c r="F4" s="43">
        <f t="shared" si="0"/>
        <v>4704.8</v>
      </c>
    </row>
    <row r="5" spans="1:6" ht="102">
      <c r="A5" s="41">
        <v>3</v>
      </c>
      <c r="B5" s="42" t="str">
        <f>Item3!B3</f>
        <v>Guardanapo de papel
100% em fibras virgens;
Folha simples;
Cor: Branco;
Dimensões mínimas: 20 x 23 cm;
Em embalagem plástica contendo no mínimo 50 unidades
Marca/ Modelo de referência: Kitchen/
Snob/Pétalas/Coquetel</v>
      </c>
      <c r="C5" s="41" t="str">
        <f>Item3!C3</f>
        <v>pacote</v>
      </c>
      <c r="D5" s="41">
        <f>Item3!D3</f>
        <v>1500</v>
      </c>
      <c r="E5" s="43">
        <f>Item3!E3</f>
        <v>1.96</v>
      </c>
      <c r="F5" s="43">
        <f t="shared" si="0"/>
        <v>2940</v>
      </c>
    </row>
    <row r="6" spans="1:6" ht="15.75">
      <c r="A6" s="38"/>
      <c r="B6" s="38"/>
      <c r="C6" s="72" t="s">
        <v>20</v>
      </c>
      <c r="D6" s="73"/>
      <c r="E6" s="74"/>
      <c r="F6" s="39">
        <f>SUM(F3:F5)</f>
        <v>15670.800000000001</v>
      </c>
    </row>
  </sheetData>
  <mergeCells count="2">
    <mergeCell ref="A1:F1"/>
    <mergeCell ref="C6:E6"/>
  </mergeCells>
  <pageMargins left="0.51181102362204722" right="0.51181102362204722" top="1.1754166666666668" bottom="0.78740157480314965" header="0.31496062992125984" footer="0.31496062992125984"/>
  <pageSetup paperSize="9" scale="91" fitToHeight="0" orientation="landscape" r:id="rId1"/>
  <headerFooter>
    <oddHeader>&amp;C&amp;G</oddHeader>
    <oddFooter>&amp;LEstimativa em &amp;D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view="pageBreakPreview" topLeftCell="A4" zoomScaleNormal="100" zoomScaleSheetLayoutView="100" workbookViewId="0">
      <selection activeCell="D26" sqref="D26"/>
    </sheetView>
  </sheetViews>
  <sheetFormatPr defaultRowHeight="12.75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1" t="s">
        <v>21</v>
      </c>
      <c r="B1" s="71"/>
      <c r="C1" s="71"/>
      <c r="D1" s="71"/>
      <c r="E1" s="71"/>
      <c r="F1" s="71"/>
    </row>
    <row r="2" spans="1:6" s="2" customFormat="1" ht="25.5">
      <c r="A2" s="40" t="s">
        <v>15</v>
      </c>
      <c r="B2" s="40" t="s">
        <v>16</v>
      </c>
      <c r="C2" s="40" t="s">
        <v>17</v>
      </c>
      <c r="D2" s="40" t="s">
        <v>18</v>
      </c>
      <c r="E2" s="40" t="s">
        <v>13</v>
      </c>
      <c r="F2" s="40" t="s">
        <v>19</v>
      </c>
    </row>
    <row r="3" spans="1:6" s="2" customFormat="1" ht="17.25">
      <c r="A3" s="44" t="s">
        <v>22</v>
      </c>
      <c r="B3" s="75" t="str">
        <f>Item1!G20</f>
        <v xml:space="preserve">UEDAMA COMERCIO DE PRODUTOS ALIMENTICIOS LTDA </v>
      </c>
      <c r="C3" s="76"/>
      <c r="D3" s="76"/>
      <c r="E3" s="76"/>
      <c r="F3" s="77"/>
    </row>
    <row r="4" spans="1:6" s="2" customFormat="1" ht="127.5">
      <c r="A4" s="41">
        <v>1</v>
      </c>
      <c r="B4" s="42" t="str">
        <f>Item1!B3</f>
        <v>Garrafa Térmica de Pressão
Capacidade: 500 ml;
Material: plástico;
Com alça;
Conservar líquidos quentes;
Conservação térmica de, no mínimo, 8 horas;
Ampola de Vidro;
Indicação expressa de conformidade com a norma NBR 13282/98 da ABNT
Marca/Modelo de referência:
Aladin/Invicta/Termolar</v>
      </c>
      <c r="C4" s="41" t="str">
        <f>Item1!C3</f>
        <v>unidade</v>
      </c>
      <c r="D4" s="41">
        <f>Item1!D3</f>
        <v>200</v>
      </c>
      <c r="E4" s="43">
        <f>Item1!F3</f>
        <v>33.520000000000003</v>
      </c>
      <c r="F4" s="43">
        <f>(ROUND(E4,2)*D4)</f>
        <v>6704.0000000000009</v>
      </c>
    </row>
    <row r="5" spans="1:6" s="2" customFormat="1" ht="17.25">
      <c r="A5" s="44" t="s">
        <v>22</v>
      </c>
      <c r="B5" s="75" t="str">
        <f>Item2!G20</f>
        <v xml:space="preserve">OLITHIER COMERCIO DE MATERIAIS E MERCADORIAS LTDA </v>
      </c>
      <c r="C5" s="76"/>
      <c r="D5" s="76"/>
      <c r="E5" s="76"/>
      <c r="F5" s="77"/>
    </row>
    <row r="6" spans="1:6" ht="127.5" customHeight="1">
      <c r="A6" s="41">
        <v>2</v>
      </c>
      <c r="B6" s="42" t="str">
        <f>Item2!B3</f>
        <v>Garrafa Térmica de Pressão
Capacidade: 1 litro;
Material: plástico;
Com alça;
Conservar líquidos quentes;
Conservação térmica de, no mínimo, 8 horas;
Ampola de Vidro;
Indicação expressa de conformidade com a norma NBR 13282/98 da ABNT
Marca/Modelo de referência:
Aladin/Invicta/Termolar</v>
      </c>
      <c r="C6" s="41" t="str">
        <f>Item2!C3</f>
        <v>unidade</v>
      </c>
      <c r="D6" s="41">
        <f>Item2!D3</f>
        <v>80</v>
      </c>
      <c r="E6" s="43">
        <f>Item2!F3</f>
        <v>46.440000000000005</v>
      </c>
      <c r="F6" s="43">
        <f>(ROUND(E6,2)*D6)</f>
        <v>3715.2</v>
      </c>
    </row>
    <row r="7" spans="1:6" ht="17.25">
      <c r="A7" s="44" t="s">
        <v>22</v>
      </c>
      <c r="B7" s="78" t="str">
        <f>Item3!G20</f>
        <v xml:space="preserve">EF BRASIL INDUSTRIA LTDA </v>
      </c>
      <c r="C7" s="79"/>
      <c r="D7" s="79"/>
      <c r="E7" s="79"/>
      <c r="F7" s="80"/>
    </row>
    <row r="8" spans="1:6" ht="127.5" customHeight="1">
      <c r="A8" s="41">
        <v>3</v>
      </c>
      <c r="B8" s="42" t="str">
        <f>Item3!B3</f>
        <v>Guardanapo de papel
100% em fibras virgens;
Folha simples;
Cor: Branco;
Dimensões mínimas: 20 x 23 cm;
Em embalagem plástica contendo no mínimo 50 unidades
Marca/ Modelo de referência: Kitchen/
Snob/Pétalas/Coquetel</v>
      </c>
      <c r="C8" s="41" t="str">
        <f>Item3!C3</f>
        <v>pacote</v>
      </c>
      <c r="D8" s="41">
        <f>Item3!D3</f>
        <v>1500</v>
      </c>
      <c r="E8" s="43">
        <f>Item3!F3</f>
        <v>1.17</v>
      </c>
      <c r="F8" s="43">
        <f>(ROUND(E8,2)*D8)</f>
        <v>1755</v>
      </c>
    </row>
    <row r="9" spans="1:6" ht="15.75">
      <c r="A9" s="38"/>
      <c r="B9" s="38"/>
      <c r="C9" s="72" t="s">
        <v>23</v>
      </c>
      <c r="D9" s="73"/>
      <c r="E9" s="74"/>
      <c r="F9" s="39">
        <f>SUM(F4:F8)</f>
        <v>12174.2</v>
      </c>
    </row>
  </sheetData>
  <mergeCells count="5">
    <mergeCell ref="C9:E9"/>
    <mergeCell ref="B5:F5"/>
    <mergeCell ref="B7:F7"/>
    <mergeCell ref="A1:F1"/>
    <mergeCell ref="B3:F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2023-01-25T15:43:00Z</cp:lastPrinted>
  <dcterms:created xsi:type="dcterms:W3CDTF">2019-01-16T20:04:04Z</dcterms:created>
  <dcterms:modified xsi:type="dcterms:W3CDTF">2023-01-25T15:43:05Z</dcterms:modified>
</cp:coreProperties>
</file>