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2995" windowHeight="10035" activeTab="2"/>
  </bookViews>
  <sheets>
    <sheet name="senior" sheetId="1" r:id="rId1"/>
    <sheet name="pleno" sheetId="2" r:id="rId2"/>
    <sheet name="total" sheetId="4" r:id="rId3"/>
  </sheets>
  <calcPr calcId="145621"/>
</workbook>
</file>

<file path=xl/calcChain.xml><?xml version="1.0" encoding="utf-8"?>
<calcChain xmlns="http://schemas.openxmlformats.org/spreadsheetml/2006/main">
  <c r="E16" i="4" l="1"/>
  <c r="C94" i="2" l="1"/>
  <c r="C93" i="2"/>
  <c r="C92" i="2"/>
  <c r="C91" i="2"/>
  <c r="C90" i="2"/>
  <c r="C93" i="1"/>
  <c r="C90" i="1"/>
  <c r="A12" i="4" l="1"/>
  <c r="A11" i="4"/>
  <c r="C12" i="4"/>
  <c r="C11" i="4"/>
  <c r="D146" i="2"/>
  <c r="C136" i="2"/>
  <c r="C129" i="2"/>
  <c r="C80" i="2"/>
  <c r="C78" i="2"/>
  <c r="C77" i="2"/>
  <c r="C75" i="2"/>
  <c r="D58" i="2"/>
  <c r="D57" i="2"/>
  <c r="D56" i="2"/>
  <c r="D60" i="2" s="1"/>
  <c r="D68" i="2" s="1"/>
  <c r="C50" i="2"/>
  <c r="C79" i="2" s="1"/>
  <c r="C36" i="2"/>
  <c r="C35" i="2"/>
  <c r="C34" i="2"/>
  <c r="D26" i="2"/>
  <c r="D35" i="2" s="1"/>
  <c r="C91" i="1"/>
  <c r="C92" i="1"/>
  <c r="D102" i="1"/>
  <c r="C94" i="1"/>
  <c r="D58" i="1"/>
  <c r="D57" i="1"/>
  <c r="D56" i="1"/>
  <c r="D77" i="2" l="1"/>
  <c r="D80" i="2"/>
  <c r="D142" i="2"/>
  <c r="D78" i="2"/>
  <c r="D79" i="2" s="1"/>
  <c r="D34" i="2"/>
  <c r="D36" i="2" s="1"/>
  <c r="D47" i="2" s="1"/>
  <c r="D75" i="2"/>
  <c r="C80" i="1"/>
  <c r="C77" i="1"/>
  <c r="D46" i="2" l="1"/>
  <c r="D66" i="2"/>
  <c r="D45" i="2"/>
  <c r="D44" i="2"/>
  <c r="D76" i="2"/>
  <c r="D81" i="2" s="1"/>
  <c r="D144" i="2" s="1"/>
  <c r="D48" i="2"/>
  <c r="D49" i="2"/>
  <c r="D42" i="2"/>
  <c r="D43" i="2"/>
  <c r="C129" i="1"/>
  <c r="C136" i="1"/>
  <c r="C78" i="1"/>
  <c r="C75" i="1"/>
  <c r="C35" i="1"/>
  <c r="C34" i="1"/>
  <c r="C36" i="1" s="1"/>
  <c r="D50" i="2" l="1"/>
  <c r="D67" i="2" s="1"/>
  <c r="D69" i="2"/>
  <c r="D146" i="1"/>
  <c r="D60" i="1"/>
  <c r="D68" i="1" s="1"/>
  <c r="C50" i="1"/>
  <c r="C79" i="1" s="1"/>
  <c r="D26" i="1"/>
  <c r="D94" i="2" l="1"/>
  <c r="D91" i="2"/>
  <c r="D95" i="2"/>
  <c r="D143" i="2"/>
  <c r="D93" i="2"/>
  <c r="D90" i="2"/>
  <c r="D102" i="2"/>
  <c r="D103" i="2" s="1"/>
  <c r="D110" i="2" s="1"/>
  <c r="D92" i="2"/>
  <c r="D77" i="1"/>
  <c r="D75" i="1"/>
  <c r="D76" i="1" s="1"/>
  <c r="D78" i="1"/>
  <c r="D79" i="1" s="1"/>
  <c r="D142" i="1"/>
  <c r="D35" i="1"/>
  <c r="D80" i="1"/>
  <c r="D34" i="1"/>
  <c r="D96" i="2" l="1"/>
  <c r="D109" i="2" s="1"/>
  <c r="D111" i="2" s="1"/>
  <c r="D145" i="2" s="1"/>
  <c r="D147" i="2"/>
  <c r="D36" i="1"/>
  <c r="D81" i="1"/>
  <c r="D127" i="2" l="1"/>
  <c r="D128" i="2"/>
  <c r="D66" i="1"/>
  <c r="D49" i="1"/>
  <c r="D42" i="1"/>
  <c r="D48" i="1"/>
  <c r="D45" i="1"/>
  <c r="D43" i="1"/>
  <c r="D46" i="1"/>
  <c r="D44" i="1"/>
  <c r="D47" i="1"/>
  <c r="D144" i="1"/>
  <c r="D129" i="2" l="1"/>
  <c r="D136" i="2" s="1"/>
  <c r="D148" i="2" s="1"/>
  <c r="D149" i="2" s="1"/>
  <c r="B12" i="4" s="1"/>
  <c r="D12" i="4" s="1"/>
  <c r="E12" i="4" s="1"/>
  <c r="D50" i="1"/>
  <c r="D67" i="1" s="1"/>
  <c r="D69" i="1" s="1"/>
  <c r="D95" i="1" s="1"/>
  <c r="D130" i="2" l="1"/>
  <c r="D135" i="2"/>
  <c r="D134" i="2"/>
  <c r="D133" i="2"/>
  <c r="D132" i="2"/>
  <c r="D131" i="2"/>
  <c r="D91" i="1"/>
  <c r="D143" i="1"/>
  <c r="D90" i="1"/>
  <c r="D103" i="1"/>
  <c r="D110" i="1" s="1"/>
  <c r="D94" i="1"/>
  <c r="D93" i="1"/>
  <c r="D92" i="1"/>
  <c r="D96" i="1" l="1"/>
  <c r="D109" i="1" s="1"/>
  <c r="D111" i="1" s="1"/>
  <c r="D145" i="1" s="1"/>
  <c r="D147" i="1" s="1"/>
  <c r="D127" i="1" s="1"/>
  <c r="D128" i="1" s="1"/>
  <c r="D129" i="1" s="1"/>
  <c r="D136" i="1" l="1"/>
  <c r="D148" i="1" s="1"/>
  <c r="D149" i="1" s="1"/>
  <c r="D135" i="1" l="1"/>
  <c r="B11" i="4"/>
  <c r="D11" i="4" s="1"/>
  <c r="E11" i="4" s="1"/>
  <c r="E13" i="4" s="1"/>
  <c r="D131" i="1"/>
  <c r="D132" i="1"/>
  <c r="D130" i="1"/>
  <c r="D133" i="1"/>
  <c r="D134" i="1"/>
</calcChain>
</file>

<file path=xl/sharedStrings.xml><?xml version="1.0" encoding="utf-8"?>
<sst xmlns="http://schemas.openxmlformats.org/spreadsheetml/2006/main" count="372" uniqueCount="117">
  <si>
    <t>PLANILHA DE CUSTOS E FORMAÇÃO DE PREÇOS</t>
  </si>
  <si>
    <t>Módulo 1 - Composição da Remuneração</t>
  </si>
  <si>
    <t>Composição da Remuneração</t>
  </si>
  <si>
    <t>Valor (R$)</t>
  </si>
  <si>
    <t>A</t>
  </si>
  <si>
    <t>Salário-Base</t>
  </si>
  <si>
    <t>B</t>
  </si>
  <si>
    <t>Adicional de Periculosidade</t>
  </si>
  <si>
    <t>C</t>
  </si>
  <si>
    <t>Adicional de Insalubridade</t>
  </si>
  <si>
    <t>D</t>
  </si>
  <si>
    <t>Adicional Noturno</t>
  </si>
  <si>
    <t>E</t>
  </si>
  <si>
    <t>Adicional de Hora Noturna Reduzida</t>
  </si>
  <si>
    <t>G</t>
  </si>
  <si>
    <t>Outros (especificar)</t>
  </si>
  <si>
    <t>Total</t>
  </si>
  <si>
    <t>Módulo 2 - Encargos e Benefícios Anuais, Mensais e Diários</t>
  </si>
  <si>
    <t>Submódulo 2.1 - 13º (décimo terceiro) Salário, Férias e Adicional de Férias</t>
  </si>
  <si>
    <t>2.1</t>
  </si>
  <si>
    <t>13º (décimo terceiro) Salário, Férias e Adicional de Férias</t>
  </si>
  <si>
    <t>13º (décimo terceiro) Salário</t>
  </si>
  <si>
    <t>Férias e Adicional de Férias</t>
  </si>
  <si>
    <t>Submódulo 2.2 - Encargos Previdenciários (GPS), Fundo de Garantia por Tempo de Serviço (FGTS) e outras contribuições.</t>
  </si>
  <si>
    <t>2.2</t>
  </si>
  <si>
    <t>GPS, FGTS e outras contribuições</t>
  </si>
  <si>
    <t>Percentual (%)</t>
  </si>
  <si>
    <t>INSS</t>
  </si>
  <si>
    <t>Salário Educação</t>
  </si>
  <si>
    <t>SAT</t>
  </si>
  <si>
    <t>SESC ou SESI</t>
  </si>
  <si>
    <t>SENAI - SENAC</t>
  </si>
  <si>
    <t>F</t>
  </si>
  <si>
    <t>SEBRAE</t>
  </si>
  <si>
    <t>INCRA</t>
  </si>
  <si>
    <t>H</t>
  </si>
  <si>
    <t>FGTS</t>
  </si>
  <si>
    <t xml:space="preserve">Total 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</si>
  <si>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</si>
  <si>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</si>
  <si>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</si>
  <si>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</si>
  <si>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</si>
  <si>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Quadro-Resumo do Módulo 2 - Encargos e Benefícios anuais, mensais e diários</t>
  </si>
  <si>
    <t>Encargos e Benefícios Anuais, Mensais e Diários</t>
  </si>
  <si>
    <t>Módulo 3 - Provisão para Rescisão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</si>
  <si>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</si>
  <si>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</si>
  <si>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</si>
  <si>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</si>
  <si>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</si>
  <si>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Multa do FGTS e contribuição social sobre o Aviso Prévio Trabalhado</t>
  </si>
  <si>
    <t>Módulo 4 - Custo de Reposição do Profissional Ausente</t>
  </si>
  <si>
    <t>4.1</t>
  </si>
  <si>
    <t>4.2</t>
  </si>
  <si>
    <t>Quadro-Resumo do Módulo 4 - Custo de Reposição do Profissional Ausente</t>
  </si>
  <si>
    <t>Custo de Reposição do Profissional Ausente</t>
  </si>
  <si>
    <t>Módulo 5 - Insumos Diversos</t>
  </si>
  <si>
    <t>Insumos Diversos</t>
  </si>
  <si>
    <t>Uniformes</t>
  </si>
  <si>
    <t>Materiais</t>
  </si>
  <si>
    <t>Equipamentos</t>
  </si>
  <si>
    <t>Módulo 6 - Custos Indiretos, Tributos e Lucro</t>
  </si>
  <si>
    <t>Custos Indiretos, Tributos e Lucro</t>
  </si>
  <si>
    <t>Custos Indiretos</t>
  </si>
  <si>
    <t>Lucro</t>
  </si>
  <si>
    <t>Tributos</t>
  </si>
  <si>
    <t>C.1. Tributos Federais (especificar)</t>
  </si>
  <si>
    <t>C.2. Tributos Estaduais (especificar)</t>
  </si>
  <si>
    <t>C.3. Tributos Municipais (especificar)</t>
  </si>
  <si>
    <t>2. QUADRO-RESUMO DO CUSTO POR EMPREGADO</t>
  </si>
  <si>
    <t>Mão de obra vinculada à execução contratual (valor por empregado)</t>
  </si>
  <si>
    <t>Módulo 6 – Custos Indiretos, Tributos e Lucro</t>
  </si>
  <si>
    <t xml:space="preserve">Valor Total por Empregado </t>
  </si>
  <si>
    <t>Dados complementares para composição dos custos referente à mão-de-obra</t>
  </si>
  <si>
    <t>Tipo de serviço (mesmo serviço com características distintas)</t>
  </si>
  <si>
    <t>Salário Normativo da Categoria Profissional</t>
  </si>
  <si>
    <t>Categoria profissional (vinculada à execução contratual)</t>
  </si>
  <si>
    <t>Data base da categoria (dia/mês/ano)</t>
  </si>
  <si>
    <t>Submódulo 4.1 - Substituto nas Ausências Legais</t>
  </si>
  <si>
    <t>Substituto nas Ausências Legais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</si>
  <si>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</si>
  <si>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</si>
  <si>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</si>
  <si>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</si>
  <si>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</si>
  <si>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Outras ausências (especificar)</t>
  </si>
  <si>
    <t>Submódulo 4.2 - Substituto na Intrajornada</t>
  </si>
  <si>
    <t>Substituto na Intrajornada</t>
  </si>
  <si>
    <t>Substituto na cobertura de Intervalo para repouso e alimentação</t>
  </si>
  <si>
    <t>Identificação do Serviço</t>
  </si>
  <si>
    <t>Tipo de Serviço</t>
  </si>
  <si>
    <t>Unidade de Medida</t>
  </si>
  <si>
    <t>Quantidade total a contratar (em função da unidade de medida)</t>
  </si>
  <si>
    <t>Classificação Brasileira de Ocupações (CBO)</t>
  </si>
  <si>
    <t>Incidência de GPS, FGTS e outras contribuições sobre o Aviso Prévio Trabalhado</t>
  </si>
  <si>
    <t>Subtotal (A + B +C+ D + E)</t>
  </si>
  <si>
    <t>C.1.A. PIS</t>
  </si>
  <si>
    <t>C.1.B. COFINS</t>
  </si>
  <si>
    <t>C.3.A. ISS</t>
  </si>
  <si>
    <t>Engenharia de Software – Nível Sênior</t>
  </si>
  <si>
    <t>posto de serviço</t>
  </si>
  <si>
    <t>2122-15</t>
  </si>
  <si>
    <t>Benefício Assistência Médica</t>
  </si>
  <si>
    <t>Engenharia de Software – Nível Pleno</t>
  </si>
  <si>
    <t>Engenheiro de Software Sênior</t>
  </si>
  <si>
    <t>Engenheiro de Software Pleno</t>
  </si>
  <si>
    <t>QUADRO RESUMO - VALORES ESTIMADOS - MODELO DE PROPOSTA</t>
  </si>
  <si>
    <t>valor do serviço regular</t>
  </si>
  <si>
    <t>serviços</t>
  </si>
  <si>
    <t>valor do posto</t>
  </si>
  <si>
    <t>quantidade</t>
  </si>
  <si>
    <t>valor mensal</t>
  </si>
  <si>
    <t>valor anual</t>
  </si>
  <si>
    <t>valor total estimado</t>
  </si>
  <si>
    <t>total</t>
  </si>
  <si>
    <t>valor para 12 meses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</si>
</sst>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(* #,##0.00_);_(* \(#,##0.00\);_(* \-??_);_(@_)"/>
    <numFmt numFmtId="165" formatCode="_-* #,##0_-;\-* #,##0_-;_-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64"/>
      <name val="Calibri"/>
      <family val="2"/>
      <scheme val="minor"/>
    </font>
    <font>
      <sz val="10"/>
      <name val="Arial"/>
      <family val="2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sz val="12"/>
      <color theme="0"/>
      <name val="Times New Roman"/>
      <family val="1"/>
    </font>
    <font>
      <b/>
      <i/>
      <sz val="10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theme="0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2">
    <xf numFmtId="0" fontId="0" fillId="0" borderId="0"/>
    <xf numFmtId="0" fontId="2" fillId="0" borderId="0"/>
    <xf numFmtId="164" fontId="3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6">
    <xf numFmtId="0" fontId="0" fillId="0" borderId="0" xfId="0"/>
    <xf numFmtId="0" fontId="4" fillId="0" borderId="0" xfId="0" applyFont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1" xfId="0" applyFont="1" applyBorder="1"/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vertical="center" wrapText="1"/>
    </xf>
    <xf numFmtId="10" fontId="4" fillId="0" borderId="1" xfId="11" applyNumberFormat="1" applyFont="1" applyBorder="1" applyAlignment="1">
      <alignment horizontal="center" vertical="center" wrapText="1"/>
    </xf>
    <xf numFmtId="43" fontId="4" fillId="0" borderId="1" xfId="10" applyFont="1" applyBorder="1" applyAlignment="1">
      <alignment horizontal="center" vertical="center" wrapText="1"/>
    </xf>
    <xf numFmtId="43" fontId="4" fillId="0" borderId="1" xfId="0" applyNumberFormat="1" applyFont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10" fontId="4" fillId="2" borderId="1" xfId="11" applyNumberFormat="1" applyFont="1" applyFill="1" applyBorder="1" applyAlignment="1">
      <alignment horizontal="center" vertical="center" wrapText="1"/>
    </xf>
    <xf numFmtId="43" fontId="4" fillId="0" borderId="0" xfId="0" applyNumberFormat="1" applyFont="1"/>
    <xf numFmtId="10" fontId="4" fillId="0" borderId="0" xfId="11" applyNumberFormat="1" applyFont="1"/>
    <xf numFmtId="43" fontId="5" fillId="0" borderId="1" xfId="0" applyNumberFormat="1" applyFont="1" applyBorder="1" applyAlignment="1">
      <alignment horizontal="center" vertical="center" wrapText="1"/>
    </xf>
    <xf numFmtId="43" fontId="5" fillId="0" borderId="1" xfId="10" applyFont="1" applyBorder="1" applyAlignment="1">
      <alignment horizontal="center" vertical="center" wrapText="1"/>
    </xf>
    <xf numFmtId="10" fontId="7" fillId="0" borderId="3" xfId="11" applyNumberFormat="1" applyFont="1" applyBorder="1" applyAlignment="1">
      <alignment horizontal="center" vertical="center" wrapText="1"/>
    </xf>
    <xf numFmtId="43" fontId="4" fillId="0" borderId="1" xfId="0" applyNumberFormat="1" applyFont="1" applyBorder="1" applyAlignment="1">
      <alignment vertical="center" wrapText="1"/>
    </xf>
    <xf numFmtId="43" fontId="5" fillId="0" borderId="1" xfId="0" applyNumberFormat="1" applyFont="1" applyBorder="1" applyAlignment="1">
      <alignment vertical="center" wrapText="1"/>
    </xf>
    <xf numFmtId="43" fontId="4" fillId="0" borderId="1" xfId="1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6" fillId="0" borderId="0" xfId="0" applyFont="1" applyFill="1" applyAlignment="1">
      <alignment horizontal="center"/>
    </xf>
    <xf numFmtId="0" fontId="4" fillId="0" borderId="1" xfId="0" applyFont="1" applyBorder="1" applyAlignment="1">
      <alignment horizontal="left" vertical="center" wrapText="1"/>
    </xf>
    <xf numFmtId="10" fontId="5" fillId="0" borderId="3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/>
    </xf>
    <xf numFmtId="0" fontId="8" fillId="0" borderId="0" xfId="0" applyFont="1"/>
    <xf numFmtId="0" fontId="8" fillId="0" borderId="0" xfId="0" applyFont="1" applyAlignment="1">
      <alignment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8" fillId="0" borderId="5" xfId="0" applyFont="1" applyBorder="1" applyAlignment="1">
      <alignment vertical="center" wrapText="1"/>
    </xf>
    <xf numFmtId="43" fontId="8" fillId="0" borderId="5" xfId="10" applyFont="1" applyBorder="1" applyAlignment="1">
      <alignment vertical="center"/>
    </xf>
    <xf numFmtId="165" fontId="8" fillId="0" borderId="5" xfId="10" applyNumberFormat="1" applyFont="1" applyBorder="1" applyAlignment="1">
      <alignment vertical="center"/>
    </xf>
    <xf numFmtId="43" fontId="9" fillId="7" borderId="5" xfId="0" applyNumberFormat="1" applyFont="1" applyFill="1" applyBorder="1"/>
    <xf numFmtId="0" fontId="8" fillId="6" borderId="5" xfId="0" applyFont="1" applyFill="1" applyBorder="1" applyAlignment="1">
      <alignment horizontal="center" vertical="center" wrapText="1"/>
    </xf>
    <xf numFmtId="43" fontId="9" fillId="0" borderId="5" xfId="0" applyNumberFormat="1" applyFont="1" applyBorder="1"/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5" borderId="0" xfId="0" applyFont="1" applyFill="1" applyAlignment="1">
      <alignment horizontal="center" vertical="center"/>
    </xf>
    <xf numFmtId="0" fontId="6" fillId="4" borderId="0" xfId="0" applyFont="1" applyFill="1" applyAlignment="1">
      <alignment horizontal="center"/>
    </xf>
    <xf numFmtId="0" fontId="5" fillId="3" borderId="0" xfId="0" applyFont="1" applyFill="1" applyBorder="1" applyAlignment="1">
      <alignment horizontal="center" vertical="center" wrapText="1"/>
    </xf>
    <xf numFmtId="0" fontId="5" fillId="5" borderId="0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10" fillId="8" borderId="0" xfId="0" applyFont="1" applyFill="1" applyAlignment="1">
      <alignment horizontal="center"/>
    </xf>
    <xf numFmtId="0" fontId="9" fillId="7" borderId="5" xfId="0" applyFont="1" applyFill="1" applyBorder="1" applyAlignment="1">
      <alignment vertical="center" wrapText="1"/>
    </xf>
    <xf numFmtId="0" fontId="8" fillId="0" borderId="5" xfId="0" applyFont="1" applyBorder="1" applyAlignment="1">
      <alignment horizontal="center"/>
    </xf>
    <xf numFmtId="0" fontId="9" fillId="0" borderId="0" xfId="0" applyFont="1" applyAlignment="1">
      <alignment horizontal="left"/>
    </xf>
  </cellXfs>
  <cellStyles count="12">
    <cellStyle name="Normal" xfId="0" builtinId="0"/>
    <cellStyle name="Normal 2" xfId="1"/>
    <cellStyle name="Porcentagem" xfId="11" builtinId="5"/>
    <cellStyle name="Vírgula" xfId="10" builtinId="3"/>
    <cellStyle name="Vírgula 2" xfId="2"/>
    <cellStyle name="Vírgula 3" xfId="3"/>
    <cellStyle name="Vírgula 3 2" xfId="4"/>
    <cellStyle name="Vírgula 4" xfId="5"/>
    <cellStyle name="Vírgula 4 2" xfId="6"/>
    <cellStyle name="Vírgula 5" xfId="7"/>
    <cellStyle name="Vírgula 5 2" xfId="8"/>
    <cellStyle name="Vírgula 6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257175</xdr:colOff>
      <xdr:row>1</xdr:row>
      <xdr:rowOff>57150</xdr:rowOff>
    </xdr:from>
    <xdr:to>
      <xdr:col>3</xdr:col>
      <xdr:colOff>800100</xdr:colOff>
      <xdr:row>6</xdr:row>
      <xdr:rowOff>108295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04925" y="247650"/>
          <a:ext cx="2638425" cy="10036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49"/>
  <sheetViews>
    <sheetView topLeftCell="A121" zoomScale="115" zoomScaleNormal="115" workbookViewId="0">
      <selection activeCell="C94" sqref="C94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49" t="s">
        <v>0</v>
      </c>
      <c r="B1" s="49"/>
      <c r="C1" s="49"/>
      <c r="D1" s="49"/>
    </row>
    <row r="2" spans="1:4" ht="15.75" x14ac:dyDescent="0.25">
      <c r="A2" s="26"/>
      <c r="B2" s="26"/>
      <c r="C2" s="26"/>
      <c r="D2" s="26"/>
    </row>
    <row r="3" spans="1:4" x14ac:dyDescent="0.2">
      <c r="A3" s="51" t="s">
        <v>90</v>
      </c>
      <c r="B3" s="51"/>
      <c r="C3" s="51"/>
      <c r="D3" s="51"/>
    </row>
    <row r="4" spans="1:4" x14ac:dyDescent="0.2">
      <c r="A4" s="2"/>
      <c r="B4" s="2"/>
      <c r="C4" s="2"/>
      <c r="D4" s="2"/>
    </row>
    <row r="5" spans="1:4" ht="38.25" x14ac:dyDescent="0.2">
      <c r="A5" s="58" t="s">
        <v>91</v>
      </c>
      <c r="B5" s="58"/>
      <c r="C5" s="7" t="s">
        <v>92</v>
      </c>
      <c r="D5" s="27" t="s">
        <v>93</v>
      </c>
    </row>
    <row r="6" spans="1:4" x14ac:dyDescent="0.2">
      <c r="A6" s="59" t="s">
        <v>100</v>
      </c>
      <c r="B6" s="59"/>
      <c r="C6" s="33" t="s">
        <v>101</v>
      </c>
      <c r="D6" s="33">
        <v>4</v>
      </c>
    </row>
    <row r="8" spans="1:4" x14ac:dyDescent="0.2">
      <c r="A8" s="51" t="s">
        <v>74</v>
      </c>
      <c r="B8" s="51"/>
      <c r="C8" s="51"/>
      <c r="D8" s="51"/>
    </row>
    <row r="9" spans="1:4" x14ac:dyDescent="0.2">
      <c r="A9" s="2"/>
      <c r="B9" s="2"/>
      <c r="C9" s="2"/>
      <c r="D9" s="2"/>
    </row>
    <row r="10" spans="1:4" x14ac:dyDescent="0.2">
      <c r="A10" s="5">
        <v>1</v>
      </c>
      <c r="B10" s="5" t="s">
        <v>75</v>
      </c>
      <c r="C10" s="60" t="s">
        <v>105</v>
      </c>
      <c r="D10" s="61"/>
    </row>
    <row r="11" spans="1:4" x14ac:dyDescent="0.2">
      <c r="A11" s="5">
        <v>2</v>
      </c>
      <c r="B11" s="5" t="s">
        <v>94</v>
      </c>
      <c r="C11" s="60" t="s">
        <v>102</v>
      </c>
      <c r="D11" s="61"/>
    </row>
    <row r="12" spans="1:4" x14ac:dyDescent="0.2">
      <c r="A12" s="5">
        <v>3</v>
      </c>
      <c r="B12" s="5" t="s">
        <v>76</v>
      </c>
      <c r="C12" s="60"/>
      <c r="D12" s="61"/>
    </row>
    <row r="13" spans="1:4" x14ac:dyDescent="0.2">
      <c r="A13" s="5">
        <v>4</v>
      </c>
      <c r="B13" s="5" t="s">
        <v>77</v>
      </c>
      <c r="C13" s="60"/>
      <c r="D13" s="61"/>
    </row>
    <row r="14" spans="1:4" x14ac:dyDescent="0.2">
      <c r="A14" s="5">
        <v>5</v>
      </c>
      <c r="B14" s="5" t="s">
        <v>78</v>
      </c>
      <c r="C14" s="60"/>
      <c r="D14" s="61"/>
    </row>
    <row r="16" spans="1:4" x14ac:dyDescent="0.2">
      <c r="A16" s="51" t="s">
        <v>1</v>
      </c>
      <c r="B16" s="51"/>
      <c r="C16" s="51"/>
      <c r="D16" s="51"/>
    </row>
    <row r="18" spans="1:4" x14ac:dyDescent="0.2">
      <c r="A18" s="6">
        <v>1</v>
      </c>
      <c r="B18" s="45" t="s">
        <v>2</v>
      </c>
      <c r="C18" s="45"/>
      <c r="D18" s="6" t="s">
        <v>3</v>
      </c>
    </row>
    <row r="19" spans="1:4" x14ac:dyDescent="0.2">
      <c r="A19" s="7" t="s">
        <v>4</v>
      </c>
      <c r="B19" s="44" t="s">
        <v>5</v>
      </c>
      <c r="C19" s="44"/>
      <c r="D19" s="13">
        <v>12746.61</v>
      </c>
    </row>
    <row r="20" spans="1:4" x14ac:dyDescent="0.2">
      <c r="A20" s="7" t="s">
        <v>6</v>
      </c>
      <c r="B20" s="44" t="s">
        <v>7</v>
      </c>
      <c r="C20" s="44"/>
      <c r="D20" s="13"/>
    </row>
    <row r="21" spans="1:4" x14ac:dyDescent="0.2">
      <c r="A21" s="7" t="s">
        <v>8</v>
      </c>
      <c r="B21" s="44" t="s">
        <v>9</v>
      </c>
      <c r="C21" s="44"/>
      <c r="D21" s="13"/>
    </row>
    <row r="22" spans="1:4" x14ac:dyDescent="0.2">
      <c r="A22" s="7" t="s">
        <v>10</v>
      </c>
      <c r="B22" s="44" t="s">
        <v>11</v>
      </c>
      <c r="C22" s="44"/>
      <c r="D22" s="13"/>
    </row>
    <row r="23" spans="1:4" x14ac:dyDescent="0.2">
      <c r="A23" s="7" t="s">
        <v>12</v>
      </c>
      <c r="B23" s="44" t="s">
        <v>13</v>
      </c>
      <c r="C23" s="44"/>
      <c r="D23" s="13"/>
    </row>
    <row r="24" spans="1:4" x14ac:dyDescent="0.2">
      <c r="A24" s="7"/>
      <c r="B24" s="44"/>
      <c r="C24" s="44"/>
      <c r="D24" s="13"/>
    </row>
    <row r="25" spans="1:4" x14ac:dyDescent="0.2">
      <c r="A25" s="7" t="s">
        <v>14</v>
      </c>
      <c r="B25" s="44" t="s">
        <v>15</v>
      </c>
      <c r="C25" s="44"/>
      <c r="D25" s="13"/>
    </row>
    <row r="26" spans="1:4" x14ac:dyDescent="0.2">
      <c r="A26" s="45" t="s">
        <v>16</v>
      </c>
      <c r="B26" s="45"/>
      <c r="C26" s="45"/>
      <c r="D26" s="20">
        <f>SUM(D19:D25)</f>
        <v>12746.61</v>
      </c>
    </row>
    <row r="29" spans="1:4" x14ac:dyDescent="0.2">
      <c r="A29" s="48" t="s">
        <v>17</v>
      </c>
      <c r="B29" s="48"/>
      <c r="C29" s="48"/>
      <c r="D29" s="48"/>
    </row>
    <row r="30" spans="1:4" x14ac:dyDescent="0.2">
      <c r="A30" s="3"/>
    </row>
    <row r="31" spans="1:4" x14ac:dyDescent="0.2">
      <c r="A31" s="46" t="s">
        <v>18</v>
      </c>
      <c r="B31" s="46"/>
      <c r="C31" s="46"/>
      <c r="D31" s="46"/>
    </row>
    <row r="33" spans="1:4" x14ac:dyDescent="0.2">
      <c r="A33" s="6" t="s">
        <v>19</v>
      </c>
      <c r="B33" s="45" t="s">
        <v>20</v>
      </c>
      <c r="C33" s="45"/>
      <c r="D33" s="6" t="s">
        <v>3</v>
      </c>
    </row>
    <row r="34" spans="1:4" x14ac:dyDescent="0.2">
      <c r="A34" s="7" t="s">
        <v>4</v>
      </c>
      <c r="B34" s="8" t="s">
        <v>21</v>
      </c>
      <c r="C34" s="12">
        <f>TRUNC(1/12,4)</f>
        <v>8.3299999999999999E-2</v>
      </c>
      <c r="D34" s="13">
        <f>TRUNC($D$26*C34,2)</f>
        <v>1061.79</v>
      </c>
    </row>
    <row r="35" spans="1:4" x14ac:dyDescent="0.2">
      <c r="A35" s="7" t="s">
        <v>6</v>
      </c>
      <c r="B35" s="8" t="s">
        <v>22</v>
      </c>
      <c r="C35" s="12">
        <f>TRUNC(((1+1/3)/12),4)</f>
        <v>0.1111</v>
      </c>
      <c r="D35" s="13">
        <f>TRUNC($D$26*C35,2)</f>
        <v>1416.14</v>
      </c>
    </row>
    <row r="36" spans="1:4" x14ac:dyDescent="0.2">
      <c r="A36" s="45" t="s">
        <v>16</v>
      </c>
      <c r="B36" s="45"/>
      <c r="C36" s="28">
        <f>SUM(C34:C35)</f>
        <v>0.19440000000000002</v>
      </c>
      <c r="D36" s="19">
        <f>SUM(D34:D35)</f>
        <v>2477.9300000000003</v>
      </c>
    </row>
    <row r="39" spans="1:4" x14ac:dyDescent="0.2">
      <c r="A39" s="50" t="s">
        <v>23</v>
      </c>
      <c r="B39" s="50"/>
      <c r="C39" s="50"/>
      <c r="D39" s="50"/>
    </row>
    <row r="41" spans="1:4" x14ac:dyDescent="0.2">
      <c r="A41" s="6" t="s">
        <v>24</v>
      </c>
      <c r="B41" s="6" t="s">
        <v>25</v>
      </c>
      <c r="C41" s="6" t="s">
        <v>26</v>
      </c>
      <c r="D41" s="6" t="s">
        <v>3</v>
      </c>
    </row>
    <row r="42" spans="1:4" x14ac:dyDescent="0.2">
      <c r="A42" s="7" t="s">
        <v>4</v>
      </c>
      <c r="B42" s="8" t="s">
        <v>27</v>
      </c>
      <c r="C42" s="9">
        <v>0.2</v>
      </c>
      <c r="D42" s="13">
        <f>TRUNC(($D$26+$D$36)*C42,2)</f>
        <v>3044.9</v>
      </c>
    </row>
    <row r="43" spans="1:4" x14ac:dyDescent="0.2">
      <c r="A43" s="7" t="s">
        <v>6</v>
      </c>
      <c r="B43" s="8" t="s">
        <v>28</v>
      </c>
      <c r="C43" s="9">
        <v>2.5000000000000001E-2</v>
      </c>
      <c r="D43" s="13">
        <f t="shared" ref="D43:D49" si="0">TRUNC(($D$26+$D$36)*C43,2)</f>
        <v>380.61</v>
      </c>
    </row>
    <row r="44" spans="1:4" x14ac:dyDescent="0.2">
      <c r="A44" s="7" t="s">
        <v>8</v>
      </c>
      <c r="B44" s="8" t="s">
        <v>29</v>
      </c>
      <c r="C44" s="16">
        <v>0.03</v>
      </c>
      <c r="D44" s="13">
        <f t="shared" si="0"/>
        <v>456.73</v>
      </c>
    </row>
    <row r="45" spans="1:4" x14ac:dyDescent="0.2">
      <c r="A45" s="7" t="s">
        <v>10</v>
      </c>
      <c r="B45" s="8" t="s">
        <v>30</v>
      </c>
      <c r="C45" s="9">
        <v>1.4999999999999999E-2</v>
      </c>
      <c r="D45" s="13">
        <f t="shared" si="0"/>
        <v>228.36</v>
      </c>
    </row>
    <row r="46" spans="1:4" x14ac:dyDescent="0.2">
      <c r="A46" s="7" t="s">
        <v>12</v>
      </c>
      <c r="B46" s="8" t="s">
        <v>31</v>
      </c>
      <c r="C46" s="9">
        <v>0.01</v>
      </c>
      <c r="D46" s="13">
        <f t="shared" si="0"/>
        <v>152.24</v>
      </c>
    </row>
    <row r="47" spans="1:4" x14ac:dyDescent="0.2">
      <c r="A47" s="7" t="s">
        <v>32</v>
      </c>
      <c r="B47" s="8" t="s">
        <v>33</v>
      </c>
      <c r="C47" s="9">
        <v>6.0000000000000001E-3</v>
      </c>
      <c r="D47" s="13">
        <f t="shared" si="0"/>
        <v>91.34</v>
      </c>
    </row>
    <row r="48" spans="1:4" x14ac:dyDescent="0.2">
      <c r="A48" s="7" t="s">
        <v>14</v>
      </c>
      <c r="B48" s="8" t="s">
        <v>34</v>
      </c>
      <c r="C48" s="9">
        <v>2E-3</v>
      </c>
      <c r="D48" s="13">
        <f t="shared" si="0"/>
        <v>30.44</v>
      </c>
    </row>
    <row r="49" spans="1:4" x14ac:dyDescent="0.2">
      <c r="A49" s="7" t="s">
        <v>35</v>
      </c>
      <c r="B49" s="8" t="s">
        <v>36</v>
      </c>
      <c r="C49" s="9">
        <v>0.08</v>
      </c>
      <c r="D49" s="13">
        <f t="shared" si="0"/>
        <v>1217.96</v>
      </c>
    </row>
    <row r="50" spans="1:4" x14ac:dyDescent="0.2">
      <c r="A50" s="45" t="s">
        <v>37</v>
      </c>
      <c r="B50" s="45"/>
      <c r="C50" s="15">
        <f>SUM(C42:C49)</f>
        <v>0.36800000000000005</v>
      </c>
      <c r="D50" s="19">
        <f>SUM(D42:D49)</f>
        <v>5602.58</v>
      </c>
    </row>
    <row r="53" spans="1:4" x14ac:dyDescent="0.2">
      <c r="A53" s="46" t="s">
        <v>38</v>
      </c>
      <c r="B53" s="46"/>
      <c r="C53" s="46"/>
      <c r="D53" s="46"/>
    </row>
    <row r="55" spans="1:4" x14ac:dyDescent="0.2">
      <c r="A55" s="6" t="s">
        <v>39</v>
      </c>
      <c r="B55" s="47" t="s">
        <v>40</v>
      </c>
      <c r="C55" s="47"/>
      <c r="D55" s="6" t="s">
        <v>3</v>
      </c>
    </row>
    <row r="56" spans="1:4" x14ac:dyDescent="0.2">
      <c r="A56" s="7" t="s">
        <v>4</v>
      </c>
      <c r="B56" s="44" t="s">
        <v>41</v>
      </c>
      <c r="C56" s="44"/>
      <c r="D56" s="13">
        <f>IF((23*2*4.9)-(D19*0.06)&gt;0,(23*2*4.9)-(D19*0.06),0)</f>
        <v>0</v>
      </c>
    </row>
    <row r="57" spans="1:4" x14ac:dyDescent="0.2">
      <c r="A57" s="7" t="s">
        <v>6</v>
      </c>
      <c r="B57" s="44" t="s">
        <v>42</v>
      </c>
      <c r="C57" s="44"/>
      <c r="D57" s="13">
        <f>31*0.9*23</f>
        <v>641.70000000000005</v>
      </c>
    </row>
    <row r="58" spans="1:4" x14ac:dyDescent="0.2">
      <c r="A58" s="7" t="s">
        <v>8</v>
      </c>
      <c r="B58" s="44" t="s">
        <v>103</v>
      </c>
      <c r="C58" s="44"/>
      <c r="D58" s="13">
        <f>200*0.7</f>
        <v>140</v>
      </c>
    </row>
    <row r="59" spans="1:4" x14ac:dyDescent="0.2">
      <c r="A59" s="7" t="s">
        <v>10</v>
      </c>
      <c r="B59" s="44" t="s">
        <v>15</v>
      </c>
      <c r="C59" s="44"/>
      <c r="D59" s="13"/>
    </row>
    <row r="60" spans="1:4" x14ac:dyDescent="0.2">
      <c r="A60" s="45" t="s">
        <v>16</v>
      </c>
      <c r="B60" s="45"/>
      <c r="C60" s="45"/>
      <c r="D60" s="19">
        <f>SUM(D56:D59)</f>
        <v>781.7</v>
      </c>
    </row>
    <row r="63" spans="1:4" x14ac:dyDescent="0.2">
      <c r="A63" s="46" t="s">
        <v>43</v>
      </c>
      <c r="B63" s="46"/>
      <c r="C63" s="46"/>
      <c r="D63" s="46"/>
    </row>
    <row r="65" spans="1:5" x14ac:dyDescent="0.2">
      <c r="A65" s="6">
        <v>2</v>
      </c>
      <c r="B65" s="47" t="s">
        <v>44</v>
      </c>
      <c r="C65" s="47"/>
      <c r="D65" s="6" t="s">
        <v>3</v>
      </c>
    </row>
    <row r="66" spans="1:5" x14ac:dyDescent="0.2">
      <c r="A66" s="7" t="s">
        <v>19</v>
      </c>
      <c r="B66" s="44" t="s">
        <v>20</v>
      </c>
      <c r="C66" s="44"/>
      <c r="D66" s="14">
        <f>D36</f>
        <v>2477.9300000000003</v>
      </c>
    </row>
    <row r="67" spans="1:5" x14ac:dyDescent="0.2">
      <c r="A67" s="7" t="s">
        <v>24</v>
      </c>
      <c r="B67" s="44" t="s">
        <v>25</v>
      </c>
      <c r="C67" s="44"/>
      <c r="D67" s="14">
        <f>D50</f>
        <v>5602.58</v>
      </c>
    </row>
    <row r="68" spans="1:5" x14ac:dyDescent="0.2">
      <c r="A68" s="7" t="s">
        <v>39</v>
      </c>
      <c r="B68" s="44" t="s">
        <v>40</v>
      </c>
      <c r="C68" s="44"/>
      <c r="D68" s="14">
        <f>D60</f>
        <v>781.7</v>
      </c>
    </row>
    <row r="69" spans="1:5" x14ac:dyDescent="0.2">
      <c r="A69" s="45" t="s">
        <v>16</v>
      </c>
      <c r="B69" s="45"/>
      <c r="C69" s="45"/>
      <c r="D69" s="19">
        <f>SUM(D66:D68)</f>
        <v>8862.2100000000009</v>
      </c>
    </row>
    <row r="70" spans="1:5" x14ac:dyDescent="0.2">
      <c r="A70" s="4"/>
      <c r="E70" s="18"/>
    </row>
    <row r="72" spans="1:5" x14ac:dyDescent="0.2">
      <c r="A72" s="48" t="s">
        <v>45</v>
      </c>
      <c r="B72" s="48"/>
      <c r="C72" s="48"/>
      <c r="D72" s="48"/>
      <c r="E72" s="17"/>
    </row>
    <row r="73" spans="1:5" ht="12.75" customHeight="1" x14ac:dyDescent="0.2">
      <c r="E73" s="18"/>
    </row>
    <row r="74" spans="1:5" x14ac:dyDescent="0.2">
      <c r="A74" s="6">
        <v>3</v>
      </c>
      <c r="B74" s="47" t="s">
        <v>46</v>
      </c>
      <c r="C74" s="47"/>
      <c r="D74" s="6" t="s">
        <v>3</v>
      </c>
    </row>
    <row r="75" spans="1:5" x14ac:dyDescent="0.2">
      <c r="A75" s="7" t="s">
        <v>4</v>
      </c>
      <c r="B75" s="10" t="s">
        <v>47</v>
      </c>
      <c r="C75" s="9">
        <f>TRUNC(((1/12)*5%),4)</f>
        <v>4.1000000000000003E-3</v>
      </c>
      <c r="D75" s="13">
        <f>TRUNC($D$26*C75,2)</f>
        <v>52.26</v>
      </c>
    </row>
    <row r="76" spans="1:5" x14ac:dyDescent="0.2">
      <c r="A76" s="7" t="s">
        <v>6</v>
      </c>
      <c r="B76" s="10" t="s">
        <v>48</v>
      </c>
      <c r="C76" s="9">
        <v>0.08</v>
      </c>
      <c r="D76" s="13">
        <f>TRUNC(D75*C76,2)</f>
        <v>4.18</v>
      </c>
    </row>
    <row r="77" spans="1:5" x14ac:dyDescent="0.2">
      <c r="A77" s="7" t="s">
        <v>8</v>
      </c>
      <c r="B77" s="10" t="s">
        <v>49</v>
      </c>
      <c r="C77" s="9">
        <f>TRUNC(8%*5%*40%,4)</f>
        <v>1.6000000000000001E-3</v>
      </c>
      <c r="D77" s="13">
        <f>TRUNC($D$26*C77,2)</f>
        <v>20.39</v>
      </c>
    </row>
    <row r="78" spans="1:5" x14ac:dyDescent="0.2">
      <c r="A78" s="7" t="s">
        <v>10</v>
      </c>
      <c r="B78" s="10" t="s">
        <v>50</v>
      </c>
      <c r="C78" s="9">
        <f>TRUNC(((7/30)/12)*95%,4)</f>
        <v>1.84E-2</v>
      </c>
      <c r="D78" s="13">
        <f>TRUNC($D$26*C78,2)</f>
        <v>234.53</v>
      </c>
    </row>
    <row r="79" spans="1:5" ht="25.5" x14ac:dyDescent="0.2">
      <c r="A79" s="7" t="s">
        <v>12</v>
      </c>
      <c r="B79" s="10" t="s">
        <v>95</v>
      </c>
      <c r="C79" s="9">
        <f>C50</f>
        <v>0.36800000000000005</v>
      </c>
      <c r="D79" s="13">
        <f>TRUNC(D78*C79,2)</f>
        <v>86.3</v>
      </c>
    </row>
    <row r="80" spans="1:5" x14ac:dyDescent="0.2">
      <c r="A80" s="7" t="s">
        <v>32</v>
      </c>
      <c r="B80" s="10" t="s">
        <v>51</v>
      </c>
      <c r="C80" s="9">
        <f>TRUNC(8%*95%*40%,4)</f>
        <v>3.04E-2</v>
      </c>
      <c r="D80" s="13">
        <f t="shared" ref="D80" si="1">TRUNC($D$26*C80,2)</f>
        <v>387.49</v>
      </c>
    </row>
    <row r="81" spans="1:6" x14ac:dyDescent="0.2">
      <c r="A81" s="52" t="s">
        <v>16</v>
      </c>
      <c r="B81" s="53"/>
      <c r="C81" s="54"/>
      <c r="D81" s="19">
        <f>SUM(D75:D80)</f>
        <v>785.15000000000009</v>
      </c>
    </row>
    <row r="84" spans="1:6" x14ac:dyDescent="0.2">
      <c r="A84" s="48" t="s">
        <v>52</v>
      </c>
      <c r="B84" s="48"/>
      <c r="C84" s="48"/>
      <c r="D84" s="48"/>
    </row>
    <row r="87" spans="1:6" x14ac:dyDescent="0.2">
      <c r="A87" s="46" t="s">
        <v>79</v>
      </c>
      <c r="B87" s="46"/>
      <c r="C87" s="46"/>
      <c r="D87" s="46"/>
    </row>
    <row r="88" spans="1:6" x14ac:dyDescent="0.2">
      <c r="A88" s="3"/>
    </row>
    <row r="89" spans="1:6" x14ac:dyDescent="0.2">
      <c r="A89" s="6" t="s">
        <v>53</v>
      </c>
      <c r="B89" s="47" t="s">
        <v>80</v>
      </c>
      <c r="C89" s="47"/>
      <c r="D89" s="6" t="s">
        <v>3</v>
      </c>
    </row>
    <row r="90" spans="1:6" x14ac:dyDescent="0.2">
      <c r="A90" s="7" t="s">
        <v>4</v>
      </c>
      <c r="B90" s="8" t="s">
        <v>81</v>
      </c>
      <c r="C90" s="9">
        <f>TRUNC(((1+1/3)/12)/12,4)</f>
        <v>9.1999999999999998E-3</v>
      </c>
      <c r="D90" s="13">
        <f>TRUNC(($D$26+$D$69+$D$81)*C90,2)</f>
        <v>206.02</v>
      </c>
    </row>
    <row r="91" spans="1:6" x14ac:dyDescent="0.2">
      <c r="A91" s="7" t="s">
        <v>6</v>
      </c>
      <c r="B91" s="8" t="s">
        <v>82</v>
      </c>
      <c r="C91" s="9">
        <f>TRUNC(((2/30)/12),4)*0</f>
        <v>0</v>
      </c>
      <c r="D91" s="13">
        <f t="shared" ref="D91:D95" si="2">TRUNC(($D$26+$D$69+$D$81)*C91,2)</f>
        <v>0</v>
      </c>
    </row>
    <row r="92" spans="1:6" x14ac:dyDescent="0.2">
      <c r="A92" s="7" t="s">
        <v>8</v>
      </c>
      <c r="B92" s="8" t="s">
        <v>83</v>
      </c>
      <c r="C92" s="9">
        <f>TRUNC(((5/30)/12)*2%,4)*0</f>
        <v>0</v>
      </c>
      <c r="D92" s="13">
        <f t="shared" si="2"/>
        <v>0</v>
      </c>
    </row>
    <row r="93" spans="1:6" x14ac:dyDescent="0.2">
      <c r="A93" s="7" t="s">
        <v>10</v>
      </c>
      <c r="B93" s="8" t="s">
        <v>84</v>
      </c>
      <c r="C93" s="9">
        <f>TRUNC(((15/30)/12)*8%,4)</f>
        <v>3.3E-3</v>
      </c>
      <c r="D93" s="13">
        <f t="shared" si="2"/>
        <v>73.900000000000006</v>
      </c>
    </row>
    <row r="94" spans="1:6" x14ac:dyDescent="0.2">
      <c r="A94" s="7" t="s">
        <v>12</v>
      </c>
      <c r="B94" s="8" t="s">
        <v>85</v>
      </c>
      <c r="C94" s="9">
        <f>((1+1/3)/12)*3%*(6/12)</f>
        <v>1.6666666666666666E-3</v>
      </c>
      <c r="D94" s="13">
        <f t="shared" si="2"/>
        <v>37.32</v>
      </c>
    </row>
    <row r="95" spans="1:6" x14ac:dyDescent="0.2">
      <c r="A95" s="7" t="s">
        <v>32</v>
      </c>
      <c r="B95" s="8" t="s">
        <v>86</v>
      </c>
      <c r="C95" s="9"/>
      <c r="D95" s="13">
        <f t="shared" si="2"/>
        <v>0</v>
      </c>
    </row>
    <row r="96" spans="1:6" x14ac:dyDescent="0.2">
      <c r="A96" s="45" t="s">
        <v>37</v>
      </c>
      <c r="B96" s="45"/>
      <c r="C96" s="45"/>
      <c r="D96" s="19">
        <f>SUM(D90:D95)</f>
        <v>317.24</v>
      </c>
      <c r="E96" s="17"/>
      <c r="F96" s="17"/>
    </row>
    <row r="99" spans="1:4" x14ac:dyDescent="0.2">
      <c r="A99" s="46" t="s">
        <v>87</v>
      </c>
      <c r="B99" s="46"/>
      <c r="C99" s="46"/>
      <c r="D99" s="46"/>
    </row>
    <row r="100" spans="1:4" x14ac:dyDescent="0.2">
      <c r="A100" s="3"/>
    </row>
    <row r="101" spans="1:4" x14ac:dyDescent="0.2">
      <c r="A101" s="6" t="s">
        <v>54</v>
      </c>
      <c r="B101" s="47" t="s">
        <v>88</v>
      </c>
      <c r="C101" s="47"/>
      <c r="D101" s="6" t="s">
        <v>3</v>
      </c>
    </row>
    <row r="102" spans="1:4" x14ac:dyDescent="0.2">
      <c r="A102" s="7" t="s">
        <v>4</v>
      </c>
      <c r="B102" s="55" t="s">
        <v>89</v>
      </c>
      <c r="C102" s="56"/>
      <c r="D102" s="13">
        <f>((D26+D69+D81)/220)*22*0</f>
        <v>0</v>
      </c>
    </row>
    <row r="103" spans="1:4" x14ac:dyDescent="0.2">
      <c r="A103" s="45" t="s">
        <v>16</v>
      </c>
      <c r="B103" s="45"/>
      <c r="C103" s="45"/>
      <c r="D103" s="19">
        <f>SUM(D102)</f>
        <v>0</v>
      </c>
    </row>
    <row r="106" spans="1:4" x14ac:dyDescent="0.2">
      <c r="A106" s="46" t="s">
        <v>55</v>
      </c>
      <c r="B106" s="46"/>
      <c r="C106" s="46"/>
      <c r="D106" s="46"/>
    </row>
    <row r="107" spans="1:4" x14ac:dyDescent="0.2">
      <c r="A107" s="3"/>
    </row>
    <row r="108" spans="1:4" x14ac:dyDescent="0.2">
      <c r="A108" s="6">
        <v>4</v>
      </c>
      <c r="B108" s="45" t="s">
        <v>56</v>
      </c>
      <c r="C108" s="45"/>
      <c r="D108" s="6" t="s">
        <v>3</v>
      </c>
    </row>
    <row r="109" spans="1:4" x14ac:dyDescent="0.2">
      <c r="A109" s="7" t="s">
        <v>53</v>
      </c>
      <c r="B109" s="44" t="s">
        <v>80</v>
      </c>
      <c r="C109" s="44"/>
      <c r="D109" s="14">
        <f>D96</f>
        <v>317.24</v>
      </c>
    </row>
    <row r="110" spans="1:4" x14ac:dyDescent="0.2">
      <c r="A110" s="7" t="s">
        <v>54</v>
      </c>
      <c r="B110" s="44" t="s">
        <v>88</v>
      </c>
      <c r="C110" s="44"/>
      <c r="D110" s="14">
        <f>D103</f>
        <v>0</v>
      </c>
    </row>
    <row r="111" spans="1:4" x14ac:dyDescent="0.2">
      <c r="A111" s="45" t="s">
        <v>16</v>
      </c>
      <c r="B111" s="45"/>
      <c r="C111" s="45"/>
      <c r="D111" s="19">
        <f>SUM(D109:D110)</f>
        <v>317.24</v>
      </c>
    </row>
    <row r="114" spans="1:4" x14ac:dyDescent="0.2">
      <c r="A114" s="48" t="s">
        <v>57</v>
      </c>
      <c r="B114" s="48"/>
      <c r="C114" s="48"/>
      <c r="D114" s="48"/>
    </row>
    <row r="116" spans="1:4" x14ac:dyDescent="0.2">
      <c r="A116" s="6">
        <v>5</v>
      </c>
      <c r="B116" s="57" t="s">
        <v>58</v>
      </c>
      <c r="C116" s="57"/>
      <c r="D116" s="6" t="s">
        <v>3</v>
      </c>
    </row>
    <row r="117" spans="1:4" x14ac:dyDescent="0.2">
      <c r="A117" s="7" t="s">
        <v>4</v>
      </c>
      <c r="B117" s="8" t="s">
        <v>59</v>
      </c>
      <c r="C117" s="8"/>
      <c r="D117" s="13"/>
    </row>
    <row r="118" spans="1:4" x14ac:dyDescent="0.2">
      <c r="A118" s="7" t="s">
        <v>6</v>
      </c>
      <c r="B118" s="8" t="s">
        <v>60</v>
      </c>
      <c r="C118" s="8"/>
      <c r="D118" s="13"/>
    </row>
    <row r="119" spans="1:4" x14ac:dyDescent="0.2">
      <c r="A119" s="7" t="s">
        <v>8</v>
      </c>
      <c r="B119" s="8" t="s">
        <v>61</v>
      </c>
      <c r="C119" s="8"/>
      <c r="D119" s="13"/>
    </row>
    <row r="120" spans="1:4" x14ac:dyDescent="0.2">
      <c r="A120" s="7" t="s">
        <v>10</v>
      </c>
      <c r="B120" s="8" t="s">
        <v>15</v>
      </c>
      <c r="C120" s="8"/>
      <c r="D120" s="13"/>
    </row>
    <row r="121" spans="1:4" x14ac:dyDescent="0.2">
      <c r="A121" s="45" t="s">
        <v>37</v>
      </c>
      <c r="B121" s="45"/>
      <c r="C121" s="45"/>
      <c r="D121" s="20"/>
    </row>
    <row r="124" spans="1:4" x14ac:dyDescent="0.2">
      <c r="A124" s="48" t="s">
        <v>62</v>
      </c>
      <c r="B124" s="48"/>
      <c r="C124" s="48"/>
      <c r="D124" s="48"/>
    </row>
    <row r="126" spans="1:4" x14ac:dyDescent="0.2">
      <c r="A126" s="6">
        <v>6</v>
      </c>
      <c r="B126" s="11" t="s">
        <v>63</v>
      </c>
      <c r="C126" s="6" t="s">
        <v>26</v>
      </c>
      <c r="D126" s="6" t="s">
        <v>3</v>
      </c>
    </row>
    <row r="127" spans="1:4" x14ac:dyDescent="0.2">
      <c r="A127" s="7" t="s">
        <v>4</v>
      </c>
      <c r="B127" s="8" t="s">
        <v>64</v>
      </c>
      <c r="C127" s="9">
        <v>0.05</v>
      </c>
      <c r="D127" s="14">
        <f>D147*C127</f>
        <v>1135.5605000000003</v>
      </c>
    </row>
    <row r="128" spans="1:4" x14ac:dyDescent="0.2">
      <c r="A128" s="7" t="s">
        <v>6</v>
      </c>
      <c r="B128" s="8" t="s">
        <v>65</v>
      </c>
      <c r="C128" s="9">
        <v>0.06</v>
      </c>
      <c r="D128" s="13">
        <f>(D147+D127)*C128</f>
        <v>1430.8062300000001</v>
      </c>
    </row>
    <row r="129" spans="1:4" x14ac:dyDescent="0.2">
      <c r="A129" s="7" t="s">
        <v>8</v>
      </c>
      <c r="B129" s="8" t="s">
        <v>66</v>
      </c>
      <c r="C129" s="12">
        <f>SUM(C130:C135)</f>
        <v>8.6499999999999994E-2</v>
      </c>
      <c r="D129" s="13">
        <f>(D147+D127+D128)*C129/(1-C129)</f>
        <v>2393.5526952873565</v>
      </c>
    </row>
    <row r="130" spans="1:4" x14ac:dyDescent="0.2">
      <c r="A130" s="7"/>
      <c r="B130" s="8" t="s">
        <v>67</v>
      </c>
      <c r="C130" s="9"/>
      <c r="D130" s="14">
        <f>$D$149*C130</f>
        <v>0</v>
      </c>
    </row>
    <row r="131" spans="1:4" x14ac:dyDescent="0.2">
      <c r="A131" s="7"/>
      <c r="B131" s="25" t="s">
        <v>97</v>
      </c>
      <c r="C131" s="9">
        <v>6.4999999999999997E-3</v>
      </c>
      <c r="D131" s="14">
        <f t="shared" ref="D131:D132" si="3">$D$149*C131</f>
        <v>179.86234126436784</v>
      </c>
    </row>
    <row r="132" spans="1:4" x14ac:dyDescent="0.2">
      <c r="A132" s="7"/>
      <c r="B132" s="25" t="s">
        <v>98</v>
      </c>
      <c r="C132" s="9">
        <v>0.03</v>
      </c>
      <c r="D132" s="14">
        <f t="shared" si="3"/>
        <v>830.13388275862076</v>
      </c>
    </row>
    <row r="133" spans="1:4" x14ac:dyDescent="0.2">
      <c r="A133" s="7"/>
      <c r="B133" s="8" t="s">
        <v>68</v>
      </c>
      <c r="C133" s="7"/>
      <c r="D133" s="14">
        <f t="shared" ref="D133:D134" si="4">$D$149*C133</f>
        <v>0</v>
      </c>
    </row>
    <row r="134" spans="1:4" x14ac:dyDescent="0.2">
      <c r="A134" s="7"/>
      <c r="B134" s="8" t="s">
        <v>69</v>
      </c>
      <c r="C134" s="9"/>
      <c r="D134" s="14">
        <f t="shared" si="4"/>
        <v>0</v>
      </c>
    </row>
    <row r="135" spans="1:4" x14ac:dyDescent="0.2">
      <c r="A135" s="7"/>
      <c r="B135" s="25" t="s">
        <v>99</v>
      </c>
      <c r="C135" s="9">
        <v>0.05</v>
      </c>
      <c r="D135" s="14">
        <f t="shared" ref="D135" si="5">$D$149*C135</f>
        <v>1383.5564712643682</v>
      </c>
    </row>
    <row r="136" spans="1:4" ht="13.5" x14ac:dyDescent="0.2">
      <c r="A136" s="52" t="s">
        <v>37</v>
      </c>
      <c r="B136" s="53"/>
      <c r="C136" s="21">
        <f>(1+C128)*(1+C127)/(1-C129)-1</f>
        <v>0.21839080459770144</v>
      </c>
      <c r="D136" s="19">
        <f>SUM(D127:D129)</f>
        <v>4959.9194252873567</v>
      </c>
    </row>
    <row r="139" spans="1:4" x14ac:dyDescent="0.2">
      <c r="A139" s="48" t="s">
        <v>70</v>
      </c>
      <c r="B139" s="48"/>
      <c r="C139" s="48"/>
      <c r="D139" s="48"/>
    </row>
    <row r="141" spans="1:4" x14ac:dyDescent="0.2">
      <c r="A141" s="6"/>
      <c r="B141" s="45" t="s">
        <v>71</v>
      </c>
      <c r="C141" s="45"/>
      <c r="D141" s="6" t="s">
        <v>3</v>
      </c>
    </row>
    <row r="142" spans="1:4" x14ac:dyDescent="0.2">
      <c r="A142" s="6" t="s">
        <v>4</v>
      </c>
      <c r="B142" s="44" t="s">
        <v>1</v>
      </c>
      <c r="C142" s="44"/>
      <c r="D142" s="22">
        <f>D26</f>
        <v>12746.61</v>
      </c>
    </row>
    <row r="143" spans="1:4" x14ac:dyDescent="0.2">
      <c r="A143" s="6" t="s">
        <v>6</v>
      </c>
      <c r="B143" s="44" t="s">
        <v>17</v>
      </c>
      <c r="C143" s="44"/>
      <c r="D143" s="22">
        <f>D69</f>
        <v>8862.2100000000009</v>
      </c>
    </row>
    <row r="144" spans="1:4" x14ac:dyDescent="0.2">
      <c r="A144" s="6" t="s">
        <v>8</v>
      </c>
      <c r="B144" s="44" t="s">
        <v>45</v>
      </c>
      <c r="C144" s="44"/>
      <c r="D144" s="22">
        <f>D81</f>
        <v>785.15000000000009</v>
      </c>
    </row>
    <row r="145" spans="1:4" x14ac:dyDescent="0.2">
      <c r="A145" s="6" t="s">
        <v>10</v>
      </c>
      <c r="B145" s="44" t="s">
        <v>52</v>
      </c>
      <c r="C145" s="44"/>
      <c r="D145" s="22">
        <f>D111</f>
        <v>317.24</v>
      </c>
    </row>
    <row r="146" spans="1:4" x14ac:dyDescent="0.2">
      <c r="A146" s="6" t="s">
        <v>12</v>
      </c>
      <c r="B146" s="44" t="s">
        <v>57</v>
      </c>
      <c r="C146" s="44"/>
      <c r="D146" s="22">
        <f>D121</f>
        <v>0</v>
      </c>
    </row>
    <row r="147" spans="1:4" x14ac:dyDescent="0.2">
      <c r="A147" s="45" t="s">
        <v>96</v>
      </c>
      <c r="B147" s="45"/>
      <c r="C147" s="45"/>
      <c r="D147" s="23">
        <f>SUM(D142:D146)</f>
        <v>22711.210000000003</v>
      </c>
    </row>
    <row r="148" spans="1:4" x14ac:dyDescent="0.2">
      <c r="A148" s="6" t="s">
        <v>32</v>
      </c>
      <c r="B148" s="44" t="s">
        <v>72</v>
      </c>
      <c r="C148" s="44"/>
      <c r="D148" s="24">
        <f>D136</f>
        <v>4959.9194252873567</v>
      </c>
    </row>
    <row r="149" spans="1:4" x14ac:dyDescent="0.2">
      <c r="A149" s="45" t="s">
        <v>73</v>
      </c>
      <c r="B149" s="45"/>
      <c r="C149" s="45"/>
      <c r="D149" s="23">
        <f>SUM(D147:D148)</f>
        <v>27671.129425287359</v>
      </c>
    </row>
  </sheetData>
  <mergeCells count="70">
    <mergeCell ref="A6:B6"/>
    <mergeCell ref="C11:D11"/>
    <mergeCell ref="A36:B36"/>
    <mergeCell ref="B21:C21"/>
    <mergeCell ref="C10:D10"/>
    <mergeCell ref="C12:D12"/>
    <mergeCell ref="C13:D13"/>
    <mergeCell ref="C14:D14"/>
    <mergeCell ref="A16:D16"/>
    <mergeCell ref="A29:D29"/>
    <mergeCell ref="B148:C148"/>
    <mergeCell ref="A149:C149"/>
    <mergeCell ref="A124:D124"/>
    <mergeCell ref="B102:C102"/>
    <mergeCell ref="B110:C110"/>
    <mergeCell ref="A111:C111"/>
    <mergeCell ref="A114:D114"/>
    <mergeCell ref="B116:C116"/>
    <mergeCell ref="A121:C121"/>
    <mergeCell ref="A136:B136"/>
    <mergeCell ref="A139:D139"/>
    <mergeCell ref="B141:C141"/>
    <mergeCell ref="B142:C142"/>
    <mergeCell ref="B143:C143"/>
    <mergeCell ref="B144:C144"/>
    <mergeCell ref="B145:C145"/>
    <mergeCell ref="B101:C101"/>
    <mergeCell ref="A103:C103"/>
    <mergeCell ref="A106:D106"/>
    <mergeCell ref="B108:C108"/>
    <mergeCell ref="B109:C109"/>
    <mergeCell ref="A87:D87"/>
    <mergeCell ref="B89:C89"/>
    <mergeCell ref="B58:C58"/>
    <mergeCell ref="B59:C59"/>
    <mergeCell ref="A60:C60"/>
    <mergeCell ref="A84:D84"/>
    <mergeCell ref="A81:C81"/>
    <mergeCell ref="A1:D1"/>
    <mergeCell ref="A39:D39"/>
    <mergeCell ref="A50:B50"/>
    <mergeCell ref="A31:D31"/>
    <mergeCell ref="B33:C33"/>
    <mergeCell ref="B22:C22"/>
    <mergeCell ref="B23:C23"/>
    <mergeCell ref="B25:C25"/>
    <mergeCell ref="B24:C24"/>
    <mergeCell ref="A26:C26"/>
    <mergeCell ref="A8:D8"/>
    <mergeCell ref="B18:C18"/>
    <mergeCell ref="B19:C19"/>
    <mergeCell ref="B20:C20"/>
    <mergeCell ref="A3:D3"/>
    <mergeCell ref="A5:B5"/>
    <mergeCell ref="B146:C146"/>
    <mergeCell ref="A147:C147"/>
    <mergeCell ref="A53:D53"/>
    <mergeCell ref="B55:C55"/>
    <mergeCell ref="B56:C56"/>
    <mergeCell ref="B57:C57"/>
    <mergeCell ref="A63:D63"/>
    <mergeCell ref="B65:C65"/>
    <mergeCell ref="B66:C66"/>
    <mergeCell ref="B67:C67"/>
    <mergeCell ref="B68:C68"/>
    <mergeCell ref="A69:C69"/>
    <mergeCell ref="A72:D72"/>
    <mergeCell ref="B74:C74"/>
    <mergeCell ref="A96:C96"/>
    <mergeCell ref="A99:D99"/>
  </mergeCells>
  <pageMargins left="0.511811024" right="0.511811024" top="0.78740157499999996" bottom="0.78740157499999996" header="0.31496062000000002" footer="0.31496062000000002"/>
  <pageSetup paperSize="9" scale="8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49"/>
  <sheetViews>
    <sheetView topLeftCell="A127" zoomScale="115" zoomScaleNormal="115" workbookViewId="0">
      <selection activeCell="D149" sqref="D149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49" t="s">
        <v>0</v>
      </c>
      <c r="B1" s="49"/>
      <c r="C1" s="49"/>
      <c r="D1" s="49"/>
    </row>
    <row r="2" spans="1:4" ht="15.75" x14ac:dyDescent="0.25">
      <c r="A2" s="26"/>
      <c r="B2" s="26"/>
      <c r="C2" s="26"/>
      <c r="D2" s="26"/>
    </row>
    <row r="3" spans="1:4" x14ac:dyDescent="0.2">
      <c r="A3" s="51" t="s">
        <v>90</v>
      </c>
      <c r="B3" s="51"/>
      <c r="C3" s="51"/>
      <c r="D3" s="51"/>
    </row>
    <row r="4" spans="1:4" x14ac:dyDescent="0.2">
      <c r="A4" s="2"/>
      <c r="B4" s="2"/>
      <c r="C4" s="2"/>
      <c r="D4" s="2"/>
    </row>
    <row r="5" spans="1:4" ht="38.25" x14ac:dyDescent="0.2">
      <c r="A5" s="58" t="s">
        <v>91</v>
      </c>
      <c r="B5" s="58"/>
      <c r="C5" s="29" t="s">
        <v>92</v>
      </c>
      <c r="D5" s="27" t="s">
        <v>93</v>
      </c>
    </row>
    <row r="6" spans="1:4" x14ac:dyDescent="0.2">
      <c r="A6" s="59" t="s">
        <v>104</v>
      </c>
      <c r="B6" s="59"/>
      <c r="C6" s="33" t="s">
        <v>101</v>
      </c>
      <c r="D6" s="33">
        <v>3</v>
      </c>
    </row>
    <row r="8" spans="1:4" x14ac:dyDescent="0.2">
      <c r="A8" s="51" t="s">
        <v>74</v>
      </c>
      <c r="B8" s="51"/>
      <c r="C8" s="51"/>
      <c r="D8" s="51"/>
    </row>
    <row r="9" spans="1:4" x14ac:dyDescent="0.2">
      <c r="A9" s="2"/>
      <c r="B9" s="2"/>
      <c r="C9" s="2"/>
      <c r="D9" s="2"/>
    </row>
    <row r="10" spans="1:4" x14ac:dyDescent="0.2">
      <c r="A10" s="5">
        <v>1</v>
      </c>
      <c r="B10" s="5" t="s">
        <v>75</v>
      </c>
      <c r="C10" s="60" t="s">
        <v>106</v>
      </c>
      <c r="D10" s="61"/>
    </row>
    <row r="11" spans="1:4" x14ac:dyDescent="0.2">
      <c r="A11" s="5">
        <v>2</v>
      </c>
      <c r="B11" s="5" t="s">
        <v>94</v>
      </c>
      <c r="C11" s="60" t="s">
        <v>102</v>
      </c>
      <c r="D11" s="61"/>
    </row>
    <row r="12" spans="1:4" x14ac:dyDescent="0.2">
      <c r="A12" s="5">
        <v>3</v>
      </c>
      <c r="B12" s="5" t="s">
        <v>76</v>
      </c>
      <c r="C12" s="60"/>
      <c r="D12" s="61"/>
    </row>
    <row r="13" spans="1:4" x14ac:dyDescent="0.2">
      <c r="A13" s="5">
        <v>4</v>
      </c>
      <c r="B13" s="5" t="s">
        <v>77</v>
      </c>
      <c r="C13" s="60"/>
      <c r="D13" s="61"/>
    </row>
    <row r="14" spans="1:4" x14ac:dyDescent="0.2">
      <c r="A14" s="5">
        <v>5</v>
      </c>
      <c r="B14" s="5" t="s">
        <v>78</v>
      </c>
      <c r="C14" s="60"/>
      <c r="D14" s="61"/>
    </row>
    <row r="16" spans="1:4" x14ac:dyDescent="0.2">
      <c r="A16" s="51" t="s">
        <v>1</v>
      </c>
      <c r="B16" s="51"/>
      <c r="C16" s="51"/>
      <c r="D16" s="51"/>
    </row>
    <row r="18" spans="1:4" x14ac:dyDescent="0.2">
      <c r="A18" s="30">
        <v>1</v>
      </c>
      <c r="B18" s="45" t="s">
        <v>2</v>
      </c>
      <c r="C18" s="45"/>
      <c r="D18" s="30" t="s">
        <v>3</v>
      </c>
    </row>
    <row r="19" spans="1:4" x14ac:dyDescent="0.2">
      <c r="A19" s="29" t="s">
        <v>4</v>
      </c>
      <c r="B19" s="44" t="s">
        <v>5</v>
      </c>
      <c r="C19" s="44"/>
      <c r="D19" s="13">
        <v>9415.25</v>
      </c>
    </row>
    <row r="20" spans="1:4" x14ac:dyDescent="0.2">
      <c r="A20" s="29" t="s">
        <v>6</v>
      </c>
      <c r="B20" s="44" t="s">
        <v>7</v>
      </c>
      <c r="C20" s="44"/>
      <c r="D20" s="13"/>
    </row>
    <row r="21" spans="1:4" x14ac:dyDescent="0.2">
      <c r="A21" s="29" t="s">
        <v>8</v>
      </c>
      <c r="B21" s="44" t="s">
        <v>9</v>
      </c>
      <c r="C21" s="44"/>
      <c r="D21" s="13"/>
    </row>
    <row r="22" spans="1:4" x14ac:dyDescent="0.2">
      <c r="A22" s="29" t="s">
        <v>10</v>
      </c>
      <c r="B22" s="44" t="s">
        <v>11</v>
      </c>
      <c r="C22" s="44"/>
      <c r="D22" s="13"/>
    </row>
    <row r="23" spans="1:4" x14ac:dyDescent="0.2">
      <c r="A23" s="29" t="s">
        <v>12</v>
      </c>
      <c r="B23" s="44" t="s">
        <v>13</v>
      </c>
      <c r="C23" s="44"/>
      <c r="D23" s="13"/>
    </row>
    <row r="24" spans="1:4" x14ac:dyDescent="0.2">
      <c r="A24" s="29"/>
      <c r="B24" s="44"/>
      <c r="C24" s="44"/>
      <c r="D24" s="13"/>
    </row>
    <row r="25" spans="1:4" x14ac:dyDescent="0.2">
      <c r="A25" s="29" t="s">
        <v>14</v>
      </c>
      <c r="B25" s="44" t="s">
        <v>15</v>
      </c>
      <c r="C25" s="44"/>
      <c r="D25" s="13"/>
    </row>
    <row r="26" spans="1:4" x14ac:dyDescent="0.2">
      <c r="A26" s="45" t="s">
        <v>16</v>
      </c>
      <c r="B26" s="45"/>
      <c r="C26" s="45"/>
      <c r="D26" s="20">
        <f>SUM(D19:D25)</f>
        <v>9415.25</v>
      </c>
    </row>
    <row r="29" spans="1:4" x14ac:dyDescent="0.2">
      <c r="A29" s="48" t="s">
        <v>17</v>
      </c>
      <c r="B29" s="48"/>
      <c r="C29" s="48"/>
      <c r="D29" s="48"/>
    </row>
    <row r="30" spans="1:4" x14ac:dyDescent="0.2">
      <c r="A30" s="3"/>
    </row>
    <row r="31" spans="1:4" x14ac:dyDescent="0.2">
      <c r="A31" s="46" t="s">
        <v>18</v>
      </c>
      <c r="B31" s="46"/>
      <c r="C31" s="46"/>
      <c r="D31" s="46"/>
    </row>
    <row r="33" spans="1:4" x14ac:dyDescent="0.2">
      <c r="A33" s="30" t="s">
        <v>19</v>
      </c>
      <c r="B33" s="45" t="s">
        <v>20</v>
      </c>
      <c r="C33" s="45"/>
      <c r="D33" s="30" t="s">
        <v>3</v>
      </c>
    </row>
    <row r="34" spans="1:4" x14ac:dyDescent="0.2">
      <c r="A34" s="29" t="s">
        <v>4</v>
      </c>
      <c r="B34" s="31" t="s">
        <v>21</v>
      </c>
      <c r="C34" s="12">
        <f>TRUNC(1/12,4)</f>
        <v>8.3299999999999999E-2</v>
      </c>
      <c r="D34" s="13">
        <f>TRUNC($D$26*C34,2)</f>
        <v>784.29</v>
      </c>
    </row>
    <row r="35" spans="1:4" x14ac:dyDescent="0.2">
      <c r="A35" s="29" t="s">
        <v>6</v>
      </c>
      <c r="B35" s="31" t="s">
        <v>22</v>
      </c>
      <c r="C35" s="12">
        <f>TRUNC(((1+1/3)/12),4)</f>
        <v>0.1111</v>
      </c>
      <c r="D35" s="13">
        <f>TRUNC($D$26*C35,2)</f>
        <v>1046.03</v>
      </c>
    </row>
    <row r="36" spans="1:4" x14ac:dyDescent="0.2">
      <c r="A36" s="45" t="s">
        <v>16</v>
      </c>
      <c r="B36" s="45"/>
      <c r="C36" s="28">
        <f>SUM(C34:C35)</f>
        <v>0.19440000000000002</v>
      </c>
      <c r="D36" s="19">
        <f>SUM(D34:D35)</f>
        <v>1830.32</v>
      </c>
    </row>
    <row r="39" spans="1:4" x14ac:dyDescent="0.2">
      <c r="A39" s="50" t="s">
        <v>23</v>
      </c>
      <c r="B39" s="50"/>
      <c r="C39" s="50"/>
      <c r="D39" s="50"/>
    </row>
    <row r="41" spans="1:4" x14ac:dyDescent="0.2">
      <c r="A41" s="30" t="s">
        <v>24</v>
      </c>
      <c r="B41" s="30" t="s">
        <v>25</v>
      </c>
      <c r="C41" s="30" t="s">
        <v>26</v>
      </c>
      <c r="D41" s="30" t="s">
        <v>3</v>
      </c>
    </row>
    <row r="42" spans="1:4" x14ac:dyDescent="0.2">
      <c r="A42" s="29" t="s">
        <v>4</v>
      </c>
      <c r="B42" s="31" t="s">
        <v>27</v>
      </c>
      <c r="C42" s="9">
        <v>0.2</v>
      </c>
      <c r="D42" s="13">
        <f>TRUNC(($D$26+$D$36)*C42,2)</f>
        <v>2249.11</v>
      </c>
    </row>
    <row r="43" spans="1:4" x14ac:dyDescent="0.2">
      <c r="A43" s="29" t="s">
        <v>6</v>
      </c>
      <c r="B43" s="31" t="s">
        <v>28</v>
      </c>
      <c r="C43" s="9">
        <v>2.5000000000000001E-2</v>
      </c>
      <c r="D43" s="13">
        <f t="shared" ref="D43:D49" si="0">TRUNC(($D$26+$D$36)*C43,2)</f>
        <v>281.13</v>
      </c>
    </row>
    <row r="44" spans="1:4" x14ac:dyDescent="0.2">
      <c r="A44" s="29" t="s">
        <v>8</v>
      </c>
      <c r="B44" s="31" t="s">
        <v>29</v>
      </c>
      <c r="C44" s="16">
        <v>0.03</v>
      </c>
      <c r="D44" s="13">
        <f t="shared" si="0"/>
        <v>337.36</v>
      </c>
    </row>
    <row r="45" spans="1:4" x14ac:dyDescent="0.2">
      <c r="A45" s="29" t="s">
        <v>10</v>
      </c>
      <c r="B45" s="31" t="s">
        <v>30</v>
      </c>
      <c r="C45" s="9">
        <v>1.4999999999999999E-2</v>
      </c>
      <c r="D45" s="13">
        <f t="shared" si="0"/>
        <v>168.68</v>
      </c>
    </row>
    <row r="46" spans="1:4" x14ac:dyDescent="0.2">
      <c r="A46" s="29" t="s">
        <v>12</v>
      </c>
      <c r="B46" s="31" t="s">
        <v>31</v>
      </c>
      <c r="C46" s="9">
        <v>0.01</v>
      </c>
      <c r="D46" s="13">
        <f t="shared" si="0"/>
        <v>112.45</v>
      </c>
    </row>
    <row r="47" spans="1:4" x14ac:dyDescent="0.2">
      <c r="A47" s="29" t="s">
        <v>32</v>
      </c>
      <c r="B47" s="31" t="s">
        <v>33</v>
      </c>
      <c r="C47" s="9">
        <v>6.0000000000000001E-3</v>
      </c>
      <c r="D47" s="13">
        <f t="shared" si="0"/>
        <v>67.47</v>
      </c>
    </row>
    <row r="48" spans="1:4" x14ac:dyDescent="0.2">
      <c r="A48" s="29" t="s">
        <v>14</v>
      </c>
      <c r="B48" s="31" t="s">
        <v>34</v>
      </c>
      <c r="C48" s="9">
        <v>2E-3</v>
      </c>
      <c r="D48" s="13">
        <f t="shared" si="0"/>
        <v>22.49</v>
      </c>
    </row>
    <row r="49" spans="1:4" x14ac:dyDescent="0.2">
      <c r="A49" s="29" t="s">
        <v>35</v>
      </c>
      <c r="B49" s="31" t="s">
        <v>36</v>
      </c>
      <c r="C49" s="9">
        <v>0.08</v>
      </c>
      <c r="D49" s="13">
        <f t="shared" si="0"/>
        <v>899.64</v>
      </c>
    </row>
    <row r="50" spans="1:4" x14ac:dyDescent="0.2">
      <c r="A50" s="45" t="s">
        <v>37</v>
      </c>
      <c r="B50" s="45"/>
      <c r="C50" s="15">
        <f>SUM(C42:C49)</f>
        <v>0.36800000000000005</v>
      </c>
      <c r="D50" s="19">
        <f>SUM(D42:D49)</f>
        <v>4138.33</v>
      </c>
    </row>
    <row r="53" spans="1:4" x14ac:dyDescent="0.2">
      <c r="A53" s="46" t="s">
        <v>38</v>
      </c>
      <c r="B53" s="46"/>
      <c r="C53" s="46"/>
      <c r="D53" s="46"/>
    </row>
    <row r="55" spans="1:4" x14ac:dyDescent="0.2">
      <c r="A55" s="30" t="s">
        <v>39</v>
      </c>
      <c r="B55" s="47" t="s">
        <v>40</v>
      </c>
      <c r="C55" s="47"/>
      <c r="D55" s="30" t="s">
        <v>3</v>
      </c>
    </row>
    <row r="56" spans="1:4" x14ac:dyDescent="0.2">
      <c r="A56" s="29" t="s">
        <v>4</v>
      </c>
      <c r="B56" s="44" t="s">
        <v>41</v>
      </c>
      <c r="C56" s="44"/>
      <c r="D56" s="13">
        <f>IF((23*2*4.9)-(D19*0.06)&gt;0,(23*2*4.9)-(D19*0.06),0)</f>
        <v>0</v>
      </c>
    </row>
    <row r="57" spans="1:4" x14ac:dyDescent="0.2">
      <c r="A57" s="29" t="s">
        <v>6</v>
      </c>
      <c r="B57" s="44" t="s">
        <v>42</v>
      </c>
      <c r="C57" s="44"/>
      <c r="D57" s="13">
        <f>31*0.9*23</f>
        <v>641.70000000000005</v>
      </c>
    </row>
    <row r="58" spans="1:4" x14ac:dyDescent="0.2">
      <c r="A58" s="29" t="s">
        <v>8</v>
      </c>
      <c r="B58" s="44" t="s">
        <v>103</v>
      </c>
      <c r="C58" s="44"/>
      <c r="D58" s="13">
        <f>200*0.7</f>
        <v>140</v>
      </c>
    </row>
    <row r="59" spans="1:4" x14ac:dyDescent="0.2">
      <c r="A59" s="29" t="s">
        <v>10</v>
      </c>
      <c r="B59" s="44" t="s">
        <v>15</v>
      </c>
      <c r="C59" s="44"/>
      <c r="D59" s="13"/>
    </row>
    <row r="60" spans="1:4" x14ac:dyDescent="0.2">
      <c r="A60" s="45" t="s">
        <v>16</v>
      </c>
      <c r="B60" s="45"/>
      <c r="C60" s="45"/>
      <c r="D60" s="19">
        <f>SUM(D56:D59)</f>
        <v>781.7</v>
      </c>
    </row>
    <row r="63" spans="1:4" x14ac:dyDescent="0.2">
      <c r="A63" s="46" t="s">
        <v>43</v>
      </c>
      <c r="B63" s="46"/>
      <c r="C63" s="46"/>
      <c r="D63" s="46"/>
    </row>
    <row r="65" spans="1:5" x14ac:dyDescent="0.2">
      <c r="A65" s="30">
        <v>2</v>
      </c>
      <c r="B65" s="47" t="s">
        <v>44</v>
      </c>
      <c r="C65" s="47"/>
      <c r="D65" s="30" t="s">
        <v>3</v>
      </c>
    </row>
    <row r="66" spans="1:5" x14ac:dyDescent="0.2">
      <c r="A66" s="29" t="s">
        <v>19</v>
      </c>
      <c r="B66" s="44" t="s">
        <v>20</v>
      </c>
      <c r="C66" s="44"/>
      <c r="D66" s="14">
        <f>D36</f>
        <v>1830.32</v>
      </c>
    </row>
    <row r="67" spans="1:5" x14ac:dyDescent="0.2">
      <c r="A67" s="29" t="s">
        <v>24</v>
      </c>
      <c r="B67" s="44" t="s">
        <v>25</v>
      </c>
      <c r="C67" s="44"/>
      <c r="D67" s="14">
        <f>D50</f>
        <v>4138.33</v>
      </c>
    </row>
    <row r="68" spans="1:5" x14ac:dyDescent="0.2">
      <c r="A68" s="29" t="s">
        <v>39</v>
      </c>
      <c r="B68" s="44" t="s">
        <v>40</v>
      </c>
      <c r="C68" s="44"/>
      <c r="D68" s="14">
        <f>D60</f>
        <v>781.7</v>
      </c>
    </row>
    <row r="69" spans="1:5" x14ac:dyDescent="0.2">
      <c r="A69" s="45" t="s">
        <v>16</v>
      </c>
      <c r="B69" s="45"/>
      <c r="C69" s="45"/>
      <c r="D69" s="19">
        <f>SUM(D66:D68)</f>
        <v>6750.3499999999995</v>
      </c>
    </row>
    <row r="70" spans="1:5" x14ac:dyDescent="0.2">
      <c r="A70" s="4"/>
      <c r="E70" s="18"/>
    </row>
    <row r="72" spans="1:5" x14ac:dyDescent="0.2">
      <c r="A72" s="48" t="s">
        <v>45</v>
      </c>
      <c r="B72" s="48"/>
      <c r="C72" s="48"/>
      <c r="D72" s="48"/>
      <c r="E72" s="17"/>
    </row>
    <row r="73" spans="1:5" ht="12.75" customHeight="1" x14ac:dyDescent="0.2">
      <c r="E73" s="18"/>
    </row>
    <row r="74" spans="1:5" x14ac:dyDescent="0.2">
      <c r="A74" s="30">
        <v>3</v>
      </c>
      <c r="B74" s="47" t="s">
        <v>46</v>
      </c>
      <c r="C74" s="47"/>
      <c r="D74" s="30" t="s">
        <v>3</v>
      </c>
    </row>
    <row r="75" spans="1:5" x14ac:dyDescent="0.2">
      <c r="A75" s="29" t="s">
        <v>4</v>
      </c>
      <c r="B75" s="10" t="s">
        <v>47</v>
      </c>
      <c r="C75" s="9">
        <f>TRUNC(((1/12)*5%),4)</f>
        <v>4.1000000000000003E-3</v>
      </c>
      <c r="D75" s="13">
        <f>TRUNC($D$26*C75,2)</f>
        <v>38.6</v>
      </c>
    </row>
    <row r="76" spans="1:5" x14ac:dyDescent="0.2">
      <c r="A76" s="29" t="s">
        <v>6</v>
      </c>
      <c r="B76" s="10" t="s">
        <v>48</v>
      </c>
      <c r="C76" s="9">
        <v>0.08</v>
      </c>
      <c r="D76" s="13">
        <f>TRUNC(D75*C76,2)</f>
        <v>3.08</v>
      </c>
    </row>
    <row r="77" spans="1:5" x14ac:dyDescent="0.2">
      <c r="A77" s="29" t="s">
        <v>8</v>
      </c>
      <c r="B77" s="10" t="s">
        <v>49</v>
      </c>
      <c r="C77" s="9">
        <f>TRUNC(8%*5%*40%,4)</f>
        <v>1.6000000000000001E-3</v>
      </c>
      <c r="D77" s="13">
        <f>TRUNC($D$26*C77,2)</f>
        <v>15.06</v>
      </c>
    </row>
    <row r="78" spans="1:5" x14ac:dyDescent="0.2">
      <c r="A78" s="29" t="s">
        <v>10</v>
      </c>
      <c r="B78" s="10" t="s">
        <v>50</v>
      </c>
      <c r="C78" s="9">
        <f>TRUNC(((7/30)/12)*95%,4)</f>
        <v>1.84E-2</v>
      </c>
      <c r="D78" s="13">
        <f>TRUNC($D$26*C78,2)</f>
        <v>173.24</v>
      </c>
    </row>
    <row r="79" spans="1:5" ht="25.5" x14ac:dyDescent="0.2">
      <c r="A79" s="29" t="s">
        <v>12</v>
      </c>
      <c r="B79" s="10" t="s">
        <v>95</v>
      </c>
      <c r="C79" s="9">
        <f>C50</f>
        <v>0.36800000000000005</v>
      </c>
      <c r="D79" s="13">
        <f>TRUNC(D78*C79,2)</f>
        <v>63.75</v>
      </c>
    </row>
    <row r="80" spans="1:5" x14ac:dyDescent="0.2">
      <c r="A80" s="29" t="s">
        <v>32</v>
      </c>
      <c r="B80" s="10" t="s">
        <v>51</v>
      </c>
      <c r="C80" s="9">
        <f>TRUNC(8%*95%*40%,4)</f>
        <v>3.04E-2</v>
      </c>
      <c r="D80" s="13">
        <f t="shared" ref="D80" si="1">TRUNC($D$26*C80,2)</f>
        <v>286.22000000000003</v>
      </c>
    </row>
    <row r="81" spans="1:6" x14ac:dyDescent="0.2">
      <c r="A81" s="52" t="s">
        <v>16</v>
      </c>
      <c r="B81" s="53"/>
      <c r="C81" s="54"/>
      <c r="D81" s="19">
        <f>SUM(D75:D80)</f>
        <v>579.95000000000005</v>
      </c>
    </row>
    <row r="84" spans="1:6" x14ac:dyDescent="0.2">
      <c r="A84" s="48" t="s">
        <v>52</v>
      </c>
      <c r="B84" s="48"/>
      <c r="C84" s="48"/>
      <c r="D84" s="48"/>
    </row>
    <row r="87" spans="1:6" x14ac:dyDescent="0.2">
      <c r="A87" s="46" t="s">
        <v>79</v>
      </c>
      <c r="B87" s="46"/>
      <c r="C87" s="46"/>
      <c r="D87" s="46"/>
    </row>
    <row r="88" spans="1:6" x14ac:dyDescent="0.2">
      <c r="A88" s="3"/>
    </row>
    <row r="89" spans="1:6" x14ac:dyDescent="0.2">
      <c r="A89" s="30" t="s">
        <v>53</v>
      </c>
      <c r="B89" s="47" t="s">
        <v>80</v>
      </c>
      <c r="C89" s="47"/>
      <c r="D89" s="30" t="s">
        <v>3</v>
      </c>
    </row>
    <row r="90" spans="1:6" x14ac:dyDescent="0.2">
      <c r="A90" s="29" t="s">
        <v>4</v>
      </c>
      <c r="B90" s="31" t="s">
        <v>81</v>
      </c>
      <c r="C90" s="9">
        <f>TRUNC(((1+1/3)/12)/12,4)</f>
        <v>9.1999999999999998E-3</v>
      </c>
      <c r="D90" s="13">
        <f>TRUNC(($D$26+$D$69+$D$81)*C90,2)</f>
        <v>154.05000000000001</v>
      </c>
    </row>
    <row r="91" spans="1:6" x14ac:dyDescent="0.2">
      <c r="A91" s="29" t="s">
        <v>6</v>
      </c>
      <c r="B91" s="31" t="s">
        <v>82</v>
      </c>
      <c r="C91" s="9">
        <f>TRUNC(((2/30)/12),4)*0</f>
        <v>0</v>
      </c>
      <c r="D91" s="13">
        <f t="shared" ref="D91:D95" si="2">TRUNC(($D$26+$D$69+$D$81)*C91,2)</f>
        <v>0</v>
      </c>
    </row>
    <row r="92" spans="1:6" x14ac:dyDescent="0.2">
      <c r="A92" s="29" t="s">
        <v>8</v>
      </c>
      <c r="B92" s="31" t="s">
        <v>83</v>
      </c>
      <c r="C92" s="9">
        <f>TRUNC(((5/30)/12)*2%,4)*0</f>
        <v>0</v>
      </c>
      <c r="D92" s="13">
        <f t="shared" si="2"/>
        <v>0</v>
      </c>
    </row>
    <row r="93" spans="1:6" x14ac:dyDescent="0.2">
      <c r="A93" s="29" t="s">
        <v>10</v>
      </c>
      <c r="B93" s="31" t="s">
        <v>84</v>
      </c>
      <c r="C93" s="9">
        <f>TRUNC(((15/30)/12)*8%,4)</f>
        <v>3.3E-3</v>
      </c>
      <c r="D93" s="13">
        <f t="shared" si="2"/>
        <v>55.26</v>
      </c>
    </row>
    <row r="94" spans="1:6" x14ac:dyDescent="0.2">
      <c r="A94" s="29" t="s">
        <v>12</v>
      </c>
      <c r="B94" s="31" t="s">
        <v>85</v>
      </c>
      <c r="C94" s="9">
        <f>((1+1/3)/12)*3%*(6/12)</f>
        <v>1.6666666666666666E-3</v>
      </c>
      <c r="D94" s="13">
        <f t="shared" si="2"/>
        <v>27.9</v>
      </c>
    </row>
    <row r="95" spans="1:6" x14ac:dyDescent="0.2">
      <c r="A95" s="29" t="s">
        <v>32</v>
      </c>
      <c r="B95" s="31" t="s">
        <v>86</v>
      </c>
      <c r="C95" s="9"/>
      <c r="D95" s="13">
        <f t="shared" si="2"/>
        <v>0</v>
      </c>
    </row>
    <row r="96" spans="1:6" x14ac:dyDescent="0.2">
      <c r="A96" s="45" t="s">
        <v>37</v>
      </c>
      <c r="B96" s="45"/>
      <c r="C96" s="45"/>
      <c r="D96" s="19">
        <f>SUM(D90:D95)</f>
        <v>237.21</v>
      </c>
      <c r="E96" s="17"/>
      <c r="F96" s="17"/>
    </row>
    <row r="99" spans="1:4" x14ac:dyDescent="0.2">
      <c r="A99" s="46" t="s">
        <v>87</v>
      </c>
      <c r="B99" s="46"/>
      <c r="C99" s="46"/>
      <c r="D99" s="46"/>
    </row>
    <row r="100" spans="1:4" x14ac:dyDescent="0.2">
      <c r="A100" s="3"/>
    </row>
    <row r="101" spans="1:4" x14ac:dyDescent="0.2">
      <c r="A101" s="30" t="s">
        <v>54</v>
      </c>
      <c r="B101" s="47" t="s">
        <v>88</v>
      </c>
      <c r="C101" s="47"/>
      <c r="D101" s="30" t="s">
        <v>3</v>
      </c>
    </row>
    <row r="102" spans="1:4" x14ac:dyDescent="0.2">
      <c r="A102" s="29" t="s">
        <v>4</v>
      </c>
      <c r="B102" s="55" t="s">
        <v>89</v>
      </c>
      <c r="C102" s="56"/>
      <c r="D102" s="13">
        <f>((D26+D69+D81)/220)*22*0</f>
        <v>0</v>
      </c>
    </row>
    <row r="103" spans="1:4" x14ac:dyDescent="0.2">
      <c r="A103" s="45" t="s">
        <v>16</v>
      </c>
      <c r="B103" s="45"/>
      <c r="C103" s="45"/>
      <c r="D103" s="19">
        <f>SUM(D102)</f>
        <v>0</v>
      </c>
    </row>
    <row r="106" spans="1:4" x14ac:dyDescent="0.2">
      <c r="A106" s="46" t="s">
        <v>55</v>
      </c>
      <c r="B106" s="46"/>
      <c r="C106" s="46"/>
      <c r="D106" s="46"/>
    </row>
    <row r="107" spans="1:4" x14ac:dyDescent="0.2">
      <c r="A107" s="3"/>
    </row>
    <row r="108" spans="1:4" x14ac:dyDescent="0.2">
      <c r="A108" s="30">
        <v>4</v>
      </c>
      <c r="B108" s="45" t="s">
        <v>56</v>
      </c>
      <c r="C108" s="45"/>
      <c r="D108" s="30" t="s">
        <v>3</v>
      </c>
    </row>
    <row r="109" spans="1:4" x14ac:dyDescent="0.2">
      <c r="A109" s="29" t="s">
        <v>53</v>
      </c>
      <c r="B109" s="44" t="s">
        <v>80</v>
      </c>
      <c r="C109" s="44"/>
      <c r="D109" s="14">
        <f>D96</f>
        <v>237.21</v>
      </c>
    </row>
    <row r="110" spans="1:4" x14ac:dyDescent="0.2">
      <c r="A110" s="29" t="s">
        <v>54</v>
      </c>
      <c r="B110" s="44" t="s">
        <v>88</v>
      </c>
      <c r="C110" s="44"/>
      <c r="D110" s="14">
        <f>D103</f>
        <v>0</v>
      </c>
    </row>
    <row r="111" spans="1:4" x14ac:dyDescent="0.2">
      <c r="A111" s="45" t="s">
        <v>16</v>
      </c>
      <c r="B111" s="45"/>
      <c r="C111" s="45"/>
      <c r="D111" s="19">
        <f>SUM(D109:D110)</f>
        <v>237.21</v>
      </c>
    </row>
    <row r="114" spans="1:4" x14ac:dyDescent="0.2">
      <c r="A114" s="48" t="s">
        <v>57</v>
      </c>
      <c r="B114" s="48"/>
      <c r="C114" s="48"/>
      <c r="D114" s="48"/>
    </row>
    <row r="116" spans="1:4" x14ac:dyDescent="0.2">
      <c r="A116" s="30">
        <v>5</v>
      </c>
      <c r="B116" s="57" t="s">
        <v>58</v>
      </c>
      <c r="C116" s="57"/>
      <c r="D116" s="30" t="s">
        <v>3</v>
      </c>
    </row>
    <row r="117" spans="1:4" x14ac:dyDescent="0.2">
      <c r="A117" s="29" t="s">
        <v>4</v>
      </c>
      <c r="B117" s="31" t="s">
        <v>59</v>
      </c>
      <c r="C117" s="31"/>
      <c r="D117" s="13"/>
    </row>
    <row r="118" spans="1:4" x14ac:dyDescent="0.2">
      <c r="A118" s="29" t="s">
        <v>6</v>
      </c>
      <c r="B118" s="31" t="s">
        <v>60</v>
      </c>
      <c r="C118" s="31"/>
      <c r="D118" s="13"/>
    </row>
    <row r="119" spans="1:4" x14ac:dyDescent="0.2">
      <c r="A119" s="29" t="s">
        <v>8</v>
      </c>
      <c r="B119" s="31" t="s">
        <v>61</v>
      </c>
      <c r="C119" s="31"/>
      <c r="D119" s="13"/>
    </row>
    <row r="120" spans="1:4" x14ac:dyDescent="0.2">
      <c r="A120" s="29" t="s">
        <v>10</v>
      </c>
      <c r="B120" s="31" t="s">
        <v>15</v>
      </c>
      <c r="C120" s="31"/>
      <c r="D120" s="13"/>
    </row>
    <row r="121" spans="1:4" x14ac:dyDescent="0.2">
      <c r="A121" s="45" t="s">
        <v>37</v>
      </c>
      <c r="B121" s="45"/>
      <c r="C121" s="45"/>
      <c r="D121" s="20"/>
    </row>
    <row r="124" spans="1:4" x14ac:dyDescent="0.2">
      <c r="A124" s="48" t="s">
        <v>62</v>
      </c>
      <c r="B124" s="48"/>
      <c r="C124" s="48"/>
      <c r="D124" s="48"/>
    </row>
    <row r="126" spans="1:4" x14ac:dyDescent="0.2">
      <c r="A126" s="30">
        <v>6</v>
      </c>
      <c r="B126" s="32" t="s">
        <v>63</v>
      </c>
      <c r="C126" s="30" t="s">
        <v>26</v>
      </c>
      <c r="D126" s="30" t="s">
        <v>3</v>
      </c>
    </row>
    <row r="127" spans="1:4" x14ac:dyDescent="0.2">
      <c r="A127" s="29" t="s">
        <v>4</v>
      </c>
      <c r="B127" s="31" t="s">
        <v>64</v>
      </c>
      <c r="C127" s="9">
        <v>0.05</v>
      </c>
      <c r="D127" s="14">
        <f>D147*C127</f>
        <v>849.13799999999992</v>
      </c>
    </row>
    <row r="128" spans="1:4" x14ac:dyDescent="0.2">
      <c r="A128" s="29" t="s">
        <v>6</v>
      </c>
      <c r="B128" s="31" t="s">
        <v>65</v>
      </c>
      <c r="C128" s="9">
        <v>0.06</v>
      </c>
      <c r="D128" s="13">
        <f>(D147+D127)*C128</f>
        <v>1069.9138799999998</v>
      </c>
    </row>
    <row r="129" spans="1:4" x14ac:dyDescent="0.2">
      <c r="A129" s="29" t="s">
        <v>8</v>
      </c>
      <c r="B129" s="31" t="s">
        <v>66</v>
      </c>
      <c r="C129" s="12">
        <f>SUM(C130:C135)</f>
        <v>8.6499999999999994E-2</v>
      </c>
      <c r="D129" s="13">
        <f>(D147+D127+D128)*C129/(1-C129)</f>
        <v>1789.826740689655</v>
      </c>
    </row>
    <row r="130" spans="1:4" x14ac:dyDescent="0.2">
      <c r="A130" s="29"/>
      <c r="B130" s="31" t="s">
        <v>67</v>
      </c>
      <c r="C130" s="9"/>
      <c r="D130" s="14">
        <f>$D$149*C130</f>
        <v>0</v>
      </c>
    </row>
    <row r="131" spans="1:4" x14ac:dyDescent="0.2">
      <c r="A131" s="29"/>
      <c r="B131" s="31" t="s">
        <v>97</v>
      </c>
      <c r="C131" s="9">
        <v>6.4999999999999997E-3</v>
      </c>
      <c r="D131" s="14">
        <f t="shared" ref="D131:D135" si="3">$D$149*C131</f>
        <v>134.49565103448273</v>
      </c>
    </row>
    <row r="132" spans="1:4" x14ac:dyDescent="0.2">
      <c r="A132" s="29"/>
      <c r="B132" s="31" t="s">
        <v>98</v>
      </c>
      <c r="C132" s="9">
        <v>0.03</v>
      </c>
      <c r="D132" s="14">
        <f t="shared" si="3"/>
        <v>620.74915862068963</v>
      </c>
    </row>
    <row r="133" spans="1:4" x14ac:dyDescent="0.2">
      <c r="A133" s="29"/>
      <c r="B133" s="31" t="s">
        <v>68</v>
      </c>
      <c r="C133" s="29"/>
      <c r="D133" s="14">
        <f t="shared" si="3"/>
        <v>0</v>
      </c>
    </row>
    <row r="134" spans="1:4" x14ac:dyDescent="0.2">
      <c r="A134" s="29"/>
      <c r="B134" s="31" t="s">
        <v>69</v>
      </c>
      <c r="C134" s="9"/>
      <c r="D134" s="14">
        <f t="shared" si="3"/>
        <v>0</v>
      </c>
    </row>
    <row r="135" spans="1:4" x14ac:dyDescent="0.2">
      <c r="A135" s="29"/>
      <c r="B135" s="31" t="s">
        <v>99</v>
      </c>
      <c r="C135" s="9">
        <v>0.05</v>
      </c>
      <c r="D135" s="14">
        <f t="shared" si="3"/>
        <v>1034.5819310344827</v>
      </c>
    </row>
    <row r="136" spans="1:4" ht="13.5" x14ac:dyDescent="0.2">
      <c r="A136" s="52" t="s">
        <v>37</v>
      </c>
      <c r="B136" s="53"/>
      <c r="C136" s="21">
        <f>(1+C128)*(1+C127)/(1-C129)-1</f>
        <v>0.21839080459770144</v>
      </c>
      <c r="D136" s="19">
        <f>SUM(D127:D129)</f>
        <v>3708.8786206896548</v>
      </c>
    </row>
    <row r="139" spans="1:4" x14ac:dyDescent="0.2">
      <c r="A139" s="48" t="s">
        <v>70</v>
      </c>
      <c r="B139" s="48"/>
      <c r="C139" s="48"/>
      <c r="D139" s="48"/>
    </row>
    <row r="141" spans="1:4" x14ac:dyDescent="0.2">
      <c r="A141" s="30"/>
      <c r="B141" s="45" t="s">
        <v>71</v>
      </c>
      <c r="C141" s="45"/>
      <c r="D141" s="30" t="s">
        <v>3</v>
      </c>
    </row>
    <row r="142" spans="1:4" x14ac:dyDescent="0.2">
      <c r="A142" s="30" t="s">
        <v>4</v>
      </c>
      <c r="B142" s="44" t="s">
        <v>1</v>
      </c>
      <c r="C142" s="44"/>
      <c r="D142" s="22">
        <f>D26</f>
        <v>9415.25</v>
      </c>
    </row>
    <row r="143" spans="1:4" x14ac:dyDescent="0.2">
      <c r="A143" s="30" t="s">
        <v>6</v>
      </c>
      <c r="B143" s="44" t="s">
        <v>17</v>
      </c>
      <c r="C143" s="44"/>
      <c r="D143" s="22">
        <f>D69</f>
        <v>6750.3499999999995</v>
      </c>
    </row>
    <row r="144" spans="1:4" x14ac:dyDescent="0.2">
      <c r="A144" s="30" t="s">
        <v>8</v>
      </c>
      <c r="B144" s="44" t="s">
        <v>45</v>
      </c>
      <c r="C144" s="44"/>
      <c r="D144" s="22">
        <f>D81</f>
        <v>579.95000000000005</v>
      </c>
    </row>
    <row r="145" spans="1:4" x14ac:dyDescent="0.2">
      <c r="A145" s="30" t="s">
        <v>10</v>
      </c>
      <c r="B145" s="44" t="s">
        <v>52</v>
      </c>
      <c r="C145" s="44"/>
      <c r="D145" s="22">
        <f>D111</f>
        <v>237.21</v>
      </c>
    </row>
    <row r="146" spans="1:4" x14ac:dyDescent="0.2">
      <c r="A146" s="30" t="s">
        <v>12</v>
      </c>
      <c r="B146" s="44" t="s">
        <v>57</v>
      </c>
      <c r="C146" s="44"/>
      <c r="D146" s="22">
        <f>D121</f>
        <v>0</v>
      </c>
    </row>
    <row r="147" spans="1:4" x14ac:dyDescent="0.2">
      <c r="A147" s="45" t="s">
        <v>96</v>
      </c>
      <c r="B147" s="45"/>
      <c r="C147" s="45"/>
      <c r="D147" s="23">
        <f>SUM(D142:D146)</f>
        <v>16982.759999999998</v>
      </c>
    </row>
    <row r="148" spans="1:4" x14ac:dyDescent="0.2">
      <c r="A148" s="30" t="s">
        <v>32</v>
      </c>
      <c r="B148" s="44" t="s">
        <v>72</v>
      </c>
      <c r="C148" s="44"/>
      <c r="D148" s="24">
        <f>D136</f>
        <v>3708.8786206896548</v>
      </c>
    </row>
    <row r="149" spans="1:4" x14ac:dyDescent="0.2">
      <c r="A149" s="45" t="s">
        <v>73</v>
      </c>
      <c r="B149" s="45"/>
      <c r="C149" s="45"/>
      <c r="D149" s="23">
        <f>SUM(D147:D148)</f>
        <v>20691.638620689653</v>
      </c>
    </row>
  </sheetData>
  <mergeCells count="70">
    <mergeCell ref="B146:C146"/>
    <mergeCell ref="A147:C147"/>
    <mergeCell ref="B148:C148"/>
    <mergeCell ref="A149:C149"/>
    <mergeCell ref="A139:D139"/>
    <mergeCell ref="B141:C141"/>
    <mergeCell ref="B142:C142"/>
    <mergeCell ref="B143:C143"/>
    <mergeCell ref="B144:C144"/>
    <mergeCell ref="B145:C145"/>
    <mergeCell ref="A136:B136"/>
    <mergeCell ref="B102:C102"/>
    <mergeCell ref="A103:C103"/>
    <mergeCell ref="A106:D106"/>
    <mergeCell ref="B108:C108"/>
    <mergeCell ref="B109:C109"/>
    <mergeCell ref="B110:C110"/>
    <mergeCell ref="A111:C111"/>
    <mergeCell ref="A114:D114"/>
    <mergeCell ref="B116:C116"/>
    <mergeCell ref="A121:C121"/>
    <mergeCell ref="A124:D124"/>
    <mergeCell ref="B101:C101"/>
    <mergeCell ref="B67:C67"/>
    <mergeCell ref="B68:C68"/>
    <mergeCell ref="A69:C69"/>
    <mergeCell ref="A72:D72"/>
    <mergeCell ref="B74:C74"/>
    <mergeCell ref="A81:C81"/>
    <mergeCell ref="A84:D84"/>
    <mergeCell ref="A87:D87"/>
    <mergeCell ref="B89:C89"/>
    <mergeCell ref="A96:C96"/>
    <mergeCell ref="A99:D99"/>
    <mergeCell ref="B66:C66"/>
    <mergeCell ref="A39:D39"/>
    <mergeCell ref="A50:B50"/>
    <mergeCell ref="A53:D53"/>
    <mergeCell ref="B55:C55"/>
    <mergeCell ref="B56:C56"/>
    <mergeCell ref="B57:C57"/>
    <mergeCell ref="B58:C58"/>
    <mergeCell ref="B59:C59"/>
    <mergeCell ref="A60:C60"/>
    <mergeCell ref="A63:D63"/>
    <mergeCell ref="B65:C65"/>
    <mergeCell ref="A36:B36"/>
    <mergeCell ref="B19:C19"/>
    <mergeCell ref="B20:C20"/>
    <mergeCell ref="B21:C21"/>
    <mergeCell ref="B22:C22"/>
    <mergeCell ref="B23:C23"/>
    <mergeCell ref="B24:C24"/>
    <mergeCell ref="B25:C25"/>
    <mergeCell ref="A26:C26"/>
    <mergeCell ref="A29:D29"/>
    <mergeCell ref="A31:D31"/>
    <mergeCell ref="B33:C33"/>
    <mergeCell ref="B18:C18"/>
    <mergeCell ref="A1:D1"/>
    <mergeCell ref="A3:D3"/>
    <mergeCell ref="A5:B5"/>
    <mergeCell ref="A6:B6"/>
    <mergeCell ref="A8:D8"/>
    <mergeCell ref="C10:D10"/>
    <mergeCell ref="C11:D11"/>
    <mergeCell ref="C12:D12"/>
    <mergeCell ref="C13:D13"/>
    <mergeCell ref="C14:D14"/>
    <mergeCell ref="A16:D16"/>
  </mergeCells>
  <pageMargins left="0.511811024" right="0.511811024" top="0.78740157499999996" bottom="0.78740157499999996" header="0.31496062000000002" footer="0.31496062000000002"/>
  <pageSetup paperSize="9" scale="84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8:E16"/>
  <sheetViews>
    <sheetView tabSelected="1" workbookViewId="0">
      <selection activeCell="A17" sqref="A17"/>
    </sheetView>
  </sheetViews>
  <sheetFormatPr defaultRowHeight="15" x14ac:dyDescent="0.25"/>
  <cols>
    <col min="1" max="1" width="15.7109375" style="34" customWidth="1"/>
    <col min="2" max="2" width="15.7109375" style="35" customWidth="1"/>
    <col min="3" max="6" width="15.7109375" style="34" customWidth="1"/>
    <col min="7" max="16384" width="9.140625" style="34"/>
  </cols>
  <sheetData>
    <row r="8" spans="1:5" x14ac:dyDescent="0.25">
      <c r="A8" s="62" t="s">
        <v>107</v>
      </c>
      <c r="B8" s="62"/>
      <c r="C8" s="62"/>
      <c r="D8" s="62"/>
      <c r="E8" s="62"/>
    </row>
    <row r="9" spans="1:5" x14ac:dyDescent="0.25">
      <c r="A9" s="65" t="s">
        <v>108</v>
      </c>
      <c r="B9" s="65"/>
      <c r="C9" s="65"/>
      <c r="D9" s="65"/>
      <c r="E9" s="65"/>
    </row>
    <row r="10" spans="1:5" s="36" customFormat="1" x14ac:dyDescent="0.25">
      <c r="A10" s="42" t="s">
        <v>109</v>
      </c>
      <c r="B10" s="42" t="s">
        <v>110</v>
      </c>
      <c r="C10" s="42" t="s">
        <v>111</v>
      </c>
      <c r="D10" s="42" t="s">
        <v>112</v>
      </c>
      <c r="E10" s="42" t="s">
        <v>113</v>
      </c>
    </row>
    <row r="11" spans="1:5" s="37" customFormat="1" ht="30" x14ac:dyDescent="0.25">
      <c r="A11" s="38" t="str">
        <f>senior!C10</f>
        <v>Engenheiro de Software Sênior</v>
      </c>
      <c r="B11" s="39">
        <f>senior!D149</f>
        <v>27671.129425287359</v>
      </c>
      <c r="C11" s="40">
        <f>senior!D6</f>
        <v>4</v>
      </c>
      <c r="D11" s="39">
        <f>B11*C11</f>
        <v>110684.51770114944</v>
      </c>
      <c r="E11" s="39">
        <f>D11*12</f>
        <v>1328214.2124137932</v>
      </c>
    </row>
    <row r="12" spans="1:5" s="37" customFormat="1" ht="30" x14ac:dyDescent="0.25">
      <c r="A12" s="38" t="str">
        <f>pleno!C10</f>
        <v>Engenheiro de Software Pleno</v>
      </c>
      <c r="B12" s="39">
        <f>pleno!D149</f>
        <v>20691.638620689653</v>
      </c>
      <c r="C12" s="40">
        <f>pleno!D6</f>
        <v>3</v>
      </c>
      <c r="D12" s="39">
        <f>B12*C12</f>
        <v>62074.915862068956</v>
      </c>
      <c r="E12" s="39">
        <f>D12*12</f>
        <v>744898.99034482753</v>
      </c>
    </row>
    <row r="13" spans="1:5" x14ac:dyDescent="0.25">
      <c r="A13" s="64" t="s">
        <v>115</v>
      </c>
      <c r="B13" s="64"/>
      <c r="C13" s="64"/>
      <c r="D13" s="64"/>
      <c r="E13" s="43">
        <f>SUM(E11:E12)</f>
        <v>2073113.2027586207</v>
      </c>
    </row>
    <row r="15" spans="1:5" x14ac:dyDescent="0.25">
      <c r="A15" s="65" t="s">
        <v>114</v>
      </c>
      <c r="B15" s="65"/>
      <c r="C15" s="65"/>
      <c r="D15" s="65"/>
      <c r="E15" s="65"/>
    </row>
    <row r="16" spans="1:5" x14ac:dyDescent="0.25">
      <c r="A16" s="63" t="s">
        <v>116</v>
      </c>
      <c r="B16" s="63"/>
      <c r="C16" s="63"/>
      <c r="D16" s="63"/>
      <c r="E16" s="41">
        <f>E13</f>
        <v>2073113.2027586207</v>
      </c>
    </row>
  </sheetData>
  <mergeCells count="5">
    <mergeCell ref="A8:E8"/>
    <mergeCell ref="A16:D16"/>
    <mergeCell ref="A13:D13"/>
    <mergeCell ref="A9:E9"/>
    <mergeCell ref="A15:E15"/>
  </mergeCells>
  <printOptions horizontalCentered="1"/>
  <pageMargins left="0.51181102362204722" right="0.51181102362204722" top="0.78740157480314965" bottom="0.78740157480314965" header="0.31496062992125984" footer="0.31496062992125984"/>
  <pageSetup paperSize="9" orientation="portrait" r:id="rId1"/>
  <headerFooter>
    <oddFooter>&amp;L&amp;"Times New Roman,Negrito"Estimativa em &amp;D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senior</vt:lpstr>
      <vt:lpstr>pleno</vt:lpstr>
      <vt:lpstr>total</vt:lpstr>
    </vt:vector>
  </TitlesOfParts>
  <Company>Justiça Eleitoral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Alcantara Santos</dc:creator>
  <cp:lastModifiedBy>Marconni Rodrigues de Alcantara Santos</cp:lastModifiedBy>
  <cp:lastPrinted>2022-09-02T13:37:51Z</cp:lastPrinted>
  <dcterms:created xsi:type="dcterms:W3CDTF">2019-01-29T18:54:26Z</dcterms:created>
  <dcterms:modified xsi:type="dcterms:W3CDTF">2022-12-01T14:34:02Z</dcterms:modified>
</cp:coreProperties>
</file>