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6"/>
  </bookViews>
  <sheets>
    <sheet name="designer" sheetId="1" r:id="rId1"/>
    <sheet name="videomaker" sheetId="2" r:id="rId2"/>
    <sheet name="designertemp" sheetId="3" r:id="rId3"/>
    <sheet name="videomakertemp" sheetId="4" r:id="rId4"/>
    <sheet name="horaextra" sheetId="5" r:id="rId5"/>
    <sheet name="deslocamentos" sheetId="6" r:id="rId6"/>
    <sheet name="TOTAL" sheetId="7" r:id="rId7"/>
  </sheets>
  <calcPr calcId="145621"/>
</workbook>
</file>

<file path=xl/calcChain.xml><?xml version="1.0" encoding="utf-8"?>
<calcChain xmlns="http://schemas.openxmlformats.org/spreadsheetml/2006/main">
  <c r="F34" i="7" l="1"/>
  <c r="F33" i="7"/>
  <c r="F32" i="7"/>
  <c r="D37" i="7"/>
  <c r="D36" i="7"/>
  <c r="D35" i="7"/>
  <c r="D34" i="7"/>
  <c r="D33" i="7"/>
  <c r="D32" i="7"/>
  <c r="B35" i="7"/>
  <c r="B34" i="7"/>
  <c r="B33" i="7"/>
  <c r="B32" i="7"/>
  <c r="F29" i="7"/>
  <c r="F28" i="7"/>
  <c r="F24" i="7"/>
  <c r="D19" i="7"/>
  <c r="D18" i="7"/>
  <c r="C19" i="7"/>
  <c r="C18" i="7"/>
  <c r="B19" i="7"/>
  <c r="B18" i="7"/>
  <c r="E14" i="7"/>
  <c r="F14" i="7"/>
  <c r="D14" i="7"/>
  <c r="E13" i="7"/>
  <c r="F13" i="7"/>
  <c r="D13" i="7"/>
  <c r="C13" i="7"/>
  <c r="B13" i="7"/>
  <c r="D149" i="3"/>
  <c r="D149" i="4"/>
  <c r="D149" i="2"/>
  <c r="D149" i="1"/>
  <c r="C12" i="7" s="1"/>
  <c r="E12" i="7" s="1"/>
  <c r="F12" i="7" s="1"/>
  <c r="D12" i="7"/>
  <c r="B12" i="7"/>
  <c r="C14" i="6"/>
  <c r="C13" i="6"/>
  <c r="C12" i="6"/>
  <c r="B12" i="6"/>
  <c r="C6" i="6"/>
  <c r="C7" i="6" s="1"/>
  <c r="C4" i="6"/>
  <c r="B7" i="6"/>
  <c r="D20" i="7" l="1"/>
  <c r="E19" i="7"/>
  <c r="F19" i="7" s="1"/>
  <c r="E18" i="7"/>
  <c r="F18" i="7" s="1"/>
  <c r="C8" i="6"/>
  <c r="C9" i="6" s="1"/>
  <c r="B26" i="5"/>
  <c r="I23" i="5"/>
  <c r="G23" i="5"/>
  <c r="E23" i="5"/>
  <c r="C23" i="5"/>
  <c r="I22" i="5"/>
  <c r="I21" i="5"/>
  <c r="G22" i="5"/>
  <c r="G21" i="5"/>
  <c r="E22" i="5"/>
  <c r="E21" i="5"/>
  <c r="C22" i="5"/>
  <c r="C21" i="5"/>
  <c r="H22" i="5"/>
  <c r="H21" i="5"/>
  <c r="F22" i="5"/>
  <c r="F21" i="5"/>
  <c r="D22" i="5"/>
  <c r="D21" i="5"/>
  <c r="B22" i="5"/>
  <c r="B21" i="5"/>
  <c r="H20" i="5"/>
  <c r="F20" i="5"/>
  <c r="D20" i="5"/>
  <c r="B20" i="5"/>
  <c r="H14" i="5"/>
  <c r="F14" i="5"/>
  <c r="D14" i="5"/>
  <c r="B14" i="5"/>
  <c r="H7" i="5"/>
  <c r="D7" i="5"/>
  <c r="F7" i="5"/>
  <c r="B7" i="5"/>
  <c r="H6" i="5"/>
  <c r="D6" i="5"/>
  <c r="E6" i="5" s="1"/>
  <c r="F6" i="5"/>
  <c r="B6" i="5"/>
  <c r="E5" i="5"/>
  <c r="H4" i="5"/>
  <c r="F4" i="5"/>
  <c r="D4" i="5"/>
  <c r="B4" i="5"/>
  <c r="C94" i="4"/>
  <c r="C93" i="4"/>
  <c r="C92" i="4"/>
  <c r="C91" i="4"/>
  <c r="C90" i="4"/>
  <c r="C80" i="4"/>
  <c r="C79" i="4"/>
  <c r="C78" i="4"/>
  <c r="C77" i="4"/>
  <c r="D77" i="4" s="1"/>
  <c r="C75" i="4"/>
  <c r="C129" i="4"/>
  <c r="C136" i="4" s="1"/>
  <c r="D121" i="4"/>
  <c r="D146" i="4" s="1"/>
  <c r="D56" i="4"/>
  <c r="D60" i="4" s="1"/>
  <c r="D68" i="4" s="1"/>
  <c r="C50" i="4"/>
  <c r="C36" i="4"/>
  <c r="C35" i="4"/>
  <c r="C34" i="4"/>
  <c r="D26" i="4"/>
  <c r="D142" i="4" s="1"/>
  <c r="C93" i="3"/>
  <c r="C94" i="3"/>
  <c r="C92" i="3"/>
  <c r="C90" i="3"/>
  <c r="C80" i="3"/>
  <c r="C78" i="3"/>
  <c r="C77" i="3"/>
  <c r="C75" i="3"/>
  <c r="D146" i="3"/>
  <c r="C136" i="3"/>
  <c r="C129" i="3"/>
  <c r="D121" i="3"/>
  <c r="C91" i="3"/>
  <c r="D56" i="3"/>
  <c r="D60" i="3" s="1"/>
  <c r="D68" i="3" s="1"/>
  <c r="C50" i="3"/>
  <c r="C79" i="3" s="1"/>
  <c r="C36" i="3"/>
  <c r="C35" i="3"/>
  <c r="C34" i="3"/>
  <c r="D26" i="3"/>
  <c r="G5" i="5" s="1"/>
  <c r="D146" i="2"/>
  <c r="C136" i="2"/>
  <c r="C129" i="2"/>
  <c r="D121" i="2"/>
  <c r="C94" i="2"/>
  <c r="C93" i="2"/>
  <c r="C92" i="2"/>
  <c r="C91" i="2"/>
  <c r="C90" i="2"/>
  <c r="C80" i="2"/>
  <c r="C79" i="2"/>
  <c r="C78" i="2"/>
  <c r="C77" i="2"/>
  <c r="C75" i="2"/>
  <c r="D56" i="2"/>
  <c r="D60" i="2" s="1"/>
  <c r="D68" i="2" s="1"/>
  <c r="C50" i="2"/>
  <c r="C36" i="2"/>
  <c r="C35" i="2"/>
  <c r="C34" i="2"/>
  <c r="D26" i="2"/>
  <c r="D78" i="2" s="1"/>
  <c r="D79" i="2" s="1"/>
  <c r="D121" i="1"/>
  <c r="D56" i="1"/>
  <c r="E20" i="7" l="1"/>
  <c r="F20" i="7"/>
  <c r="D78" i="4"/>
  <c r="D79" i="4" s="1"/>
  <c r="I5" i="5"/>
  <c r="I6" i="5" s="1"/>
  <c r="D80" i="4"/>
  <c r="D75" i="4"/>
  <c r="D34" i="3"/>
  <c r="D35" i="3"/>
  <c r="G6" i="5"/>
  <c r="G7" i="5" s="1"/>
  <c r="G8" i="5" s="1"/>
  <c r="G9" i="5" s="1"/>
  <c r="E7" i="5"/>
  <c r="E8" i="5" s="1"/>
  <c r="E9" i="5" s="1"/>
  <c r="E11" i="5" s="1"/>
  <c r="E16" i="5" s="1"/>
  <c r="E10" i="5"/>
  <c r="E15" i="5" s="1"/>
  <c r="D76" i="4"/>
  <c r="D81" i="4" s="1"/>
  <c r="D34" i="4"/>
  <c r="D35" i="4"/>
  <c r="D77" i="3"/>
  <c r="D80" i="3"/>
  <c r="D78" i="3"/>
  <c r="D79" i="3" s="1"/>
  <c r="D142" i="3"/>
  <c r="D75" i="3"/>
  <c r="D34" i="2"/>
  <c r="D142" i="2"/>
  <c r="D75" i="2"/>
  <c r="D77" i="2"/>
  <c r="D80" i="2"/>
  <c r="D35" i="2"/>
  <c r="C80" i="1"/>
  <c r="C77" i="1"/>
  <c r="I7" i="5" l="1"/>
  <c r="I8" i="5" s="1"/>
  <c r="I9" i="5" s="1"/>
  <c r="I10" i="5" s="1"/>
  <c r="I15" i="5" s="1"/>
  <c r="D36" i="2"/>
  <c r="D43" i="2" s="1"/>
  <c r="D36" i="3"/>
  <c r="E17" i="5"/>
  <c r="I11" i="5"/>
  <c r="I16" i="5" s="1"/>
  <c r="I17" i="5" s="1"/>
  <c r="G10" i="5"/>
  <c r="G15" i="5" s="1"/>
  <c r="G11" i="5"/>
  <c r="G16" i="5" s="1"/>
  <c r="D36" i="4"/>
  <c r="D144" i="4"/>
  <c r="D76" i="3"/>
  <c r="D81" i="3" s="1"/>
  <c r="D144" i="3" s="1"/>
  <c r="D49" i="2"/>
  <c r="D66" i="2"/>
  <c r="D48" i="2"/>
  <c r="D45" i="2"/>
  <c r="D47" i="2"/>
  <c r="D76" i="2"/>
  <c r="D81" i="2" s="1"/>
  <c r="D144" i="2" s="1"/>
  <c r="C129" i="1"/>
  <c r="C136" i="1" s="1"/>
  <c r="C94" i="1"/>
  <c r="C93" i="1"/>
  <c r="C92" i="1"/>
  <c r="C91" i="1"/>
  <c r="C90" i="1"/>
  <c r="C78" i="1"/>
  <c r="C75" i="1"/>
  <c r="C35" i="1"/>
  <c r="C34" i="1"/>
  <c r="C36" i="1" s="1"/>
  <c r="D42" i="2" l="1"/>
  <c r="D46" i="2"/>
  <c r="D44" i="2"/>
  <c r="G17" i="5"/>
  <c r="D49" i="3"/>
  <c r="D43" i="3"/>
  <c r="D45" i="3"/>
  <c r="D66" i="3"/>
  <c r="D48" i="3"/>
  <c r="D46" i="3"/>
  <c r="D42" i="3"/>
  <c r="D47" i="3"/>
  <c r="D44" i="3"/>
  <c r="D66" i="4"/>
  <c r="D46" i="4"/>
  <c r="D47" i="4"/>
  <c r="D48" i="4"/>
  <c r="D42" i="4"/>
  <c r="D43" i="4"/>
  <c r="D49" i="4"/>
  <c r="D44" i="4"/>
  <c r="D45" i="4"/>
  <c r="D50" i="2"/>
  <c r="D67" i="2" s="1"/>
  <c r="D69" i="2" s="1"/>
  <c r="D146" i="1"/>
  <c r="D60" i="1"/>
  <c r="D68" i="1" s="1"/>
  <c r="C50" i="1"/>
  <c r="C79" i="1" s="1"/>
  <c r="D26" i="1"/>
  <c r="C5" i="5" l="1"/>
  <c r="D50" i="3"/>
  <c r="D67" i="3" s="1"/>
  <c r="D69" i="3" s="1"/>
  <c r="D50" i="4"/>
  <c r="D67" i="4" s="1"/>
  <c r="D69" i="4" s="1"/>
  <c r="D94" i="2"/>
  <c r="D91" i="2"/>
  <c r="D143" i="2"/>
  <c r="D102" i="2"/>
  <c r="D103" i="2" s="1"/>
  <c r="D110" i="2" s="1"/>
  <c r="D93" i="2"/>
  <c r="D95" i="2"/>
  <c r="D92" i="2"/>
  <c r="D90" i="2"/>
  <c r="D75" i="1"/>
  <c r="D76" i="1" s="1"/>
  <c r="D78" i="1"/>
  <c r="D79" i="1" s="1"/>
  <c r="D77" i="1"/>
  <c r="D142" i="1"/>
  <c r="D35" i="1"/>
  <c r="D80" i="1"/>
  <c r="D34" i="1"/>
  <c r="D91" i="4" l="1"/>
  <c r="D93" i="4"/>
  <c r="D95" i="4"/>
  <c r="D94" i="4"/>
  <c r="D90" i="4"/>
  <c r="D96" i="4" s="1"/>
  <c r="D109" i="4" s="1"/>
  <c r="D111" i="4" s="1"/>
  <c r="D145" i="4" s="1"/>
  <c r="D92" i="4"/>
  <c r="D93" i="3"/>
  <c r="D95" i="3"/>
  <c r="D92" i="3"/>
  <c r="D90" i="3"/>
  <c r="D96" i="3" s="1"/>
  <c r="D109" i="3" s="1"/>
  <c r="D143" i="3"/>
  <c r="D102" i="3"/>
  <c r="D103" i="3" s="1"/>
  <c r="D110" i="3" s="1"/>
  <c r="D91" i="3"/>
  <c r="D94" i="3"/>
  <c r="C6" i="5"/>
  <c r="C7" i="5" s="1"/>
  <c r="C8" i="5" s="1"/>
  <c r="C9" i="5" s="1"/>
  <c r="D143" i="4"/>
  <c r="D102" i="4"/>
  <c r="D103" i="4" s="1"/>
  <c r="D110" i="4" s="1"/>
  <c r="D96" i="2"/>
  <c r="D109" i="2" s="1"/>
  <c r="D111" i="2" s="1"/>
  <c r="D145" i="2" s="1"/>
  <c r="D147" i="2" s="1"/>
  <c r="D36" i="1"/>
  <c r="D81" i="1"/>
  <c r="C10" i="5" l="1"/>
  <c r="C15" i="5" s="1"/>
  <c r="C11" i="5"/>
  <c r="C16" i="5" s="1"/>
  <c r="D111" i="3"/>
  <c r="D145" i="3" s="1"/>
  <c r="D147" i="3" s="1"/>
  <c r="D127" i="3" s="1"/>
  <c r="D128" i="3" s="1"/>
  <c r="D129" i="3" s="1"/>
  <c r="D147" i="4"/>
  <c r="D136" i="3"/>
  <c r="D148" i="3" s="1"/>
  <c r="D127" i="2"/>
  <c r="D66" i="1"/>
  <c r="D45" i="1"/>
  <c r="D49" i="1"/>
  <c r="D46" i="1"/>
  <c r="D44" i="1"/>
  <c r="D42" i="1"/>
  <c r="D48" i="1"/>
  <c r="D47" i="1"/>
  <c r="D43" i="1"/>
  <c r="D144" i="1"/>
  <c r="C17" i="5" l="1"/>
  <c r="B25" i="5" s="1"/>
  <c r="B27" i="5" s="1"/>
  <c r="D127" i="4"/>
  <c r="D128" i="4"/>
  <c r="D129" i="4" s="1"/>
  <c r="D133" i="3"/>
  <c r="D132" i="3"/>
  <c r="D131" i="3"/>
  <c r="D130" i="3"/>
  <c r="D135" i="3"/>
  <c r="D134" i="3"/>
  <c r="D128" i="2"/>
  <c r="D129" i="2"/>
  <c r="D50" i="1"/>
  <c r="D67" i="1" s="1"/>
  <c r="D69" i="1" s="1"/>
  <c r="D94" i="1" l="1"/>
  <c r="D102" i="1"/>
  <c r="D136" i="4"/>
  <c r="D148" i="4" s="1"/>
  <c r="D136" i="2"/>
  <c r="D148" i="2" s="1"/>
  <c r="D131" i="2" s="1"/>
  <c r="D132" i="2"/>
  <c r="D92" i="1"/>
  <c r="D90" i="1"/>
  <c r="D103" i="1"/>
  <c r="D110" i="1" s="1"/>
  <c r="D95" i="1"/>
  <c r="D143" i="1"/>
  <c r="D91" i="1"/>
  <c r="D93" i="1"/>
  <c r="D131" i="4" l="1"/>
  <c r="D134" i="4"/>
  <c r="D132" i="4"/>
  <c r="D130" i="4"/>
  <c r="D133" i="4"/>
  <c r="D135" i="4"/>
  <c r="D133" i="2"/>
  <c r="D134" i="2"/>
  <c r="D135" i="2"/>
  <c r="D130" i="2"/>
  <c r="D96" i="1"/>
  <c r="D109" i="1" s="1"/>
  <c r="D111" i="1" s="1"/>
  <c r="D145" i="1" s="1"/>
  <c r="D147" i="1" s="1"/>
  <c r="D127" i="1" s="1"/>
  <c r="D128" i="1" s="1"/>
  <c r="D129" i="1" s="1"/>
  <c r="D136" i="1" l="1"/>
  <c r="D148" i="1" s="1"/>
  <c r="D135" i="1" s="1"/>
  <c r="D131" i="1" l="1"/>
  <c r="D132" i="1"/>
  <c r="D130" i="1"/>
  <c r="D133" i="1"/>
  <c r="D134" i="1"/>
</calcChain>
</file>

<file path=xl/sharedStrings.xml><?xml version="1.0" encoding="utf-8"?>
<sst xmlns="http://schemas.openxmlformats.org/spreadsheetml/2006/main" count="797" uniqueCount="158">
  <si>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</si>
  <si>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</si>
  <si>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</si>
  <si>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</si>
  <si>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</si>
  <si>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</si>
  <si>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</si>
  <si>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</si>
  <si>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</si>
  <si>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</si>
  <si>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</si>
  <si>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</si>
  <si>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</si>
  <si>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</si>
  <si>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</si>
  <si>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</si>
  <si>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</si>
  <si>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</si>
  <si>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</si>
  <si>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</si>
  <si>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</si>
  <si>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</si>
  <si>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</si>
  <si>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</si>
  <si>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</si>
  <si>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</si>
  <si>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</si>
  <si>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</si>
  <si>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</si>
  <si>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</si>
  <si>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</si>
  <si>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</si>
  <si>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</si>
  <si>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</si>
  <si>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</si>
  <si>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</si>
  <si>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</si>
  <si>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</si>
  <si>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</si>
  <si>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</si>
  <si>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</si>
  <si>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</si>
  <si>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</si>
  <si>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</si>
  <si>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</si>
  <si>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</si>
  <si>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</si>
  <si>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</si>
  <si>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</si>
  <si>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</si>
  <si>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</si>
  <si>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</si>
  <si>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</si>
  <si>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</si>
  <si>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</si>
  <si>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</si>
  <si>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</si>
  <si>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</si>
  <si>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</si>
  <si>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</si>
  <si>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</si>
  <si>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</si>
  <si>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</si>
  <si>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</si>
  <si>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</si>
  <si>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</si>
  <si>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</si>
  <si>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</si>
  <si>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</si>
  <si>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</si>
  <si>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</si>
  <si>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</si>
  <si>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</si>
  <si>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</si>
  <si>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</si>
  <si>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</si>
  <si>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</si>
  <si>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</si>
  <si>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</si>
  <si>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</si>
  <si>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</si>
  <si>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</si>
  <si>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</si>
  <si>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</si>
  <si>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</si>
  <si>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</si>
  <si>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</si>
  <si>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</si>
  <si>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</si>
  <si>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</si>
  <si>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</si>
  <si>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</si>
  <si>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</si>
  <si>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</si>
  <si>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</si>
  <si>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</si>
  <si>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</si>
  <si>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</si>
  <si>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</si>
  <si>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</si>
  <si>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</si>
  <si>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Designer Gráfico</t>
  </si>
  <si>
    <t>posto de serviço</t>
  </si>
  <si>
    <t>Videomaker</t>
  </si>
  <si>
    <t>Designer Gráfico - acréscimo em ano eleitoral por 7 meses</t>
  </si>
  <si>
    <t>Videomaker - acréscimo em ano eleitoral por 7 meses</t>
  </si>
  <si>
    <t>Horas Suplementares</t>
  </si>
  <si>
    <t>postos</t>
  </si>
  <si>
    <t>remuneração</t>
  </si>
  <si>
    <t>encargos</t>
  </si>
  <si>
    <t>custos indiretos, lucro e tributos</t>
  </si>
  <si>
    <t>subtotal</t>
  </si>
  <si>
    <t>v.u. hora normal</t>
  </si>
  <si>
    <t>v.u. hora extra dom-fer</t>
  </si>
  <si>
    <t>Valores Referenciais</t>
  </si>
  <si>
    <t>v.u. hora extra seg-sab</t>
  </si>
  <si>
    <t>Ano Eleitoral</t>
  </si>
  <si>
    <t>hora extra dom-fer</t>
  </si>
  <si>
    <t>total horas extras por posto</t>
  </si>
  <si>
    <t>hora extra seg-sab</t>
  </si>
  <si>
    <t>sábados</t>
  </si>
  <si>
    <t>domingos e feriados</t>
  </si>
  <si>
    <t>total transporte</t>
  </si>
  <si>
    <t>Total Horas Extras</t>
  </si>
  <si>
    <t>Total Transporte</t>
  </si>
  <si>
    <t>Custo Total com Horas Extras</t>
  </si>
  <si>
    <t>Diárias</t>
  </si>
  <si>
    <t>Diárias e Deslocamentos</t>
  </si>
  <si>
    <t>valor diária</t>
  </si>
  <si>
    <t>desconto transporte</t>
  </si>
  <si>
    <t>desconto alimentação</t>
  </si>
  <si>
    <t>custo unitário c/ diárias</t>
  </si>
  <si>
    <t>coeficiente tárifário quilométrico</t>
  </si>
  <si>
    <t>custo deslocamento p/ km</t>
  </si>
  <si>
    <r>
      <t xml:space="preserve">estimativa anual c/ </t>
    </r>
    <r>
      <rPr>
        <b/>
        <sz val="10"/>
        <color theme="1"/>
        <rFont val="Times New Roman"/>
        <family val="1"/>
      </rPr>
      <t>diárias</t>
    </r>
  </si>
  <si>
    <r>
      <t xml:space="preserve">estimativa anual c/ </t>
    </r>
    <r>
      <rPr>
        <b/>
        <sz val="10"/>
        <color theme="1"/>
        <rFont val="Times New Roman"/>
        <family val="1"/>
      </rPr>
      <t>deslocamentos</t>
    </r>
  </si>
  <si>
    <t>QUADRO RESUMO - valores estimados</t>
  </si>
  <si>
    <t>postos regulares</t>
  </si>
  <si>
    <t>item</t>
  </si>
  <si>
    <t>profissional</t>
  </si>
  <si>
    <t>valor mensal do posto</t>
  </si>
  <si>
    <t>quantidade de postos</t>
  </si>
  <si>
    <t>valor mensal</t>
  </si>
  <si>
    <t>valor total
(12 meses)</t>
  </si>
  <si>
    <t>postos adicionais</t>
  </si>
  <si>
    <t>valor total
(7 meses)</t>
  </si>
  <si>
    <t>horas suplementares</t>
  </si>
  <si>
    <t>descrição</t>
  </si>
  <si>
    <t>Horas Suplementares – Ano Eleitoral</t>
  </si>
  <si>
    <t>diárias e deslocamentos</t>
  </si>
  <si>
    <t>Estimativa Anual com Diárias</t>
  </si>
  <si>
    <t>Estimativa Anual com Deslocamentos</t>
  </si>
  <si>
    <t>Ano Não Eleitoral</t>
  </si>
  <si>
    <t>Postos Regulares</t>
  </si>
  <si>
    <t>Deslocamentos</t>
  </si>
  <si>
    <t>Postos Adicionais</t>
  </si>
  <si>
    <t>Valor Total Estimado</t>
  </si>
  <si>
    <t>Total (24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</si>
</sst>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\-??_);_(@_)"/>
    <numFmt numFmtId="166" formatCode="_-* #,##0_-;\-* #,##0_-;_-* &quot;-&quot;??_-;_-@_-"/>
    <numFmt numFmtId="168" formatCode="_(* #,##0.0000_);_(* \(#,##0.0000\);_(* \-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43" fontId="4" fillId="0" borderId="7" xfId="0" applyNumberFormat="1" applyFont="1" applyBorder="1"/>
    <xf numFmtId="10" fontId="4" fillId="0" borderId="6" xfId="0" applyNumberFormat="1" applyFont="1" applyBorder="1"/>
    <xf numFmtId="9" fontId="4" fillId="0" borderId="6" xfId="0" applyNumberFormat="1" applyFont="1" applyBorder="1"/>
    <xf numFmtId="43" fontId="5" fillId="0" borderId="7" xfId="0" applyNumberFormat="1" applyFont="1" applyBorder="1"/>
    <xf numFmtId="43" fontId="4" fillId="0" borderId="5" xfId="1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0" borderId="0" xfId="0" applyFont="1"/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5" xfId="0" applyFont="1" applyFill="1" applyBorder="1"/>
    <xf numFmtId="43" fontId="5" fillId="6" borderId="5" xfId="10" applyFont="1" applyFill="1" applyBorder="1"/>
    <xf numFmtId="164" fontId="4" fillId="0" borderId="0" xfId="10" applyNumberFormat="1" applyFont="1"/>
    <xf numFmtId="0" fontId="4" fillId="0" borderId="8" xfId="0" applyFont="1" applyBorder="1"/>
    <xf numFmtId="164" fontId="4" fillId="0" borderId="7" xfId="10" applyNumberFormat="1" applyFont="1" applyBorder="1"/>
    <xf numFmtId="164" fontId="5" fillId="0" borderId="7" xfId="10" applyNumberFormat="1" applyFont="1" applyBorder="1"/>
    <xf numFmtId="168" fontId="4" fillId="0" borderId="7" xfId="10" applyNumberFormat="1" applyFont="1" applyBorder="1"/>
    <xf numFmtId="166" fontId="4" fillId="0" borderId="6" xfId="10" applyNumberFormat="1" applyFont="1" applyBorder="1"/>
    <xf numFmtId="0" fontId="4" fillId="6" borderId="6" xfId="0" applyFont="1" applyFill="1" applyBorder="1"/>
    <xf numFmtId="164" fontId="4" fillId="6" borderId="7" xfId="10" applyNumberFormat="1" applyFont="1" applyFill="1" applyBorder="1"/>
    <xf numFmtId="168" fontId="4" fillId="6" borderId="7" xfId="10" applyNumberFormat="1" applyFont="1" applyFill="1" applyBorder="1"/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3" fontId="4" fillId="0" borderId="5" xfId="1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3" fontId="5" fillId="0" borderId="5" xfId="10" applyFont="1" applyBorder="1" applyAlignment="1">
      <alignment vertical="center"/>
    </xf>
    <xf numFmtId="0" fontId="4" fillId="0" borderId="5" xfId="0" applyFont="1" applyBorder="1"/>
    <xf numFmtId="43" fontId="5" fillId="0" borderId="5" xfId="0" applyNumberFormat="1" applyFont="1" applyBorder="1"/>
    <xf numFmtId="0" fontId="4" fillId="6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43" fontId="4" fillId="0" borderId="8" xfId="0" applyNumberFormat="1" applyFont="1" applyBorder="1"/>
    <xf numFmtId="0" fontId="5" fillId="5" borderId="6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6" borderId="6" xfId="0" applyFont="1" applyFill="1" applyBorder="1"/>
    <xf numFmtId="43" fontId="5" fillId="6" borderId="8" xfId="0" applyNumberFormat="1" applyFont="1" applyFill="1" applyBorder="1"/>
    <xf numFmtId="43" fontId="5" fillId="6" borderId="7" xfId="0" applyNumberFormat="1" applyFont="1" applyFill="1" applyBorder="1"/>
    <xf numFmtId="0" fontId="5" fillId="6" borderId="8" xfId="0" applyFont="1" applyFill="1" applyBorder="1"/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673343</xdr:colOff>
      <xdr:row>0</xdr:row>
      <xdr:rowOff>0</xdr:rowOff>
    </xdr:from>
    <xdr:to>
      <xdr:col>4</xdr:col>
      <xdr:colOff>400017</xdr:colOff>
      <xdr:row>6</xdr:row>
      <xdr:rowOff>102520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5234" y="0"/>
          <a:ext cx="2882348" cy="10964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topLeftCell="A130" zoomScale="115" zoomScaleNormal="115" workbookViewId="0">
      <selection activeCell="D149" sqref="D1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7" t="s">
        <v>0</v>
      </c>
      <c r="B1" s="57"/>
      <c r="C1" s="57"/>
      <c r="D1" s="57"/>
    </row>
    <row r="2" spans="1:4" ht="15.75" x14ac:dyDescent="0.25">
      <c r="A2" s="26"/>
      <c r="B2" s="26"/>
      <c r="C2" s="26"/>
      <c r="D2" s="26"/>
    </row>
    <row r="3" spans="1:4" x14ac:dyDescent="0.2">
      <c r="A3" s="48" t="s">
        <v>91</v>
      </c>
      <c r="B3" s="48"/>
      <c r="C3" s="48"/>
      <c r="D3" s="48"/>
    </row>
    <row r="4" spans="1:4" x14ac:dyDescent="0.2">
      <c r="A4" s="2"/>
      <c r="B4" s="2"/>
      <c r="C4" s="2"/>
      <c r="D4" s="2"/>
    </row>
    <row r="5" spans="1:4" ht="38.25" x14ac:dyDescent="0.2">
      <c r="A5" s="42" t="s">
        <v>92</v>
      </c>
      <c r="B5" s="42"/>
      <c r="C5" s="7" t="s">
        <v>93</v>
      </c>
      <c r="D5" s="27" t="s">
        <v>94</v>
      </c>
    </row>
    <row r="6" spans="1:4" x14ac:dyDescent="0.2">
      <c r="A6" s="43" t="s">
        <v>101</v>
      </c>
      <c r="B6" s="43"/>
      <c r="C6" s="33" t="s">
        <v>102</v>
      </c>
      <c r="D6" s="33">
        <v>1</v>
      </c>
    </row>
    <row r="8" spans="1:4" x14ac:dyDescent="0.2">
      <c r="A8" s="48" t="s">
        <v>75</v>
      </c>
      <c r="B8" s="48"/>
      <c r="C8" s="48"/>
      <c r="D8" s="48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76</v>
      </c>
      <c r="C10" s="44" t="s">
        <v>101</v>
      </c>
      <c r="D10" s="45"/>
    </row>
    <row r="11" spans="1:4" x14ac:dyDescent="0.2">
      <c r="A11" s="5">
        <v>2</v>
      </c>
      <c r="B11" s="5" t="s">
        <v>95</v>
      </c>
      <c r="C11" s="44"/>
      <c r="D11" s="45"/>
    </row>
    <row r="12" spans="1:4" x14ac:dyDescent="0.2">
      <c r="A12" s="5">
        <v>3</v>
      </c>
      <c r="B12" s="5" t="s">
        <v>77</v>
      </c>
      <c r="C12" s="44"/>
      <c r="D12" s="45"/>
    </row>
    <row r="13" spans="1:4" x14ac:dyDescent="0.2">
      <c r="A13" s="5">
        <v>4</v>
      </c>
      <c r="B13" s="5" t="s">
        <v>78</v>
      </c>
      <c r="C13" s="44"/>
      <c r="D13" s="45"/>
    </row>
    <row r="14" spans="1:4" x14ac:dyDescent="0.2">
      <c r="A14" s="5">
        <v>5</v>
      </c>
      <c r="B14" s="5" t="s">
        <v>79</v>
      </c>
      <c r="C14" s="44"/>
      <c r="D14" s="45"/>
    </row>
    <row r="16" spans="1:4" x14ac:dyDescent="0.2">
      <c r="A16" s="48" t="s">
        <v>1</v>
      </c>
      <c r="B16" s="48"/>
      <c r="C16" s="48"/>
      <c r="D16" s="48"/>
    </row>
    <row r="18" spans="1:4" x14ac:dyDescent="0.2">
      <c r="A18" s="6">
        <v>1</v>
      </c>
      <c r="B18" s="46" t="s">
        <v>2</v>
      </c>
      <c r="C18" s="46"/>
      <c r="D18" s="6" t="s">
        <v>3</v>
      </c>
    </row>
    <row r="19" spans="1:4" x14ac:dyDescent="0.2">
      <c r="A19" s="7" t="s">
        <v>4</v>
      </c>
      <c r="B19" s="47" t="s">
        <v>5</v>
      </c>
      <c r="C19" s="47"/>
      <c r="D19" s="13">
        <v>2102.1999999999998</v>
      </c>
    </row>
    <row r="20" spans="1:4" x14ac:dyDescent="0.2">
      <c r="A20" s="7" t="s">
        <v>6</v>
      </c>
      <c r="B20" s="47" t="s">
        <v>7</v>
      </c>
      <c r="C20" s="47"/>
      <c r="D20" s="13"/>
    </row>
    <row r="21" spans="1:4" x14ac:dyDescent="0.2">
      <c r="A21" s="7" t="s">
        <v>8</v>
      </c>
      <c r="B21" s="47" t="s">
        <v>9</v>
      </c>
      <c r="C21" s="47"/>
      <c r="D21" s="13"/>
    </row>
    <row r="22" spans="1:4" x14ac:dyDescent="0.2">
      <c r="A22" s="7" t="s">
        <v>10</v>
      </c>
      <c r="B22" s="47" t="s">
        <v>11</v>
      </c>
      <c r="C22" s="47"/>
      <c r="D22" s="13"/>
    </row>
    <row r="23" spans="1:4" x14ac:dyDescent="0.2">
      <c r="A23" s="7" t="s">
        <v>12</v>
      </c>
      <c r="B23" s="47" t="s">
        <v>13</v>
      </c>
      <c r="C23" s="47"/>
      <c r="D23" s="13"/>
    </row>
    <row r="24" spans="1:4" x14ac:dyDescent="0.2">
      <c r="A24" s="7"/>
      <c r="B24" s="47"/>
      <c r="C24" s="47"/>
      <c r="D24" s="13"/>
    </row>
    <row r="25" spans="1:4" x14ac:dyDescent="0.2">
      <c r="A25" s="7" t="s">
        <v>14</v>
      </c>
      <c r="B25" s="47" t="s">
        <v>15</v>
      </c>
      <c r="C25" s="47"/>
      <c r="D25" s="13"/>
    </row>
    <row r="26" spans="1:4" x14ac:dyDescent="0.2">
      <c r="A26" s="46" t="s">
        <v>16</v>
      </c>
      <c r="B26" s="46"/>
      <c r="C26" s="46"/>
      <c r="D26" s="20">
        <f>SUM(D19:D25)</f>
        <v>2102.1999999999998</v>
      </c>
    </row>
    <row r="29" spans="1:4" x14ac:dyDescent="0.2">
      <c r="A29" s="48" t="s">
        <v>17</v>
      </c>
      <c r="B29" s="48"/>
      <c r="C29" s="48"/>
      <c r="D29" s="48"/>
    </row>
    <row r="30" spans="1:4" x14ac:dyDescent="0.2">
      <c r="A30" s="3"/>
    </row>
    <row r="31" spans="1:4" x14ac:dyDescent="0.2">
      <c r="A31" s="55" t="s">
        <v>18</v>
      </c>
      <c r="B31" s="55"/>
      <c r="C31" s="55"/>
      <c r="D31" s="55"/>
    </row>
    <row r="33" spans="1:4" x14ac:dyDescent="0.2">
      <c r="A33" s="6" t="s">
        <v>19</v>
      </c>
      <c r="B33" s="46" t="s">
        <v>20</v>
      </c>
      <c r="C33" s="46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175.11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233.55</v>
      </c>
    </row>
    <row r="36" spans="1:4" x14ac:dyDescent="0.2">
      <c r="A36" s="46" t="s">
        <v>16</v>
      </c>
      <c r="B36" s="46"/>
      <c r="C36" s="28">
        <f>SUM(C34:C35)</f>
        <v>0.19440000000000002</v>
      </c>
      <c r="D36" s="19">
        <f>SUM(D34:D35)</f>
        <v>408.66</v>
      </c>
    </row>
    <row r="39" spans="1:4" x14ac:dyDescent="0.2">
      <c r="A39" s="58" t="s">
        <v>23</v>
      </c>
      <c r="B39" s="58"/>
      <c r="C39" s="58"/>
      <c r="D39" s="58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502.17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62.77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75.319999999999993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37.659999999999997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25.1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15.06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5.0199999999999996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200.86</v>
      </c>
    </row>
    <row r="50" spans="1:4" x14ac:dyDescent="0.2">
      <c r="A50" s="46" t="s">
        <v>37</v>
      </c>
      <c r="B50" s="46"/>
      <c r="C50" s="15">
        <f>SUM(C42:C49)</f>
        <v>0.36800000000000005</v>
      </c>
      <c r="D50" s="19">
        <f>SUM(D42:D49)</f>
        <v>923.95999999999992</v>
      </c>
    </row>
    <row r="53" spans="1:4" x14ac:dyDescent="0.2">
      <c r="A53" s="55" t="s">
        <v>38</v>
      </c>
      <c r="B53" s="55"/>
      <c r="C53" s="55"/>
      <c r="D53" s="55"/>
    </row>
    <row r="55" spans="1:4" x14ac:dyDescent="0.2">
      <c r="A55" s="6" t="s">
        <v>39</v>
      </c>
      <c r="B55" s="54" t="s">
        <v>40</v>
      </c>
      <c r="C55" s="54"/>
      <c r="D55" s="6" t="s">
        <v>3</v>
      </c>
    </row>
    <row r="56" spans="1:4" x14ac:dyDescent="0.2">
      <c r="A56" s="7" t="s">
        <v>4</v>
      </c>
      <c r="B56" s="47" t="s">
        <v>41</v>
      </c>
      <c r="C56" s="47"/>
      <c r="D56" s="13">
        <f>(22*2*4.9)-(D19*0.06)</f>
        <v>89.468000000000032</v>
      </c>
    </row>
    <row r="57" spans="1:4" x14ac:dyDescent="0.2">
      <c r="A57" s="7" t="s">
        <v>6</v>
      </c>
      <c r="B57" s="47" t="s">
        <v>42</v>
      </c>
      <c r="C57" s="47"/>
      <c r="D57" s="13">
        <v>0</v>
      </c>
    </row>
    <row r="58" spans="1:4" x14ac:dyDescent="0.2">
      <c r="A58" s="7" t="s">
        <v>8</v>
      </c>
      <c r="B58" s="47" t="s">
        <v>43</v>
      </c>
      <c r="C58" s="47"/>
      <c r="D58" s="13"/>
    </row>
    <row r="59" spans="1:4" x14ac:dyDescent="0.2">
      <c r="A59" s="7" t="s">
        <v>10</v>
      </c>
      <c r="B59" s="47" t="s">
        <v>15</v>
      </c>
      <c r="C59" s="47"/>
      <c r="D59" s="13"/>
    </row>
    <row r="60" spans="1:4" x14ac:dyDescent="0.2">
      <c r="A60" s="46" t="s">
        <v>16</v>
      </c>
      <c r="B60" s="46"/>
      <c r="C60" s="46"/>
      <c r="D60" s="19">
        <f>SUM(D56:D59)</f>
        <v>89.468000000000032</v>
      </c>
    </row>
    <row r="63" spans="1:4" x14ac:dyDescent="0.2">
      <c r="A63" s="55" t="s">
        <v>44</v>
      </c>
      <c r="B63" s="55"/>
      <c r="C63" s="55"/>
      <c r="D63" s="55"/>
    </row>
    <row r="65" spans="1:5" x14ac:dyDescent="0.2">
      <c r="A65" s="6">
        <v>2</v>
      </c>
      <c r="B65" s="54" t="s">
        <v>45</v>
      </c>
      <c r="C65" s="54"/>
      <c r="D65" s="6" t="s">
        <v>3</v>
      </c>
    </row>
    <row r="66" spans="1:5" x14ac:dyDescent="0.2">
      <c r="A66" s="7" t="s">
        <v>19</v>
      </c>
      <c r="B66" s="47" t="s">
        <v>20</v>
      </c>
      <c r="C66" s="47"/>
      <c r="D66" s="14">
        <f>D36</f>
        <v>408.66</v>
      </c>
    </row>
    <row r="67" spans="1:5" x14ac:dyDescent="0.2">
      <c r="A67" s="7" t="s">
        <v>24</v>
      </c>
      <c r="B67" s="47" t="s">
        <v>25</v>
      </c>
      <c r="C67" s="47"/>
      <c r="D67" s="14">
        <f>D50</f>
        <v>923.95999999999992</v>
      </c>
    </row>
    <row r="68" spans="1:5" x14ac:dyDescent="0.2">
      <c r="A68" s="7" t="s">
        <v>39</v>
      </c>
      <c r="B68" s="47" t="s">
        <v>40</v>
      </c>
      <c r="C68" s="47"/>
      <c r="D68" s="14">
        <f>D60</f>
        <v>89.468000000000032</v>
      </c>
    </row>
    <row r="69" spans="1:5" x14ac:dyDescent="0.2">
      <c r="A69" s="46" t="s">
        <v>16</v>
      </c>
      <c r="B69" s="46"/>
      <c r="C69" s="46"/>
      <c r="D69" s="19">
        <f>SUM(D66:D68)</f>
        <v>1422.088</v>
      </c>
    </row>
    <row r="70" spans="1:5" x14ac:dyDescent="0.2">
      <c r="A70" s="4"/>
      <c r="E70" s="18"/>
    </row>
    <row r="72" spans="1:5" x14ac:dyDescent="0.2">
      <c r="A72" s="48" t="s">
        <v>46</v>
      </c>
      <c r="B72" s="48"/>
      <c r="C72" s="48"/>
      <c r="D72" s="48"/>
      <c r="E72" s="17"/>
    </row>
    <row r="73" spans="1:5" ht="12.75" customHeight="1" x14ac:dyDescent="0.2">
      <c r="E73" s="18"/>
    </row>
    <row r="74" spans="1:5" x14ac:dyDescent="0.2">
      <c r="A74" s="6">
        <v>3</v>
      </c>
      <c r="B74" s="54" t="s">
        <v>47</v>
      </c>
      <c r="C74" s="54"/>
      <c r="D74" s="6" t="s">
        <v>3</v>
      </c>
    </row>
    <row r="75" spans="1:5" x14ac:dyDescent="0.2">
      <c r="A75" s="7" t="s">
        <v>4</v>
      </c>
      <c r="B75" s="10" t="s">
        <v>48</v>
      </c>
      <c r="C75" s="9">
        <f>TRUNC(((1/12)*5%),4)</f>
        <v>4.1000000000000003E-3</v>
      </c>
      <c r="D75" s="13">
        <f>TRUNC($D$26*C75,2)</f>
        <v>8.61</v>
      </c>
    </row>
    <row r="76" spans="1:5" x14ac:dyDescent="0.2">
      <c r="A76" s="7" t="s">
        <v>6</v>
      </c>
      <c r="B76" s="10" t="s">
        <v>49</v>
      </c>
      <c r="C76" s="9">
        <v>0.08</v>
      </c>
      <c r="D76" s="13">
        <f>TRUNC(D75*C76,2)</f>
        <v>0.68</v>
      </c>
    </row>
    <row r="77" spans="1:5" x14ac:dyDescent="0.2">
      <c r="A77" s="7" t="s">
        <v>8</v>
      </c>
      <c r="B77" s="10" t="s">
        <v>50</v>
      </c>
      <c r="C77" s="9">
        <f>TRUNC(8%*5%*40%,4)</f>
        <v>1.6000000000000001E-3</v>
      </c>
      <c r="D77" s="13">
        <f>TRUNC($D$26*C77,2)</f>
        <v>3.36</v>
      </c>
    </row>
    <row r="78" spans="1:5" x14ac:dyDescent="0.2">
      <c r="A78" s="7" t="s">
        <v>10</v>
      </c>
      <c r="B78" s="10" t="s">
        <v>51</v>
      </c>
      <c r="C78" s="9">
        <f>TRUNC(((7/30)/12)*95%,4)</f>
        <v>1.84E-2</v>
      </c>
      <c r="D78" s="13">
        <f>TRUNC($D$26*C78,2)</f>
        <v>38.68</v>
      </c>
    </row>
    <row r="79" spans="1:5" ht="25.5" x14ac:dyDescent="0.2">
      <c r="A79" s="7" t="s">
        <v>12</v>
      </c>
      <c r="B79" s="10" t="s">
        <v>96</v>
      </c>
      <c r="C79" s="9">
        <f>C50</f>
        <v>0.36800000000000005</v>
      </c>
      <c r="D79" s="13">
        <f>TRUNC(D78*C79,2)</f>
        <v>14.23</v>
      </c>
    </row>
    <row r="80" spans="1:5" x14ac:dyDescent="0.2">
      <c r="A80" s="7" t="s">
        <v>32</v>
      </c>
      <c r="B80" s="10" t="s">
        <v>52</v>
      </c>
      <c r="C80" s="9">
        <f>TRUNC(8%*95%*40%,4)</f>
        <v>3.04E-2</v>
      </c>
      <c r="D80" s="13">
        <f t="shared" ref="D80" si="1">TRUNC($D$26*C80,2)</f>
        <v>63.9</v>
      </c>
    </row>
    <row r="81" spans="1:6" x14ac:dyDescent="0.2">
      <c r="A81" s="52" t="s">
        <v>16</v>
      </c>
      <c r="B81" s="53"/>
      <c r="C81" s="56"/>
      <c r="D81" s="19">
        <f>SUM(D75:D80)</f>
        <v>129.46</v>
      </c>
    </row>
    <row r="84" spans="1:6" x14ac:dyDescent="0.2">
      <c r="A84" s="48" t="s">
        <v>53</v>
      </c>
      <c r="B84" s="48"/>
      <c r="C84" s="48"/>
      <c r="D84" s="48"/>
    </row>
    <row r="87" spans="1:6" x14ac:dyDescent="0.2">
      <c r="A87" s="55" t="s">
        <v>80</v>
      </c>
      <c r="B87" s="55"/>
      <c r="C87" s="55"/>
      <c r="D87" s="55"/>
    </row>
    <row r="88" spans="1:6" x14ac:dyDescent="0.2">
      <c r="A88" s="3"/>
    </row>
    <row r="89" spans="1:6" x14ac:dyDescent="0.2">
      <c r="A89" s="6" t="s">
        <v>54</v>
      </c>
      <c r="B89" s="54" t="s">
        <v>81</v>
      </c>
      <c r="C89" s="54"/>
      <c r="D89" s="6" t="s">
        <v>3</v>
      </c>
    </row>
    <row r="90" spans="1:6" x14ac:dyDescent="0.2">
      <c r="A90" s="7" t="s">
        <v>4</v>
      </c>
      <c r="B90" s="8" t="s">
        <v>82</v>
      </c>
      <c r="C90" s="9">
        <f>TRUNC(((1+1/3)/12)/12,4)</f>
        <v>9.1999999999999998E-3</v>
      </c>
      <c r="D90" s="13">
        <f>TRUNC(($D$26+$D$69+$D$81)*C90,2)</f>
        <v>33.61</v>
      </c>
    </row>
    <row r="91" spans="1:6" x14ac:dyDescent="0.2">
      <c r="A91" s="7" t="s">
        <v>6</v>
      </c>
      <c r="B91" s="8" t="s">
        <v>83</v>
      </c>
      <c r="C91" s="9">
        <f>TRUNC(((2/30)/12),4)</f>
        <v>5.4999999999999997E-3</v>
      </c>
      <c r="D91" s="13">
        <f t="shared" ref="D91:D95" si="2">TRUNC(($D$26+$D$69+$D$81)*C91,2)</f>
        <v>20.09</v>
      </c>
    </row>
    <row r="92" spans="1:6" x14ac:dyDescent="0.2">
      <c r="A92" s="7" t="s">
        <v>8</v>
      </c>
      <c r="B92" s="8" t="s">
        <v>84</v>
      </c>
      <c r="C92" s="9">
        <f>TRUNC(((5/30)/12)*2%,4)</f>
        <v>2.0000000000000001E-4</v>
      </c>
      <c r="D92" s="13">
        <f t="shared" si="2"/>
        <v>0.73</v>
      </c>
    </row>
    <row r="93" spans="1:6" x14ac:dyDescent="0.2">
      <c r="A93" s="7" t="s">
        <v>10</v>
      </c>
      <c r="B93" s="8" t="s">
        <v>85</v>
      </c>
      <c r="C93" s="9">
        <f>TRUNC(((15/30)/12)*8%,4)</f>
        <v>3.3E-3</v>
      </c>
      <c r="D93" s="13">
        <f t="shared" si="2"/>
        <v>12.05</v>
      </c>
    </row>
    <row r="94" spans="1:6" x14ac:dyDescent="0.2">
      <c r="A94" s="7" t="s">
        <v>12</v>
      </c>
      <c r="B94" s="8" t="s">
        <v>86</v>
      </c>
      <c r="C94" s="9">
        <f>((1+1/3)/12)*3%*(4/12)</f>
        <v>1.1111111111111109E-3</v>
      </c>
      <c r="D94" s="13">
        <f t="shared" si="2"/>
        <v>4.05</v>
      </c>
    </row>
    <row r="95" spans="1:6" x14ac:dyDescent="0.2">
      <c r="A95" s="7" t="s">
        <v>32</v>
      </c>
      <c r="B95" s="8" t="s">
        <v>87</v>
      </c>
      <c r="C95" s="9"/>
      <c r="D95" s="13">
        <f t="shared" si="2"/>
        <v>0</v>
      </c>
    </row>
    <row r="96" spans="1:6" x14ac:dyDescent="0.2">
      <c r="A96" s="46" t="s">
        <v>37</v>
      </c>
      <c r="B96" s="46"/>
      <c r="C96" s="46"/>
      <c r="D96" s="19">
        <f>SUM(D90:D95)</f>
        <v>70.53</v>
      </c>
      <c r="E96" s="17"/>
      <c r="F96" s="17"/>
    </row>
    <row r="99" spans="1:4" x14ac:dyDescent="0.2">
      <c r="A99" s="55" t="s">
        <v>88</v>
      </c>
      <c r="B99" s="55"/>
      <c r="C99" s="55"/>
      <c r="D99" s="55"/>
    </row>
    <row r="100" spans="1:4" x14ac:dyDescent="0.2">
      <c r="A100" s="3"/>
    </row>
    <row r="101" spans="1:4" x14ac:dyDescent="0.2">
      <c r="A101" s="6" t="s">
        <v>55</v>
      </c>
      <c r="B101" s="54" t="s">
        <v>89</v>
      </c>
      <c r="C101" s="54"/>
      <c r="D101" s="6" t="s">
        <v>3</v>
      </c>
    </row>
    <row r="102" spans="1:4" x14ac:dyDescent="0.2">
      <c r="A102" s="7" t="s">
        <v>4</v>
      </c>
      <c r="B102" s="49" t="s">
        <v>90</v>
      </c>
      <c r="C102" s="50"/>
      <c r="D102" s="13">
        <f>((D26+D69+D81)/220)*22*0</f>
        <v>0</v>
      </c>
    </row>
    <row r="103" spans="1:4" x14ac:dyDescent="0.2">
      <c r="A103" s="46" t="s">
        <v>16</v>
      </c>
      <c r="B103" s="46"/>
      <c r="C103" s="46"/>
      <c r="D103" s="19">
        <f>SUM(D102)</f>
        <v>0</v>
      </c>
    </row>
    <row r="106" spans="1:4" x14ac:dyDescent="0.2">
      <c r="A106" s="55" t="s">
        <v>56</v>
      </c>
      <c r="B106" s="55"/>
      <c r="C106" s="55"/>
      <c r="D106" s="55"/>
    </row>
    <row r="107" spans="1:4" x14ac:dyDescent="0.2">
      <c r="A107" s="3"/>
    </row>
    <row r="108" spans="1:4" x14ac:dyDescent="0.2">
      <c r="A108" s="6">
        <v>4</v>
      </c>
      <c r="B108" s="46" t="s">
        <v>57</v>
      </c>
      <c r="C108" s="46"/>
      <c r="D108" s="6" t="s">
        <v>3</v>
      </c>
    </row>
    <row r="109" spans="1:4" x14ac:dyDescent="0.2">
      <c r="A109" s="7" t="s">
        <v>54</v>
      </c>
      <c r="B109" s="47" t="s">
        <v>81</v>
      </c>
      <c r="C109" s="47"/>
      <c r="D109" s="14">
        <f>D96</f>
        <v>70.53</v>
      </c>
    </row>
    <row r="110" spans="1:4" x14ac:dyDescent="0.2">
      <c r="A110" s="7" t="s">
        <v>55</v>
      </c>
      <c r="B110" s="47" t="s">
        <v>89</v>
      </c>
      <c r="C110" s="47"/>
      <c r="D110" s="14">
        <f>D103</f>
        <v>0</v>
      </c>
    </row>
    <row r="111" spans="1:4" x14ac:dyDescent="0.2">
      <c r="A111" s="46" t="s">
        <v>16</v>
      </c>
      <c r="B111" s="46"/>
      <c r="C111" s="46"/>
      <c r="D111" s="19">
        <f>SUM(D109:D110)</f>
        <v>70.53</v>
      </c>
    </row>
    <row r="114" spans="1:4" x14ac:dyDescent="0.2">
      <c r="A114" s="48" t="s">
        <v>58</v>
      </c>
      <c r="B114" s="48"/>
      <c r="C114" s="48"/>
      <c r="D114" s="48"/>
    </row>
    <row r="116" spans="1:4" x14ac:dyDescent="0.2">
      <c r="A116" s="6">
        <v>5</v>
      </c>
      <c r="B116" s="51" t="s">
        <v>59</v>
      </c>
      <c r="C116" s="51"/>
      <c r="D116" s="6" t="s">
        <v>3</v>
      </c>
    </row>
    <row r="117" spans="1:4" x14ac:dyDescent="0.2">
      <c r="A117" s="7" t="s">
        <v>4</v>
      </c>
      <c r="B117" s="8" t="s">
        <v>60</v>
      </c>
      <c r="C117" s="8"/>
      <c r="D117" s="13"/>
    </row>
    <row r="118" spans="1:4" x14ac:dyDescent="0.2">
      <c r="A118" s="7" t="s">
        <v>6</v>
      </c>
      <c r="B118" s="8" t="s">
        <v>61</v>
      </c>
      <c r="C118" s="8"/>
      <c r="D118" s="13"/>
    </row>
    <row r="119" spans="1:4" x14ac:dyDescent="0.2">
      <c r="A119" s="7" t="s">
        <v>8</v>
      </c>
      <c r="B119" s="8" t="s">
        <v>62</v>
      </c>
      <c r="C119" s="8"/>
      <c r="D119" s="13"/>
    </row>
    <row r="120" spans="1:4" x14ac:dyDescent="0.2">
      <c r="A120" s="7" t="s">
        <v>10</v>
      </c>
      <c r="B120" s="8" t="s">
        <v>15</v>
      </c>
      <c r="C120" s="8"/>
      <c r="D120" s="13"/>
    </row>
    <row r="121" spans="1:4" x14ac:dyDescent="0.2">
      <c r="A121" s="46" t="s">
        <v>37</v>
      </c>
      <c r="B121" s="46"/>
      <c r="C121" s="46"/>
      <c r="D121" s="20">
        <f>SUM(D117:D120)</f>
        <v>0</v>
      </c>
    </row>
    <row r="124" spans="1:4" x14ac:dyDescent="0.2">
      <c r="A124" s="48" t="s">
        <v>63</v>
      </c>
      <c r="B124" s="48"/>
      <c r="C124" s="48"/>
      <c r="D124" s="48"/>
    </row>
    <row r="126" spans="1:4" x14ac:dyDescent="0.2">
      <c r="A126" s="6">
        <v>6</v>
      </c>
      <c r="B126" s="11" t="s">
        <v>64</v>
      </c>
      <c r="C126" s="6" t="s">
        <v>26</v>
      </c>
      <c r="D126" s="6" t="s">
        <v>3</v>
      </c>
    </row>
    <row r="127" spans="1:4" x14ac:dyDescent="0.2">
      <c r="A127" s="7" t="s">
        <v>4</v>
      </c>
      <c r="B127" s="8" t="s">
        <v>65</v>
      </c>
      <c r="C127" s="9">
        <v>0.05</v>
      </c>
      <c r="D127" s="14">
        <f>D147*C127</f>
        <v>186.2139</v>
      </c>
    </row>
    <row r="128" spans="1:4" x14ac:dyDescent="0.2">
      <c r="A128" s="7" t="s">
        <v>6</v>
      </c>
      <c r="B128" s="8" t="s">
        <v>66</v>
      </c>
      <c r="C128" s="9">
        <v>0.06</v>
      </c>
      <c r="D128" s="13">
        <f>(D147+D127)*C128</f>
        <v>234.629514</v>
      </c>
    </row>
    <row r="129" spans="1:4" x14ac:dyDescent="0.2">
      <c r="A129" s="7" t="s">
        <v>8</v>
      </c>
      <c r="B129" s="8" t="s">
        <v>67</v>
      </c>
      <c r="C129" s="12">
        <f>SUM(C130:C135)</f>
        <v>8.6499999999999994E-2</v>
      </c>
      <c r="D129" s="13">
        <f>(D147+D127+D128)*C129/(1-C129)</f>
        <v>392.50465496551726</v>
      </c>
    </row>
    <row r="130" spans="1:4" x14ac:dyDescent="0.2">
      <c r="A130" s="7"/>
      <c r="B130" s="8" t="s">
        <v>68</v>
      </c>
      <c r="C130" s="9"/>
      <c r="D130" s="14">
        <f>$D$149*C130</f>
        <v>0</v>
      </c>
    </row>
    <row r="131" spans="1:4" x14ac:dyDescent="0.2">
      <c r="A131" s="7"/>
      <c r="B131" s="25" t="s">
        <v>98</v>
      </c>
      <c r="C131" s="9">
        <v>6.4999999999999997E-3</v>
      </c>
      <c r="D131" s="14">
        <f t="shared" ref="D131:D132" si="3">$D$149*C131</f>
        <v>29.494595</v>
      </c>
    </row>
    <row r="132" spans="1:4" x14ac:dyDescent="0.2">
      <c r="A132" s="7"/>
      <c r="B132" s="25" t="s">
        <v>99</v>
      </c>
      <c r="C132" s="9">
        <v>0.03</v>
      </c>
      <c r="D132" s="14">
        <f t="shared" si="3"/>
        <v>136.12889999999999</v>
      </c>
    </row>
    <row r="133" spans="1:4" x14ac:dyDescent="0.2">
      <c r="A133" s="7"/>
      <c r="B133" s="8" t="s">
        <v>69</v>
      </c>
      <c r="C133" s="7"/>
      <c r="D133" s="14">
        <f t="shared" ref="D133:D134" si="4">$D$149*C133</f>
        <v>0</v>
      </c>
    </row>
    <row r="134" spans="1:4" x14ac:dyDescent="0.2">
      <c r="A134" s="7"/>
      <c r="B134" s="8" t="s">
        <v>70</v>
      </c>
      <c r="C134" s="9"/>
      <c r="D134" s="14">
        <f t="shared" si="4"/>
        <v>0</v>
      </c>
    </row>
    <row r="135" spans="1:4" x14ac:dyDescent="0.2">
      <c r="A135" s="7"/>
      <c r="B135" s="25" t="s">
        <v>100</v>
      </c>
      <c r="C135" s="9">
        <v>0.05</v>
      </c>
      <c r="D135" s="14">
        <f t="shared" ref="D135" si="5">$D$149*C135</f>
        <v>226.88150000000002</v>
      </c>
    </row>
    <row r="136" spans="1:4" ht="13.5" x14ac:dyDescent="0.2">
      <c r="A136" s="52" t="s">
        <v>37</v>
      </c>
      <c r="B136" s="53"/>
      <c r="C136" s="21">
        <f>(1+C128)*(1+C127)/(1-C129)-1</f>
        <v>0.21839080459770144</v>
      </c>
      <c r="D136" s="19">
        <f>SUM(D127:D129)</f>
        <v>813.34806896551731</v>
      </c>
    </row>
    <row r="139" spans="1:4" x14ac:dyDescent="0.2">
      <c r="A139" s="48" t="s">
        <v>71</v>
      </c>
      <c r="B139" s="48"/>
      <c r="C139" s="48"/>
      <c r="D139" s="48"/>
    </row>
    <row r="141" spans="1:4" x14ac:dyDescent="0.2">
      <c r="A141" s="6"/>
      <c r="B141" s="46" t="s">
        <v>72</v>
      </c>
      <c r="C141" s="46"/>
      <c r="D141" s="6" t="s">
        <v>3</v>
      </c>
    </row>
    <row r="142" spans="1:4" x14ac:dyDescent="0.2">
      <c r="A142" s="6" t="s">
        <v>4</v>
      </c>
      <c r="B142" s="47" t="s">
        <v>1</v>
      </c>
      <c r="C142" s="47"/>
      <c r="D142" s="22">
        <f>D26</f>
        <v>2102.1999999999998</v>
      </c>
    </row>
    <row r="143" spans="1:4" x14ac:dyDescent="0.2">
      <c r="A143" s="6" t="s">
        <v>6</v>
      </c>
      <c r="B143" s="47" t="s">
        <v>17</v>
      </c>
      <c r="C143" s="47"/>
      <c r="D143" s="22">
        <f>D69</f>
        <v>1422.088</v>
      </c>
    </row>
    <row r="144" spans="1:4" x14ac:dyDescent="0.2">
      <c r="A144" s="6" t="s">
        <v>8</v>
      </c>
      <c r="B144" s="47" t="s">
        <v>46</v>
      </c>
      <c r="C144" s="47"/>
      <c r="D144" s="22">
        <f>D81</f>
        <v>129.46</v>
      </c>
    </row>
    <row r="145" spans="1:4" x14ac:dyDescent="0.2">
      <c r="A145" s="6" t="s">
        <v>10</v>
      </c>
      <c r="B145" s="47" t="s">
        <v>53</v>
      </c>
      <c r="C145" s="47"/>
      <c r="D145" s="22">
        <f>D111</f>
        <v>70.53</v>
      </c>
    </row>
    <row r="146" spans="1:4" x14ac:dyDescent="0.2">
      <c r="A146" s="6" t="s">
        <v>12</v>
      </c>
      <c r="B146" s="47" t="s">
        <v>58</v>
      </c>
      <c r="C146" s="47"/>
      <c r="D146" s="22">
        <f>D121</f>
        <v>0</v>
      </c>
    </row>
    <row r="147" spans="1:4" x14ac:dyDescent="0.2">
      <c r="A147" s="46" t="s">
        <v>97</v>
      </c>
      <c r="B147" s="46"/>
      <c r="C147" s="46"/>
      <c r="D147" s="23">
        <f>SUM(D142:D146)</f>
        <v>3724.2779999999998</v>
      </c>
    </row>
    <row r="148" spans="1:4" x14ac:dyDescent="0.2">
      <c r="A148" s="6" t="s">
        <v>32</v>
      </c>
      <c r="B148" s="47" t="s">
        <v>73</v>
      </c>
      <c r="C148" s="47"/>
      <c r="D148" s="24">
        <f>D136</f>
        <v>813.34806896551731</v>
      </c>
    </row>
    <row r="149" spans="1:4" x14ac:dyDescent="0.2">
      <c r="A149" s="46" t="s">
        <v>74</v>
      </c>
      <c r="B149" s="46"/>
      <c r="C149" s="46"/>
      <c r="D149" s="23">
        <f>ROUND(SUM(D147:D148),2)</f>
        <v>4537.63</v>
      </c>
    </row>
  </sheetData>
  <mergeCells count="70">
    <mergeCell ref="B146:C146"/>
    <mergeCell ref="A147:C147"/>
    <mergeCell ref="A53:D53"/>
    <mergeCell ref="B55:C55"/>
    <mergeCell ref="B56:C56"/>
    <mergeCell ref="B57:C57"/>
    <mergeCell ref="A63:D63"/>
    <mergeCell ref="B65:C65"/>
    <mergeCell ref="B66:C66"/>
    <mergeCell ref="B67:C67"/>
    <mergeCell ref="B68:C68"/>
    <mergeCell ref="A69:C69"/>
    <mergeCell ref="A72:D72"/>
    <mergeCell ref="B74:C74"/>
    <mergeCell ref="A96:C96"/>
    <mergeCell ref="A99:D99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87:D87"/>
    <mergeCell ref="B89:C89"/>
    <mergeCell ref="B58:C58"/>
    <mergeCell ref="B59:C59"/>
    <mergeCell ref="A60:C60"/>
    <mergeCell ref="A84:D84"/>
    <mergeCell ref="A81:C81"/>
    <mergeCell ref="B101:C101"/>
    <mergeCell ref="A103:C103"/>
    <mergeCell ref="A106:D106"/>
    <mergeCell ref="B108:C108"/>
    <mergeCell ref="B109:C109"/>
    <mergeCell ref="B148:C148"/>
    <mergeCell ref="A149:C149"/>
    <mergeCell ref="A124:D124"/>
    <mergeCell ref="B102:C102"/>
    <mergeCell ref="B110:C110"/>
    <mergeCell ref="A111:C111"/>
    <mergeCell ref="A114:D114"/>
    <mergeCell ref="B116:C116"/>
    <mergeCell ref="A121:C121"/>
    <mergeCell ref="A136:B136"/>
    <mergeCell ref="A139:D139"/>
    <mergeCell ref="B141:C141"/>
    <mergeCell ref="B142:C142"/>
    <mergeCell ref="B143:C143"/>
    <mergeCell ref="B144:C144"/>
    <mergeCell ref="B145:C145"/>
    <mergeCell ref="A5:B5"/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zoomScale="115" zoomScaleNormal="115" workbookViewId="0">
      <selection activeCell="D149" sqref="D1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7" t="s">
        <v>0</v>
      </c>
      <c r="B1" s="57"/>
      <c r="C1" s="57"/>
      <c r="D1" s="57"/>
    </row>
    <row r="2" spans="1:4" ht="15.75" x14ac:dyDescent="0.25">
      <c r="A2" s="26"/>
      <c r="B2" s="26"/>
      <c r="C2" s="26"/>
      <c r="D2" s="26"/>
    </row>
    <row r="3" spans="1:4" x14ac:dyDescent="0.2">
      <c r="A3" s="48" t="s">
        <v>91</v>
      </c>
      <c r="B3" s="48"/>
      <c r="C3" s="48"/>
      <c r="D3" s="48"/>
    </row>
    <row r="4" spans="1:4" x14ac:dyDescent="0.2">
      <c r="A4" s="2"/>
      <c r="B4" s="2"/>
      <c r="C4" s="2"/>
      <c r="D4" s="2"/>
    </row>
    <row r="5" spans="1:4" ht="38.25" x14ac:dyDescent="0.2">
      <c r="A5" s="42" t="s">
        <v>92</v>
      </c>
      <c r="B5" s="42"/>
      <c r="C5" s="29" t="s">
        <v>93</v>
      </c>
      <c r="D5" s="27" t="s">
        <v>94</v>
      </c>
    </row>
    <row r="6" spans="1:4" x14ac:dyDescent="0.2">
      <c r="A6" s="43" t="s">
        <v>103</v>
      </c>
      <c r="B6" s="43"/>
      <c r="C6" s="33" t="s">
        <v>102</v>
      </c>
      <c r="D6" s="33">
        <v>1</v>
      </c>
    </row>
    <row r="8" spans="1:4" x14ac:dyDescent="0.2">
      <c r="A8" s="48" t="s">
        <v>75</v>
      </c>
      <c r="B8" s="48"/>
      <c r="C8" s="48"/>
      <c r="D8" s="48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76</v>
      </c>
      <c r="C10" s="44" t="s">
        <v>103</v>
      </c>
      <c r="D10" s="45"/>
    </row>
    <row r="11" spans="1:4" x14ac:dyDescent="0.2">
      <c r="A11" s="5">
        <v>2</v>
      </c>
      <c r="B11" s="5" t="s">
        <v>95</v>
      </c>
      <c r="C11" s="44"/>
      <c r="D11" s="45"/>
    </row>
    <row r="12" spans="1:4" x14ac:dyDescent="0.2">
      <c r="A12" s="5">
        <v>3</v>
      </c>
      <c r="B12" s="5" t="s">
        <v>77</v>
      </c>
      <c r="C12" s="44"/>
      <c r="D12" s="45"/>
    </row>
    <row r="13" spans="1:4" x14ac:dyDescent="0.2">
      <c r="A13" s="5">
        <v>4</v>
      </c>
      <c r="B13" s="5" t="s">
        <v>78</v>
      </c>
      <c r="C13" s="44"/>
      <c r="D13" s="45"/>
    </row>
    <row r="14" spans="1:4" x14ac:dyDescent="0.2">
      <c r="A14" s="5">
        <v>5</v>
      </c>
      <c r="B14" s="5" t="s">
        <v>79</v>
      </c>
      <c r="C14" s="44"/>
      <c r="D14" s="45"/>
    </row>
    <row r="16" spans="1:4" x14ac:dyDescent="0.2">
      <c r="A16" s="48" t="s">
        <v>1</v>
      </c>
      <c r="B16" s="48"/>
      <c r="C16" s="48"/>
      <c r="D16" s="48"/>
    </row>
    <row r="18" spans="1:4" x14ac:dyDescent="0.2">
      <c r="A18" s="30">
        <v>1</v>
      </c>
      <c r="B18" s="46" t="s">
        <v>2</v>
      </c>
      <c r="C18" s="46"/>
      <c r="D18" s="30" t="s">
        <v>3</v>
      </c>
    </row>
    <row r="19" spans="1:4" x14ac:dyDescent="0.2">
      <c r="A19" s="29" t="s">
        <v>4</v>
      </c>
      <c r="B19" s="47" t="s">
        <v>5</v>
      </c>
      <c r="C19" s="47"/>
      <c r="D19" s="13">
        <v>2364.5300000000002</v>
      </c>
    </row>
    <row r="20" spans="1:4" x14ac:dyDescent="0.2">
      <c r="A20" s="29" t="s">
        <v>6</v>
      </c>
      <c r="B20" s="47" t="s">
        <v>7</v>
      </c>
      <c r="C20" s="47"/>
      <c r="D20" s="13"/>
    </row>
    <row r="21" spans="1:4" x14ac:dyDescent="0.2">
      <c r="A21" s="29" t="s">
        <v>8</v>
      </c>
      <c r="B21" s="47" t="s">
        <v>9</v>
      </c>
      <c r="C21" s="47"/>
      <c r="D21" s="13"/>
    </row>
    <row r="22" spans="1:4" x14ac:dyDescent="0.2">
      <c r="A22" s="29" t="s">
        <v>10</v>
      </c>
      <c r="B22" s="47" t="s">
        <v>11</v>
      </c>
      <c r="C22" s="47"/>
      <c r="D22" s="13"/>
    </row>
    <row r="23" spans="1:4" x14ac:dyDescent="0.2">
      <c r="A23" s="29" t="s">
        <v>12</v>
      </c>
      <c r="B23" s="47" t="s">
        <v>13</v>
      </c>
      <c r="C23" s="47"/>
      <c r="D23" s="13"/>
    </row>
    <row r="24" spans="1:4" x14ac:dyDescent="0.2">
      <c r="A24" s="29"/>
      <c r="B24" s="47"/>
      <c r="C24" s="47"/>
      <c r="D24" s="13"/>
    </row>
    <row r="25" spans="1:4" x14ac:dyDescent="0.2">
      <c r="A25" s="29" t="s">
        <v>14</v>
      </c>
      <c r="B25" s="47" t="s">
        <v>15</v>
      </c>
      <c r="C25" s="47"/>
      <c r="D25" s="13"/>
    </row>
    <row r="26" spans="1:4" x14ac:dyDescent="0.2">
      <c r="A26" s="46" t="s">
        <v>16</v>
      </c>
      <c r="B26" s="46"/>
      <c r="C26" s="46"/>
      <c r="D26" s="20">
        <f>SUM(D19:D25)</f>
        <v>2364.5300000000002</v>
      </c>
    </row>
    <row r="29" spans="1:4" x14ac:dyDescent="0.2">
      <c r="A29" s="48" t="s">
        <v>17</v>
      </c>
      <c r="B29" s="48"/>
      <c r="C29" s="48"/>
      <c r="D29" s="48"/>
    </row>
    <row r="30" spans="1:4" x14ac:dyDescent="0.2">
      <c r="A30" s="3"/>
    </row>
    <row r="31" spans="1:4" x14ac:dyDescent="0.2">
      <c r="A31" s="55" t="s">
        <v>18</v>
      </c>
      <c r="B31" s="55"/>
      <c r="C31" s="55"/>
      <c r="D31" s="55"/>
    </row>
    <row r="33" spans="1:4" x14ac:dyDescent="0.2">
      <c r="A33" s="30" t="s">
        <v>19</v>
      </c>
      <c r="B33" s="46" t="s">
        <v>20</v>
      </c>
      <c r="C33" s="46"/>
      <c r="D33" s="30" t="s">
        <v>3</v>
      </c>
    </row>
    <row r="34" spans="1:4" x14ac:dyDescent="0.2">
      <c r="A34" s="29" t="s">
        <v>4</v>
      </c>
      <c r="B34" s="31" t="s">
        <v>21</v>
      </c>
      <c r="C34" s="12">
        <f>TRUNC(1/12,4)</f>
        <v>8.3299999999999999E-2</v>
      </c>
      <c r="D34" s="13">
        <f>TRUNC($D$26*C34,2)</f>
        <v>196.96</v>
      </c>
    </row>
    <row r="35" spans="1:4" x14ac:dyDescent="0.2">
      <c r="A35" s="29" t="s">
        <v>6</v>
      </c>
      <c r="B35" s="31" t="s">
        <v>22</v>
      </c>
      <c r="C35" s="12">
        <f>TRUNC(((1+1/3)/12),4)</f>
        <v>0.1111</v>
      </c>
      <c r="D35" s="13">
        <f>TRUNC($D$26*C35,2)</f>
        <v>262.69</v>
      </c>
    </row>
    <row r="36" spans="1:4" x14ac:dyDescent="0.2">
      <c r="A36" s="46" t="s">
        <v>16</v>
      </c>
      <c r="B36" s="46"/>
      <c r="C36" s="28">
        <f>SUM(C34:C35)</f>
        <v>0.19440000000000002</v>
      </c>
      <c r="D36" s="19">
        <f>SUM(D34:D35)</f>
        <v>459.65</v>
      </c>
    </row>
    <row r="39" spans="1:4" x14ac:dyDescent="0.2">
      <c r="A39" s="58" t="s">
        <v>23</v>
      </c>
      <c r="B39" s="58"/>
      <c r="C39" s="58"/>
      <c r="D39" s="58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29" t="s">
        <v>4</v>
      </c>
      <c r="B42" s="31" t="s">
        <v>27</v>
      </c>
      <c r="C42" s="9">
        <v>0.2</v>
      </c>
      <c r="D42" s="13">
        <f>TRUNC(($D$26+$D$36)*C42,2)</f>
        <v>564.83000000000004</v>
      </c>
    </row>
    <row r="43" spans="1:4" x14ac:dyDescent="0.2">
      <c r="A43" s="29" t="s">
        <v>6</v>
      </c>
      <c r="B43" s="31" t="s">
        <v>28</v>
      </c>
      <c r="C43" s="9">
        <v>2.5000000000000001E-2</v>
      </c>
      <c r="D43" s="13">
        <f t="shared" ref="D43:D49" si="0">TRUNC(($D$26+$D$36)*C43,2)</f>
        <v>70.599999999999994</v>
      </c>
    </row>
    <row r="44" spans="1:4" x14ac:dyDescent="0.2">
      <c r="A44" s="29" t="s">
        <v>8</v>
      </c>
      <c r="B44" s="31" t="s">
        <v>29</v>
      </c>
      <c r="C44" s="16">
        <v>0.03</v>
      </c>
      <c r="D44" s="13">
        <f t="shared" si="0"/>
        <v>84.72</v>
      </c>
    </row>
    <row r="45" spans="1:4" x14ac:dyDescent="0.2">
      <c r="A45" s="29" t="s">
        <v>10</v>
      </c>
      <c r="B45" s="31" t="s">
        <v>30</v>
      </c>
      <c r="C45" s="9">
        <v>1.4999999999999999E-2</v>
      </c>
      <c r="D45" s="13">
        <f t="shared" si="0"/>
        <v>42.36</v>
      </c>
    </row>
    <row r="46" spans="1:4" x14ac:dyDescent="0.2">
      <c r="A46" s="29" t="s">
        <v>12</v>
      </c>
      <c r="B46" s="31" t="s">
        <v>31</v>
      </c>
      <c r="C46" s="9">
        <v>0.01</v>
      </c>
      <c r="D46" s="13">
        <f t="shared" si="0"/>
        <v>28.24</v>
      </c>
    </row>
    <row r="47" spans="1:4" x14ac:dyDescent="0.2">
      <c r="A47" s="29" t="s">
        <v>32</v>
      </c>
      <c r="B47" s="31" t="s">
        <v>33</v>
      </c>
      <c r="C47" s="9">
        <v>6.0000000000000001E-3</v>
      </c>
      <c r="D47" s="13">
        <f t="shared" si="0"/>
        <v>16.940000000000001</v>
      </c>
    </row>
    <row r="48" spans="1:4" x14ac:dyDescent="0.2">
      <c r="A48" s="29" t="s">
        <v>14</v>
      </c>
      <c r="B48" s="31" t="s">
        <v>34</v>
      </c>
      <c r="C48" s="9">
        <v>2E-3</v>
      </c>
      <c r="D48" s="13">
        <f t="shared" si="0"/>
        <v>5.64</v>
      </c>
    </row>
    <row r="49" spans="1:4" x14ac:dyDescent="0.2">
      <c r="A49" s="29" t="s">
        <v>35</v>
      </c>
      <c r="B49" s="31" t="s">
        <v>36</v>
      </c>
      <c r="C49" s="9">
        <v>0.08</v>
      </c>
      <c r="D49" s="13">
        <f t="shared" si="0"/>
        <v>225.93</v>
      </c>
    </row>
    <row r="50" spans="1:4" x14ac:dyDescent="0.2">
      <c r="A50" s="46" t="s">
        <v>37</v>
      </c>
      <c r="B50" s="46"/>
      <c r="C50" s="15">
        <f>SUM(C42:C49)</f>
        <v>0.36800000000000005</v>
      </c>
      <c r="D50" s="19">
        <f>SUM(D42:D49)</f>
        <v>1039.2600000000002</v>
      </c>
    </row>
    <row r="53" spans="1:4" x14ac:dyDescent="0.2">
      <c r="A53" s="55" t="s">
        <v>38</v>
      </c>
      <c r="B53" s="55"/>
      <c r="C53" s="55"/>
      <c r="D53" s="55"/>
    </row>
    <row r="55" spans="1:4" x14ac:dyDescent="0.2">
      <c r="A55" s="30" t="s">
        <v>39</v>
      </c>
      <c r="B55" s="54" t="s">
        <v>40</v>
      </c>
      <c r="C55" s="54"/>
      <c r="D55" s="30" t="s">
        <v>3</v>
      </c>
    </row>
    <row r="56" spans="1:4" x14ac:dyDescent="0.2">
      <c r="A56" s="29" t="s">
        <v>4</v>
      </c>
      <c r="B56" s="47" t="s">
        <v>41</v>
      </c>
      <c r="C56" s="47"/>
      <c r="D56" s="13">
        <f>(22*2*4.9)-(D19*0.06)</f>
        <v>73.728200000000015</v>
      </c>
    </row>
    <row r="57" spans="1:4" x14ac:dyDescent="0.2">
      <c r="A57" s="29" t="s">
        <v>6</v>
      </c>
      <c r="B57" s="47" t="s">
        <v>42</v>
      </c>
      <c r="C57" s="47"/>
      <c r="D57" s="13">
        <v>0</v>
      </c>
    </row>
    <row r="58" spans="1:4" x14ac:dyDescent="0.2">
      <c r="A58" s="29" t="s">
        <v>8</v>
      </c>
      <c r="B58" s="47" t="s">
        <v>43</v>
      </c>
      <c r="C58" s="47"/>
      <c r="D58" s="13"/>
    </row>
    <row r="59" spans="1:4" x14ac:dyDescent="0.2">
      <c r="A59" s="29" t="s">
        <v>10</v>
      </c>
      <c r="B59" s="47" t="s">
        <v>15</v>
      </c>
      <c r="C59" s="47"/>
      <c r="D59" s="13"/>
    </row>
    <row r="60" spans="1:4" x14ac:dyDescent="0.2">
      <c r="A60" s="46" t="s">
        <v>16</v>
      </c>
      <c r="B60" s="46"/>
      <c r="C60" s="46"/>
      <c r="D60" s="19">
        <f>SUM(D56:D59)</f>
        <v>73.728200000000015</v>
      </c>
    </row>
    <row r="63" spans="1:4" x14ac:dyDescent="0.2">
      <c r="A63" s="55" t="s">
        <v>44</v>
      </c>
      <c r="B63" s="55"/>
      <c r="C63" s="55"/>
      <c r="D63" s="55"/>
    </row>
    <row r="65" spans="1:5" x14ac:dyDescent="0.2">
      <c r="A65" s="30">
        <v>2</v>
      </c>
      <c r="B65" s="54" t="s">
        <v>45</v>
      </c>
      <c r="C65" s="54"/>
      <c r="D65" s="30" t="s">
        <v>3</v>
      </c>
    </row>
    <row r="66" spans="1:5" x14ac:dyDescent="0.2">
      <c r="A66" s="29" t="s">
        <v>19</v>
      </c>
      <c r="B66" s="47" t="s">
        <v>20</v>
      </c>
      <c r="C66" s="47"/>
      <c r="D66" s="14">
        <f>D36</f>
        <v>459.65</v>
      </c>
    </row>
    <row r="67" spans="1:5" x14ac:dyDescent="0.2">
      <c r="A67" s="29" t="s">
        <v>24</v>
      </c>
      <c r="B67" s="47" t="s">
        <v>25</v>
      </c>
      <c r="C67" s="47"/>
      <c r="D67" s="14">
        <f>D50</f>
        <v>1039.2600000000002</v>
      </c>
    </row>
    <row r="68" spans="1:5" x14ac:dyDescent="0.2">
      <c r="A68" s="29" t="s">
        <v>39</v>
      </c>
      <c r="B68" s="47" t="s">
        <v>40</v>
      </c>
      <c r="C68" s="47"/>
      <c r="D68" s="14">
        <f>D60</f>
        <v>73.728200000000015</v>
      </c>
    </row>
    <row r="69" spans="1:5" x14ac:dyDescent="0.2">
      <c r="A69" s="46" t="s">
        <v>16</v>
      </c>
      <c r="B69" s="46"/>
      <c r="C69" s="46"/>
      <c r="D69" s="19">
        <f>SUM(D66:D68)</f>
        <v>1572.6382000000003</v>
      </c>
    </row>
    <row r="70" spans="1:5" x14ac:dyDescent="0.2">
      <c r="A70" s="4"/>
      <c r="E70" s="18"/>
    </row>
    <row r="72" spans="1:5" x14ac:dyDescent="0.2">
      <c r="A72" s="48" t="s">
        <v>46</v>
      </c>
      <c r="B72" s="48"/>
      <c r="C72" s="48"/>
      <c r="D72" s="48"/>
      <c r="E72" s="17"/>
    </row>
    <row r="73" spans="1:5" ht="12.75" customHeight="1" x14ac:dyDescent="0.2">
      <c r="E73" s="18"/>
    </row>
    <row r="74" spans="1:5" x14ac:dyDescent="0.2">
      <c r="A74" s="30">
        <v>3</v>
      </c>
      <c r="B74" s="54" t="s">
        <v>47</v>
      </c>
      <c r="C74" s="54"/>
      <c r="D74" s="30" t="s">
        <v>3</v>
      </c>
    </row>
    <row r="75" spans="1:5" x14ac:dyDescent="0.2">
      <c r="A75" s="29" t="s">
        <v>4</v>
      </c>
      <c r="B75" s="10" t="s">
        <v>48</v>
      </c>
      <c r="C75" s="9">
        <f>TRUNC(((1/12)*5%),4)</f>
        <v>4.1000000000000003E-3</v>
      </c>
      <c r="D75" s="13">
        <f>TRUNC($D$26*C75,2)</f>
        <v>9.69</v>
      </c>
    </row>
    <row r="76" spans="1:5" x14ac:dyDescent="0.2">
      <c r="A76" s="29" t="s">
        <v>6</v>
      </c>
      <c r="B76" s="10" t="s">
        <v>49</v>
      </c>
      <c r="C76" s="9">
        <v>0.08</v>
      </c>
      <c r="D76" s="13">
        <f>TRUNC(D75*C76,2)</f>
        <v>0.77</v>
      </c>
    </row>
    <row r="77" spans="1:5" x14ac:dyDescent="0.2">
      <c r="A77" s="29" t="s">
        <v>8</v>
      </c>
      <c r="B77" s="10" t="s">
        <v>50</v>
      </c>
      <c r="C77" s="9">
        <f>TRUNC(8%*5%*40%,4)</f>
        <v>1.6000000000000001E-3</v>
      </c>
      <c r="D77" s="13">
        <f>TRUNC($D$26*C77,2)</f>
        <v>3.78</v>
      </c>
    </row>
    <row r="78" spans="1:5" x14ac:dyDescent="0.2">
      <c r="A78" s="29" t="s">
        <v>10</v>
      </c>
      <c r="B78" s="10" t="s">
        <v>51</v>
      </c>
      <c r="C78" s="9">
        <f>TRUNC(((7/30)/12)*95%,4)</f>
        <v>1.84E-2</v>
      </c>
      <c r="D78" s="13">
        <f>TRUNC($D$26*C78,2)</f>
        <v>43.5</v>
      </c>
    </row>
    <row r="79" spans="1:5" ht="25.5" x14ac:dyDescent="0.2">
      <c r="A79" s="29" t="s">
        <v>12</v>
      </c>
      <c r="B79" s="10" t="s">
        <v>96</v>
      </c>
      <c r="C79" s="9">
        <f>C50</f>
        <v>0.36800000000000005</v>
      </c>
      <c r="D79" s="13">
        <f>TRUNC(D78*C79,2)</f>
        <v>16</v>
      </c>
    </row>
    <row r="80" spans="1:5" x14ac:dyDescent="0.2">
      <c r="A80" s="29" t="s">
        <v>32</v>
      </c>
      <c r="B80" s="10" t="s">
        <v>52</v>
      </c>
      <c r="C80" s="9">
        <f>TRUNC(8%*95%*40%,4)</f>
        <v>3.04E-2</v>
      </c>
      <c r="D80" s="13">
        <f t="shared" ref="D80" si="1">TRUNC($D$26*C80,2)</f>
        <v>71.88</v>
      </c>
    </row>
    <row r="81" spans="1:6" x14ac:dyDescent="0.2">
      <c r="A81" s="52" t="s">
        <v>16</v>
      </c>
      <c r="B81" s="53"/>
      <c r="C81" s="56"/>
      <c r="D81" s="19">
        <f>SUM(D75:D80)</f>
        <v>145.62</v>
      </c>
    </row>
    <row r="84" spans="1:6" x14ac:dyDescent="0.2">
      <c r="A84" s="48" t="s">
        <v>53</v>
      </c>
      <c r="B84" s="48"/>
      <c r="C84" s="48"/>
      <c r="D84" s="48"/>
    </row>
    <row r="87" spans="1:6" x14ac:dyDescent="0.2">
      <c r="A87" s="55" t="s">
        <v>80</v>
      </c>
      <c r="B87" s="55"/>
      <c r="C87" s="55"/>
      <c r="D87" s="55"/>
    </row>
    <row r="88" spans="1:6" x14ac:dyDescent="0.2">
      <c r="A88" s="3"/>
    </row>
    <row r="89" spans="1:6" x14ac:dyDescent="0.2">
      <c r="A89" s="30" t="s">
        <v>54</v>
      </c>
      <c r="B89" s="54" t="s">
        <v>81</v>
      </c>
      <c r="C89" s="54"/>
      <c r="D89" s="30" t="s">
        <v>3</v>
      </c>
    </row>
    <row r="90" spans="1:6" x14ac:dyDescent="0.2">
      <c r="A90" s="29" t="s">
        <v>4</v>
      </c>
      <c r="B90" s="31" t="s">
        <v>82</v>
      </c>
      <c r="C90" s="9">
        <f>TRUNC(((1+1/3)/12)/12,4)</f>
        <v>9.1999999999999998E-3</v>
      </c>
      <c r="D90" s="13">
        <f>TRUNC(($D$26+$D$69+$D$81)*C90,2)</f>
        <v>37.56</v>
      </c>
    </row>
    <row r="91" spans="1:6" x14ac:dyDescent="0.2">
      <c r="A91" s="29" t="s">
        <v>6</v>
      </c>
      <c r="B91" s="31" t="s">
        <v>83</v>
      </c>
      <c r="C91" s="9">
        <f>TRUNC(((2/30)/12),4)</f>
        <v>5.4999999999999997E-3</v>
      </c>
      <c r="D91" s="13">
        <f t="shared" ref="D91:D95" si="2">TRUNC(($D$26+$D$69+$D$81)*C91,2)</f>
        <v>22.45</v>
      </c>
    </row>
    <row r="92" spans="1:6" x14ac:dyDescent="0.2">
      <c r="A92" s="29" t="s">
        <v>8</v>
      </c>
      <c r="B92" s="31" t="s">
        <v>84</v>
      </c>
      <c r="C92" s="9">
        <f>TRUNC(((5/30)/12)*2%,4)</f>
        <v>2.0000000000000001E-4</v>
      </c>
      <c r="D92" s="13">
        <f t="shared" si="2"/>
        <v>0.81</v>
      </c>
    </row>
    <row r="93" spans="1:6" x14ac:dyDescent="0.2">
      <c r="A93" s="29" t="s">
        <v>10</v>
      </c>
      <c r="B93" s="31" t="s">
        <v>85</v>
      </c>
      <c r="C93" s="9">
        <f>TRUNC(((15/30)/12)*8%,4)</f>
        <v>3.3E-3</v>
      </c>
      <c r="D93" s="13">
        <f t="shared" si="2"/>
        <v>13.47</v>
      </c>
    </row>
    <row r="94" spans="1:6" x14ac:dyDescent="0.2">
      <c r="A94" s="29" t="s">
        <v>12</v>
      </c>
      <c r="B94" s="31" t="s">
        <v>86</v>
      </c>
      <c r="C94" s="9">
        <f>((1+1/3)/12)*3%*(4/12)</f>
        <v>1.1111111111111109E-3</v>
      </c>
      <c r="D94" s="13">
        <f t="shared" si="2"/>
        <v>4.53</v>
      </c>
    </row>
    <row r="95" spans="1:6" x14ac:dyDescent="0.2">
      <c r="A95" s="29" t="s">
        <v>32</v>
      </c>
      <c r="B95" s="31" t="s">
        <v>87</v>
      </c>
      <c r="C95" s="9"/>
      <c r="D95" s="13">
        <f t="shared" si="2"/>
        <v>0</v>
      </c>
    </row>
    <row r="96" spans="1:6" x14ac:dyDescent="0.2">
      <c r="A96" s="46" t="s">
        <v>37</v>
      </c>
      <c r="B96" s="46"/>
      <c r="C96" s="46"/>
      <c r="D96" s="19">
        <f>SUM(D90:D95)</f>
        <v>78.820000000000007</v>
      </c>
      <c r="E96" s="17"/>
      <c r="F96" s="17"/>
    </row>
    <row r="99" spans="1:4" x14ac:dyDescent="0.2">
      <c r="A99" s="55" t="s">
        <v>88</v>
      </c>
      <c r="B99" s="55"/>
      <c r="C99" s="55"/>
      <c r="D99" s="55"/>
    </row>
    <row r="100" spans="1:4" x14ac:dyDescent="0.2">
      <c r="A100" s="3"/>
    </row>
    <row r="101" spans="1:4" x14ac:dyDescent="0.2">
      <c r="A101" s="30" t="s">
        <v>55</v>
      </c>
      <c r="B101" s="54" t="s">
        <v>89</v>
      </c>
      <c r="C101" s="54"/>
      <c r="D101" s="30" t="s">
        <v>3</v>
      </c>
    </row>
    <row r="102" spans="1:4" x14ac:dyDescent="0.2">
      <c r="A102" s="29" t="s">
        <v>4</v>
      </c>
      <c r="B102" s="49" t="s">
        <v>90</v>
      </c>
      <c r="C102" s="50"/>
      <c r="D102" s="13">
        <f>((D26+D69+D81)/220)*22*0</f>
        <v>0</v>
      </c>
    </row>
    <row r="103" spans="1:4" x14ac:dyDescent="0.2">
      <c r="A103" s="46" t="s">
        <v>16</v>
      </c>
      <c r="B103" s="46"/>
      <c r="C103" s="46"/>
      <c r="D103" s="19">
        <f>SUM(D102)</f>
        <v>0</v>
      </c>
    </row>
    <row r="106" spans="1:4" x14ac:dyDescent="0.2">
      <c r="A106" s="55" t="s">
        <v>56</v>
      </c>
      <c r="B106" s="55"/>
      <c r="C106" s="55"/>
      <c r="D106" s="55"/>
    </row>
    <row r="107" spans="1:4" x14ac:dyDescent="0.2">
      <c r="A107" s="3"/>
    </row>
    <row r="108" spans="1:4" x14ac:dyDescent="0.2">
      <c r="A108" s="30">
        <v>4</v>
      </c>
      <c r="B108" s="46" t="s">
        <v>57</v>
      </c>
      <c r="C108" s="46"/>
      <c r="D108" s="30" t="s">
        <v>3</v>
      </c>
    </row>
    <row r="109" spans="1:4" x14ac:dyDescent="0.2">
      <c r="A109" s="29" t="s">
        <v>54</v>
      </c>
      <c r="B109" s="47" t="s">
        <v>81</v>
      </c>
      <c r="C109" s="47"/>
      <c r="D109" s="14">
        <f>D96</f>
        <v>78.820000000000007</v>
      </c>
    </row>
    <row r="110" spans="1:4" x14ac:dyDescent="0.2">
      <c r="A110" s="29" t="s">
        <v>55</v>
      </c>
      <c r="B110" s="47" t="s">
        <v>89</v>
      </c>
      <c r="C110" s="47"/>
      <c r="D110" s="14">
        <f>D103</f>
        <v>0</v>
      </c>
    </row>
    <row r="111" spans="1:4" x14ac:dyDescent="0.2">
      <c r="A111" s="46" t="s">
        <v>16</v>
      </c>
      <c r="B111" s="46"/>
      <c r="C111" s="46"/>
      <c r="D111" s="19">
        <f>SUM(D109:D110)</f>
        <v>78.820000000000007</v>
      </c>
    </row>
    <row r="114" spans="1:4" x14ac:dyDescent="0.2">
      <c r="A114" s="48" t="s">
        <v>58</v>
      </c>
      <c r="B114" s="48"/>
      <c r="C114" s="48"/>
      <c r="D114" s="48"/>
    </row>
    <row r="116" spans="1:4" x14ac:dyDescent="0.2">
      <c r="A116" s="30">
        <v>5</v>
      </c>
      <c r="B116" s="51" t="s">
        <v>59</v>
      </c>
      <c r="C116" s="51"/>
      <c r="D116" s="30" t="s">
        <v>3</v>
      </c>
    </row>
    <row r="117" spans="1:4" x14ac:dyDescent="0.2">
      <c r="A117" s="29" t="s">
        <v>4</v>
      </c>
      <c r="B117" s="31" t="s">
        <v>60</v>
      </c>
      <c r="C117" s="31"/>
      <c r="D117" s="13"/>
    </row>
    <row r="118" spans="1:4" x14ac:dyDescent="0.2">
      <c r="A118" s="29" t="s">
        <v>6</v>
      </c>
      <c r="B118" s="31" t="s">
        <v>61</v>
      </c>
      <c r="C118" s="31"/>
      <c r="D118" s="13"/>
    </row>
    <row r="119" spans="1:4" x14ac:dyDescent="0.2">
      <c r="A119" s="29" t="s">
        <v>8</v>
      </c>
      <c r="B119" s="31" t="s">
        <v>62</v>
      </c>
      <c r="C119" s="31"/>
      <c r="D119" s="13"/>
    </row>
    <row r="120" spans="1:4" x14ac:dyDescent="0.2">
      <c r="A120" s="29" t="s">
        <v>10</v>
      </c>
      <c r="B120" s="31" t="s">
        <v>15</v>
      </c>
      <c r="C120" s="31"/>
      <c r="D120" s="13"/>
    </row>
    <row r="121" spans="1:4" x14ac:dyDescent="0.2">
      <c r="A121" s="46" t="s">
        <v>37</v>
      </c>
      <c r="B121" s="46"/>
      <c r="C121" s="46"/>
      <c r="D121" s="20">
        <f>SUM(D117:D120)</f>
        <v>0</v>
      </c>
    </row>
    <row r="124" spans="1:4" x14ac:dyDescent="0.2">
      <c r="A124" s="48" t="s">
        <v>63</v>
      </c>
      <c r="B124" s="48"/>
      <c r="C124" s="48"/>
      <c r="D124" s="48"/>
    </row>
    <row r="126" spans="1:4" x14ac:dyDescent="0.2">
      <c r="A126" s="30">
        <v>6</v>
      </c>
      <c r="B126" s="32" t="s">
        <v>64</v>
      </c>
      <c r="C126" s="30" t="s">
        <v>26</v>
      </c>
      <c r="D126" s="30" t="s">
        <v>3</v>
      </c>
    </row>
    <row r="127" spans="1:4" x14ac:dyDescent="0.2">
      <c r="A127" s="29" t="s">
        <v>4</v>
      </c>
      <c r="B127" s="31" t="s">
        <v>65</v>
      </c>
      <c r="C127" s="9">
        <v>0.05</v>
      </c>
      <c r="D127" s="14">
        <f>D147*C127</f>
        <v>208.08041000000003</v>
      </c>
    </row>
    <row r="128" spans="1:4" x14ac:dyDescent="0.2">
      <c r="A128" s="29" t="s">
        <v>6</v>
      </c>
      <c r="B128" s="31" t="s">
        <v>66</v>
      </c>
      <c r="C128" s="9">
        <v>0.06</v>
      </c>
      <c r="D128" s="13">
        <f>(D147+D127)*C128</f>
        <v>262.18131660000006</v>
      </c>
    </row>
    <row r="129" spans="1:4" x14ac:dyDescent="0.2">
      <c r="A129" s="29" t="s">
        <v>8</v>
      </c>
      <c r="B129" s="31" t="s">
        <v>67</v>
      </c>
      <c r="C129" s="12">
        <f>SUM(C130:C135)</f>
        <v>8.6499999999999994E-2</v>
      </c>
      <c r="D129" s="13">
        <f>(D147+D127+D128)*C129/(1-C129)</f>
        <v>438.59523661839086</v>
      </c>
    </row>
    <row r="130" spans="1:4" x14ac:dyDescent="0.2">
      <c r="A130" s="29"/>
      <c r="B130" s="31" t="s">
        <v>68</v>
      </c>
      <c r="C130" s="9"/>
      <c r="D130" s="14">
        <f>$D$149*C130</f>
        <v>0</v>
      </c>
    </row>
    <row r="131" spans="1:4" x14ac:dyDescent="0.2">
      <c r="A131" s="29"/>
      <c r="B131" s="31" t="s">
        <v>98</v>
      </c>
      <c r="C131" s="9">
        <v>6.4999999999999997E-3</v>
      </c>
      <c r="D131" s="14">
        <f t="shared" ref="D131:D135" si="3">$D$149*C131</f>
        <v>32.958055000000002</v>
      </c>
    </row>
    <row r="132" spans="1:4" x14ac:dyDescent="0.2">
      <c r="A132" s="29"/>
      <c r="B132" s="31" t="s">
        <v>99</v>
      </c>
      <c r="C132" s="9">
        <v>0.03</v>
      </c>
      <c r="D132" s="14">
        <f t="shared" si="3"/>
        <v>152.11410000000001</v>
      </c>
    </row>
    <row r="133" spans="1:4" x14ac:dyDescent="0.2">
      <c r="A133" s="29"/>
      <c r="B133" s="31" t="s">
        <v>69</v>
      </c>
      <c r="C133" s="29"/>
      <c r="D133" s="14">
        <f t="shared" si="3"/>
        <v>0</v>
      </c>
    </row>
    <row r="134" spans="1:4" x14ac:dyDescent="0.2">
      <c r="A134" s="29"/>
      <c r="B134" s="31" t="s">
        <v>70</v>
      </c>
      <c r="C134" s="9"/>
      <c r="D134" s="14">
        <f t="shared" si="3"/>
        <v>0</v>
      </c>
    </row>
    <row r="135" spans="1:4" x14ac:dyDescent="0.2">
      <c r="A135" s="29"/>
      <c r="B135" s="31" t="s">
        <v>100</v>
      </c>
      <c r="C135" s="9">
        <v>0.05</v>
      </c>
      <c r="D135" s="14">
        <f t="shared" si="3"/>
        <v>253.52350000000001</v>
      </c>
    </row>
    <row r="136" spans="1:4" ht="13.5" x14ac:dyDescent="0.2">
      <c r="A136" s="52" t="s">
        <v>37</v>
      </c>
      <c r="B136" s="53"/>
      <c r="C136" s="21">
        <f>(1+C128)*(1+C127)/(1-C129)-1</f>
        <v>0.21839080459770144</v>
      </c>
      <c r="D136" s="19">
        <f>SUM(D127:D129)</f>
        <v>908.856963218391</v>
      </c>
    </row>
    <row r="139" spans="1:4" x14ac:dyDescent="0.2">
      <c r="A139" s="48" t="s">
        <v>71</v>
      </c>
      <c r="B139" s="48"/>
      <c r="C139" s="48"/>
      <c r="D139" s="48"/>
    </row>
    <row r="141" spans="1:4" x14ac:dyDescent="0.2">
      <c r="A141" s="30"/>
      <c r="B141" s="46" t="s">
        <v>72</v>
      </c>
      <c r="C141" s="46"/>
      <c r="D141" s="30" t="s">
        <v>3</v>
      </c>
    </row>
    <row r="142" spans="1:4" x14ac:dyDescent="0.2">
      <c r="A142" s="30" t="s">
        <v>4</v>
      </c>
      <c r="B142" s="47" t="s">
        <v>1</v>
      </c>
      <c r="C142" s="47"/>
      <c r="D142" s="22">
        <f>D26</f>
        <v>2364.5300000000002</v>
      </c>
    </row>
    <row r="143" spans="1:4" x14ac:dyDescent="0.2">
      <c r="A143" s="30" t="s">
        <v>6</v>
      </c>
      <c r="B143" s="47" t="s">
        <v>17</v>
      </c>
      <c r="C143" s="47"/>
      <c r="D143" s="22">
        <f>D69</f>
        <v>1572.6382000000003</v>
      </c>
    </row>
    <row r="144" spans="1:4" x14ac:dyDescent="0.2">
      <c r="A144" s="30" t="s">
        <v>8</v>
      </c>
      <c r="B144" s="47" t="s">
        <v>46</v>
      </c>
      <c r="C144" s="47"/>
      <c r="D144" s="22">
        <f>D81</f>
        <v>145.62</v>
      </c>
    </row>
    <row r="145" spans="1:4" x14ac:dyDescent="0.2">
      <c r="A145" s="30" t="s">
        <v>10</v>
      </c>
      <c r="B145" s="47" t="s">
        <v>53</v>
      </c>
      <c r="C145" s="47"/>
      <c r="D145" s="22">
        <f>D111</f>
        <v>78.820000000000007</v>
      </c>
    </row>
    <row r="146" spans="1:4" x14ac:dyDescent="0.2">
      <c r="A146" s="30" t="s">
        <v>12</v>
      </c>
      <c r="B146" s="47" t="s">
        <v>58</v>
      </c>
      <c r="C146" s="47"/>
      <c r="D146" s="22">
        <f>D121</f>
        <v>0</v>
      </c>
    </row>
    <row r="147" spans="1:4" x14ac:dyDescent="0.2">
      <c r="A147" s="46" t="s">
        <v>97</v>
      </c>
      <c r="B147" s="46"/>
      <c r="C147" s="46"/>
      <c r="D147" s="23">
        <f>SUM(D142:D146)</f>
        <v>4161.6082000000006</v>
      </c>
    </row>
    <row r="148" spans="1:4" x14ac:dyDescent="0.2">
      <c r="A148" s="30" t="s">
        <v>32</v>
      </c>
      <c r="B148" s="47" t="s">
        <v>73</v>
      </c>
      <c r="C148" s="47"/>
      <c r="D148" s="24">
        <f>D136</f>
        <v>908.856963218391</v>
      </c>
    </row>
    <row r="149" spans="1:4" x14ac:dyDescent="0.2">
      <c r="A149" s="46" t="s">
        <v>74</v>
      </c>
      <c r="B149" s="46"/>
      <c r="C149" s="46"/>
      <c r="D149" s="23">
        <f>ROUND(SUM(D147:D148),2)</f>
        <v>5070.47</v>
      </c>
    </row>
  </sheetData>
  <mergeCells count="70"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zoomScale="115" zoomScaleNormal="115" workbookViewId="0">
      <selection activeCell="D149" sqref="D1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7" t="s">
        <v>0</v>
      </c>
      <c r="B1" s="57"/>
      <c r="C1" s="57"/>
      <c r="D1" s="57"/>
    </row>
    <row r="2" spans="1:4" ht="15.75" x14ac:dyDescent="0.25">
      <c r="A2" s="26"/>
      <c r="B2" s="26"/>
      <c r="C2" s="26"/>
      <c r="D2" s="26"/>
    </row>
    <row r="3" spans="1:4" x14ac:dyDescent="0.2">
      <c r="A3" s="48" t="s">
        <v>91</v>
      </c>
      <c r="B3" s="48"/>
      <c r="C3" s="48"/>
      <c r="D3" s="48"/>
    </row>
    <row r="4" spans="1:4" x14ac:dyDescent="0.2">
      <c r="A4" s="2"/>
      <c r="B4" s="2"/>
      <c r="C4" s="2"/>
      <c r="D4" s="2"/>
    </row>
    <row r="5" spans="1:4" ht="38.25" x14ac:dyDescent="0.2">
      <c r="A5" s="42" t="s">
        <v>92</v>
      </c>
      <c r="B5" s="42"/>
      <c r="C5" s="29" t="s">
        <v>93</v>
      </c>
      <c r="D5" s="27" t="s">
        <v>94</v>
      </c>
    </row>
    <row r="6" spans="1:4" x14ac:dyDescent="0.2">
      <c r="A6" s="43" t="s">
        <v>104</v>
      </c>
      <c r="B6" s="43"/>
      <c r="C6" s="33" t="s">
        <v>102</v>
      </c>
      <c r="D6" s="33">
        <v>1</v>
      </c>
    </row>
    <row r="8" spans="1:4" x14ac:dyDescent="0.2">
      <c r="A8" s="48" t="s">
        <v>75</v>
      </c>
      <c r="B8" s="48"/>
      <c r="C8" s="48"/>
      <c r="D8" s="48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76</v>
      </c>
      <c r="C10" s="44" t="s">
        <v>101</v>
      </c>
      <c r="D10" s="45"/>
    </row>
    <row r="11" spans="1:4" x14ac:dyDescent="0.2">
      <c r="A11" s="5">
        <v>2</v>
      </c>
      <c r="B11" s="5" t="s">
        <v>95</v>
      </c>
      <c r="C11" s="44"/>
      <c r="D11" s="45"/>
    </row>
    <row r="12" spans="1:4" x14ac:dyDescent="0.2">
      <c r="A12" s="5">
        <v>3</v>
      </c>
      <c r="B12" s="5" t="s">
        <v>77</v>
      </c>
      <c r="C12" s="44"/>
      <c r="D12" s="45"/>
    </row>
    <row r="13" spans="1:4" x14ac:dyDescent="0.2">
      <c r="A13" s="5">
        <v>4</v>
      </c>
      <c r="B13" s="5" t="s">
        <v>78</v>
      </c>
      <c r="C13" s="44"/>
      <c r="D13" s="45"/>
    </row>
    <row r="14" spans="1:4" x14ac:dyDescent="0.2">
      <c r="A14" s="5">
        <v>5</v>
      </c>
      <c r="B14" s="5" t="s">
        <v>79</v>
      </c>
      <c r="C14" s="44"/>
      <c r="D14" s="45"/>
    </row>
    <row r="16" spans="1:4" x14ac:dyDescent="0.2">
      <c r="A16" s="48" t="s">
        <v>1</v>
      </c>
      <c r="B16" s="48"/>
      <c r="C16" s="48"/>
      <c r="D16" s="48"/>
    </row>
    <row r="18" spans="1:4" x14ac:dyDescent="0.2">
      <c r="A18" s="30">
        <v>1</v>
      </c>
      <c r="B18" s="46" t="s">
        <v>2</v>
      </c>
      <c r="C18" s="46"/>
      <c r="D18" s="30" t="s">
        <v>3</v>
      </c>
    </row>
    <row r="19" spans="1:4" x14ac:dyDescent="0.2">
      <c r="A19" s="29" t="s">
        <v>4</v>
      </c>
      <c r="B19" s="47" t="s">
        <v>5</v>
      </c>
      <c r="C19" s="47"/>
      <c r="D19" s="13">
        <v>2102.1999999999998</v>
      </c>
    </row>
    <row r="20" spans="1:4" x14ac:dyDescent="0.2">
      <c r="A20" s="29" t="s">
        <v>6</v>
      </c>
      <c r="B20" s="47" t="s">
        <v>7</v>
      </c>
      <c r="C20" s="47"/>
      <c r="D20" s="13"/>
    </row>
    <row r="21" spans="1:4" x14ac:dyDescent="0.2">
      <c r="A21" s="29" t="s">
        <v>8</v>
      </c>
      <c r="B21" s="47" t="s">
        <v>9</v>
      </c>
      <c r="C21" s="47"/>
      <c r="D21" s="13"/>
    </row>
    <row r="22" spans="1:4" x14ac:dyDescent="0.2">
      <c r="A22" s="29" t="s">
        <v>10</v>
      </c>
      <c r="B22" s="47" t="s">
        <v>11</v>
      </c>
      <c r="C22" s="47"/>
      <c r="D22" s="13"/>
    </row>
    <row r="23" spans="1:4" x14ac:dyDescent="0.2">
      <c r="A23" s="29" t="s">
        <v>12</v>
      </c>
      <c r="B23" s="47" t="s">
        <v>13</v>
      </c>
      <c r="C23" s="47"/>
      <c r="D23" s="13"/>
    </row>
    <row r="24" spans="1:4" x14ac:dyDescent="0.2">
      <c r="A24" s="29"/>
      <c r="B24" s="47"/>
      <c r="C24" s="47"/>
      <c r="D24" s="13"/>
    </row>
    <row r="25" spans="1:4" x14ac:dyDescent="0.2">
      <c r="A25" s="29" t="s">
        <v>14</v>
      </c>
      <c r="B25" s="47" t="s">
        <v>15</v>
      </c>
      <c r="C25" s="47"/>
      <c r="D25" s="13"/>
    </row>
    <row r="26" spans="1:4" x14ac:dyDescent="0.2">
      <c r="A26" s="46" t="s">
        <v>16</v>
      </c>
      <c r="B26" s="46"/>
      <c r="C26" s="46"/>
      <c r="D26" s="20">
        <f>SUM(D19:D25)</f>
        <v>2102.1999999999998</v>
      </c>
    </row>
    <row r="29" spans="1:4" x14ac:dyDescent="0.2">
      <c r="A29" s="48" t="s">
        <v>17</v>
      </c>
      <c r="B29" s="48"/>
      <c r="C29" s="48"/>
      <c r="D29" s="48"/>
    </row>
    <row r="30" spans="1:4" x14ac:dyDescent="0.2">
      <c r="A30" s="3"/>
    </row>
    <row r="31" spans="1:4" x14ac:dyDescent="0.2">
      <c r="A31" s="55" t="s">
        <v>18</v>
      </c>
      <c r="B31" s="55"/>
      <c r="C31" s="55"/>
      <c r="D31" s="55"/>
    </row>
    <row r="33" spans="1:4" x14ac:dyDescent="0.2">
      <c r="A33" s="30" t="s">
        <v>19</v>
      </c>
      <c r="B33" s="46" t="s">
        <v>20</v>
      </c>
      <c r="C33" s="46"/>
      <c r="D33" s="30" t="s">
        <v>3</v>
      </c>
    </row>
    <row r="34" spans="1:4" x14ac:dyDescent="0.2">
      <c r="A34" s="29" t="s">
        <v>4</v>
      </c>
      <c r="B34" s="31" t="s">
        <v>21</v>
      </c>
      <c r="C34" s="12">
        <f>TRUNC(1/12,4)</f>
        <v>8.3299999999999999E-2</v>
      </c>
      <c r="D34" s="13">
        <f>TRUNC($D$26*C34,2)</f>
        <v>175.11</v>
      </c>
    </row>
    <row r="35" spans="1:4" x14ac:dyDescent="0.2">
      <c r="A35" s="29" t="s">
        <v>6</v>
      </c>
      <c r="B35" s="31" t="s">
        <v>22</v>
      </c>
      <c r="C35" s="12">
        <f>TRUNC(((1+1/3)/12),4)</f>
        <v>0.1111</v>
      </c>
      <c r="D35" s="13">
        <f>TRUNC($D$26*C35,2)</f>
        <v>233.55</v>
      </c>
    </row>
    <row r="36" spans="1:4" x14ac:dyDescent="0.2">
      <c r="A36" s="46" t="s">
        <v>16</v>
      </c>
      <c r="B36" s="46"/>
      <c r="C36" s="28">
        <f>SUM(C34:C35)</f>
        <v>0.19440000000000002</v>
      </c>
      <c r="D36" s="19">
        <f>SUM(D34:D35)</f>
        <v>408.66</v>
      </c>
    </row>
    <row r="39" spans="1:4" x14ac:dyDescent="0.2">
      <c r="A39" s="58" t="s">
        <v>23</v>
      </c>
      <c r="B39" s="58"/>
      <c r="C39" s="58"/>
      <c r="D39" s="58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29" t="s">
        <v>4</v>
      </c>
      <c r="B42" s="31" t="s">
        <v>27</v>
      </c>
      <c r="C42" s="9">
        <v>0.2</v>
      </c>
      <c r="D42" s="13">
        <f>TRUNC(($D$26+$D$36)*C42,2)</f>
        <v>502.17</v>
      </c>
    </row>
    <row r="43" spans="1:4" x14ac:dyDescent="0.2">
      <c r="A43" s="29" t="s">
        <v>6</v>
      </c>
      <c r="B43" s="31" t="s">
        <v>28</v>
      </c>
      <c r="C43" s="9">
        <v>2.5000000000000001E-2</v>
      </c>
      <c r="D43" s="13">
        <f t="shared" ref="D43:D49" si="0">TRUNC(($D$26+$D$36)*C43,2)</f>
        <v>62.77</v>
      </c>
    </row>
    <row r="44" spans="1:4" x14ac:dyDescent="0.2">
      <c r="A44" s="29" t="s">
        <v>8</v>
      </c>
      <c r="B44" s="31" t="s">
        <v>29</v>
      </c>
      <c r="C44" s="16">
        <v>0.03</v>
      </c>
      <c r="D44" s="13">
        <f t="shared" si="0"/>
        <v>75.319999999999993</v>
      </c>
    </row>
    <row r="45" spans="1:4" x14ac:dyDescent="0.2">
      <c r="A45" s="29" t="s">
        <v>10</v>
      </c>
      <c r="B45" s="31" t="s">
        <v>30</v>
      </c>
      <c r="C45" s="9">
        <v>1.4999999999999999E-2</v>
      </c>
      <c r="D45" s="13">
        <f t="shared" si="0"/>
        <v>37.659999999999997</v>
      </c>
    </row>
    <row r="46" spans="1:4" x14ac:dyDescent="0.2">
      <c r="A46" s="29" t="s">
        <v>12</v>
      </c>
      <c r="B46" s="31" t="s">
        <v>31</v>
      </c>
      <c r="C46" s="9">
        <v>0.01</v>
      </c>
      <c r="D46" s="13">
        <f t="shared" si="0"/>
        <v>25.1</v>
      </c>
    </row>
    <row r="47" spans="1:4" x14ac:dyDescent="0.2">
      <c r="A47" s="29" t="s">
        <v>32</v>
      </c>
      <c r="B47" s="31" t="s">
        <v>33</v>
      </c>
      <c r="C47" s="9">
        <v>6.0000000000000001E-3</v>
      </c>
      <c r="D47" s="13">
        <f t="shared" si="0"/>
        <v>15.06</v>
      </c>
    </row>
    <row r="48" spans="1:4" x14ac:dyDescent="0.2">
      <c r="A48" s="29" t="s">
        <v>14</v>
      </c>
      <c r="B48" s="31" t="s">
        <v>34</v>
      </c>
      <c r="C48" s="9">
        <v>2E-3</v>
      </c>
      <c r="D48" s="13">
        <f t="shared" si="0"/>
        <v>5.0199999999999996</v>
      </c>
    </row>
    <row r="49" spans="1:4" x14ac:dyDescent="0.2">
      <c r="A49" s="29" t="s">
        <v>35</v>
      </c>
      <c r="B49" s="31" t="s">
        <v>36</v>
      </c>
      <c r="C49" s="9">
        <v>0.08</v>
      </c>
      <c r="D49" s="13">
        <f t="shared" si="0"/>
        <v>200.86</v>
      </c>
    </row>
    <row r="50" spans="1:4" x14ac:dyDescent="0.2">
      <c r="A50" s="46" t="s">
        <v>37</v>
      </c>
      <c r="B50" s="46"/>
      <c r="C50" s="15">
        <f>SUM(C42:C49)</f>
        <v>0.36800000000000005</v>
      </c>
      <c r="D50" s="19">
        <f>SUM(D42:D49)</f>
        <v>923.95999999999992</v>
      </c>
    </row>
    <row r="53" spans="1:4" x14ac:dyDescent="0.2">
      <c r="A53" s="55" t="s">
        <v>38</v>
      </c>
      <c r="B53" s="55"/>
      <c r="C53" s="55"/>
      <c r="D53" s="55"/>
    </row>
    <row r="55" spans="1:4" x14ac:dyDescent="0.2">
      <c r="A55" s="30" t="s">
        <v>39</v>
      </c>
      <c r="B55" s="54" t="s">
        <v>40</v>
      </c>
      <c r="C55" s="54"/>
      <c r="D55" s="30" t="s">
        <v>3</v>
      </c>
    </row>
    <row r="56" spans="1:4" x14ac:dyDescent="0.2">
      <c r="A56" s="29" t="s">
        <v>4</v>
      </c>
      <c r="B56" s="47" t="s">
        <v>41</v>
      </c>
      <c r="C56" s="47"/>
      <c r="D56" s="13">
        <f>(22*2*4.9)-(D19*0.06)</f>
        <v>89.468000000000032</v>
      </c>
    </row>
    <row r="57" spans="1:4" x14ac:dyDescent="0.2">
      <c r="A57" s="29" t="s">
        <v>6</v>
      </c>
      <c r="B57" s="47" t="s">
        <v>42</v>
      </c>
      <c r="C57" s="47"/>
      <c r="D57" s="13">
        <v>0</v>
      </c>
    </row>
    <row r="58" spans="1:4" x14ac:dyDescent="0.2">
      <c r="A58" s="29" t="s">
        <v>8</v>
      </c>
      <c r="B58" s="47" t="s">
        <v>43</v>
      </c>
      <c r="C58" s="47"/>
      <c r="D58" s="13"/>
    </row>
    <row r="59" spans="1:4" x14ac:dyDescent="0.2">
      <c r="A59" s="29" t="s">
        <v>10</v>
      </c>
      <c r="B59" s="47" t="s">
        <v>15</v>
      </c>
      <c r="C59" s="47"/>
      <c r="D59" s="13"/>
    </row>
    <row r="60" spans="1:4" x14ac:dyDescent="0.2">
      <c r="A60" s="46" t="s">
        <v>16</v>
      </c>
      <c r="B60" s="46"/>
      <c r="C60" s="46"/>
      <c r="D60" s="19">
        <f>SUM(D56:D59)</f>
        <v>89.468000000000032</v>
      </c>
    </row>
    <row r="63" spans="1:4" x14ac:dyDescent="0.2">
      <c r="A63" s="55" t="s">
        <v>44</v>
      </c>
      <c r="B63" s="55"/>
      <c r="C63" s="55"/>
      <c r="D63" s="55"/>
    </row>
    <row r="65" spans="1:5" x14ac:dyDescent="0.2">
      <c r="A65" s="30">
        <v>2</v>
      </c>
      <c r="B65" s="54" t="s">
        <v>45</v>
      </c>
      <c r="C65" s="54"/>
      <c r="D65" s="30" t="s">
        <v>3</v>
      </c>
    </row>
    <row r="66" spans="1:5" x14ac:dyDescent="0.2">
      <c r="A66" s="29" t="s">
        <v>19</v>
      </c>
      <c r="B66" s="47" t="s">
        <v>20</v>
      </c>
      <c r="C66" s="47"/>
      <c r="D66" s="14">
        <f>D36</f>
        <v>408.66</v>
      </c>
    </row>
    <row r="67" spans="1:5" x14ac:dyDescent="0.2">
      <c r="A67" s="29" t="s">
        <v>24</v>
      </c>
      <c r="B67" s="47" t="s">
        <v>25</v>
      </c>
      <c r="C67" s="47"/>
      <c r="D67" s="14">
        <f>D50</f>
        <v>923.95999999999992</v>
      </c>
    </row>
    <row r="68" spans="1:5" x14ac:dyDescent="0.2">
      <c r="A68" s="29" t="s">
        <v>39</v>
      </c>
      <c r="B68" s="47" t="s">
        <v>40</v>
      </c>
      <c r="C68" s="47"/>
      <c r="D68" s="14">
        <f>D60</f>
        <v>89.468000000000032</v>
      </c>
    </row>
    <row r="69" spans="1:5" x14ac:dyDescent="0.2">
      <c r="A69" s="46" t="s">
        <v>16</v>
      </c>
      <c r="B69" s="46"/>
      <c r="C69" s="46"/>
      <c r="D69" s="19">
        <f>SUM(D66:D68)</f>
        <v>1422.088</v>
      </c>
    </row>
    <row r="70" spans="1:5" x14ac:dyDescent="0.2">
      <c r="A70" s="4"/>
      <c r="E70" s="18"/>
    </row>
    <row r="72" spans="1:5" x14ac:dyDescent="0.2">
      <c r="A72" s="48" t="s">
        <v>46</v>
      </c>
      <c r="B72" s="48"/>
      <c r="C72" s="48"/>
      <c r="D72" s="48"/>
      <c r="E72" s="17"/>
    </row>
    <row r="73" spans="1:5" ht="12.75" customHeight="1" x14ac:dyDescent="0.2">
      <c r="E73" s="18"/>
    </row>
    <row r="74" spans="1:5" x14ac:dyDescent="0.2">
      <c r="A74" s="30">
        <v>3</v>
      </c>
      <c r="B74" s="54" t="s">
        <v>47</v>
      </c>
      <c r="C74" s="54"/>
      <c r="D74" s="30" t="s">
        <v>3</v>
      </c>
    </row>
    <row r="75" spans="1:5" x14ac:dyDescent="0.2">
      <c r="A75" s="29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29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29" t="s">
        <v>8</v>
      </c>
      <c r="B77" s="10" t="s">
        <v>50</v>
      </c>
      <c r="C77" s="9">
        <f>TRUNC(8%*0%*40%,4)</f>
        <v>0</v>
      </c>
      <c r="D77" s="13">
        <f>TRUNC($D$26*C77,2)</f>
        <v>0</v>
      </c>
    </row>
    <row r="78" spans="1:5" x14ac:dyDescent="0.2">
      <c r="A78" s="29" t="s">
        <v>10</v>
      </c>
      <c r="B78" s="10" t="s">
        <v>51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29" t="s">
        <v>12</v>
      </c>
      <c r="B79" s="10" t="s">
        <v>96</v>
      </c>
      <c r="C79" s="9">
        <f>C50</f>
        <v>0.36800000000000005</v>
      </c>
      <c r="D79" s="13">
        <f>TRUNC(D78*C79,2)</f>
        <v>0</v>
      </c>
    </row>
    <row r="80" spans="1:5" x14ac:dyDescent="0.2">
      <c r="A80" s="29" t="s">
        <v>32</v>
      </c>
      <c r="B80" s="10" t="s">
        <v>52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52" t="s">
        <v>16</v>
      </c>
      <c r="B81" s="53"/>
      <c r="C81" s="56"/>
      <c r="D81" s="19">
        <f>SUM(D75:D80)</f>
        <v>0</v>
      </c>
    </row>
    <row r="84" spans="1:6" x14ac:dyDescent="0.2">
      <c r="A84" s="48" t="s">
        <v>53</v>
      </c>
      <c r="B84" s="48"/>
      <c r="C84" s="48"/>
      <c r="D84" s="48"/>
    </row>
    <row r="87" spans="1:6" x14ac:dyDescent="0.2">
      <c r="A87" s="55" t="s">
        <v>80</v>
      </c>
      <c r="B87" s="55"/>
      <c r="C87" s="55"/>
      <c r="D87" s="55"/>
    </row>
    <row r="88" spans="1:6" x14ac:dyDescent="0.2">
      <c r="A88" s="3"/>
    </row>
    <row r="89" spans="1:6" x14ac:dyDescent="0.2">
      <c r="A89" s="30" t="s">
        <v>54</v>
      </c>
      <c r="B89" s="54" t="s">
        <v>81</v>
      </c>
      <c r="C89" s="54"/>
      <c r="D89" s="30" t="s">
        <v>3</v>
      </c>
    </row>
    <row r="90" spans="1:6" x14ac:dyDescent="0.2">
      <c r="A90" s="29" t="s">
        <v>4</v>
      </c>
      <c r="B90" s="31" t="s">
        <v>82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29" t="s">
        <v>6</v>
      </c>
      <c r="B91" s="31" t="s">
        <v>83</v>
      </c>
      <c r="C91" s="9">
        <f>TRUNC(((2/30)/12),4)</f>
        <v>5.4999999999999997E-3</v>
      </c>
      <c r="D91" s="13">
        <f t="shared" ref="D91:D95" si="2">TRUNC(($D$26+$D$69+$D$81)*C91,2)</f>
        <v>19.38</v>
      </c>
    </row>
    <row r="92" spans="1:6" x14ac:dyDescent="0.2">
      <c r="A92" s="29" t="s">
        <v>8</v>
      </c>
      <c r="B92" s="31" t="s">
        <v>84</v>
      </c>
      <c r="C92" s="9">
        <f>TRUNC(((5/30)/12)*2%,4)*0</f>
        <v>0</v>
      </c>
      <c r="D92" s="13">
        <f t="shared" si="2"/>
        <v>0</v>
      </c>
    </row>
    <row r="93" spans="1:6" x14ac:dyDescent="0.2">
      <c r="A93" s="29" t="s">
        <v>10</v>
      </c>
      <c r="B93" s="31" t="s">
        <v>85</v>
      </c>
      <c r="C93" s="9">
        <f>TRUNC(((15/30)/12)*8%,4)*0</f>
        <v>0</v>
      </c>
      <c r="D93" s="13">
        <f t="shared" si="2"/>
        <v>0</v>
      </c>
    </row>
    <row r="94" spans="1:6" x14ac:dyDescent="0.2">
      <c r="A94" s="29" t="s">
        <v>12</v>
      </c>
      <c r="B94" s="31" t="s">
        <v>86</v>
      </c>
      <c r="C94" s="9">
        <f>((1+1/3)/12)*3%*(4/12)*0</f>
        <v>0</v>
      </c>
      <c r="D94" s="13">
        <f t="shared" si="2"/>
        <v>0</v>
      </c>
    </row>
    <row r="95" spans="1:6" x14ac:dyDescent="0.2">
      <c r="A95" s="29" t="s">
        <v>32</v>
      </c>
      <c r="B95" s="31" t="s">
        <v>87</v>
      </c>
      <c r="C95" s="9"/>
      <c r="D95" s="13">
        <f t="shared" si="2"/>
        <v>0</v>
      </c>
    </row>
    <row r="96" spans="1:6" x14ac:dyDescent="0.2">
      <c r="A96" s="46" t="s">
        <v>37</v>
      </c>
      <c r="B96" s="46"/>
      <c r="C96" s="46"/>
      <c r="D96" s="19">
        <f>SUM(D90:D95)</f>
        <v>19.38</v>
      </c>
      <c r="E96" s="17"/>
      <c r="F96" s="17"/>
    </row>
    <row r="99" spans="1:4" x14ac:dyDescent="0.2">
      <c r="A99" s="55" t="s">
        <v>88</v>
      </c>
      <c r="B99" s="55"/>
      <c r="C99" s="55"/>
      <c r="D99" s="55"/>
    </row>
    <row r="100" spans="1:4" x14ac:dyDescent="0.2">
      <c r="A100" s="3"/>
    </row>
    <row r="101" spans="1:4" x14ac:dyDescent="0.2">
      <c r="A101" s="30" t="s">
        <v>55</v>
      </c>
      <c r="B101" s="54" t="s">
        <v>89</v>
      </c>
      <c r="C101" s="54"/>
      <c r="D101" s="30" t="s">
        <v>3</v>
      </c>
    </row>
    <row r="102" spans="1:4" x14ac:dyDescent="0.2">
      <c r="A102" s="29" t="s">
        <v>4</v>
      </c>
      <c r="B102" s="49" t="s">
        <v>90</v>
      </c>
      <c r="C102" s="50"/>
      <c r="D102" s="13">
        <f>((D26+D69+D81)/220)*22*0</f>
        <v>0</v>
      </c>
    </row>
    <row r="103" spans="1:4" x14ac:dyDescent="0.2">
      <c r="A103" s="46" t="s">
        <v>16</v>
      </c>
      <c r="B103" s="46"/>
      <c r="C103" s="46"/>
      <c r="D103" s="19">
        <f>SUM(D102)</f>
        <v>0</v>
      </c>
    </row>
    <row r="106" spans="1:4" x14ac:dyDescent="0.2">
      <c r="A106" s="55" t="s">
        <v>56</v>
      </c>
      <c r="B106" s="55"/>
      <c r="C106" s="55"/>
      <c r="D106" s="55"/>
    </row>
    <row r="107" spans="1:4" x14ac:dyDescent="0.2">
      <c r="A107" s="3"/>
    </row>
    <row r="108" spans="1:4" x14ac:dyDescent="0.2">
      <c r="A108" s="30">
        <v>4</v>
      </c>
      <c r="B108" s="46" t="s">
        <v>57</v>
      </c>
      <c r="C108" s="46"/>
      <c r="D108" s="30" t="s">
        <v>3</v>
      </c>
    </row>
    <row r="109" spans="1:4" x14ac:dyDescent="0.2">
      <c r="A109" s="29" t="s">
        <v>54</v>
      </c>
      <c r="B109" s="47" t="s">
        <v>81</v>
      </c>
      <c r="C109" s="47"/>
      <c r="D109" s="14">
        <f>D96</f>
        <v>19.38</v>
      </c>
    </row>
    <row r="110" spans="1:4" x14ac:dyDescent="0.2">
      <c r="A110" s="29" t="s">
        <v>55</v>
      </c>
      <c r="B110" s="47" t="s">
        <v>89</v>
      </c>
      <c r="C110" s="47"/>
      <c r="D110" s="14">
        <f>D103</f>
        <v>0</v>
      </c>
    </row>
    <row r="111" spans="1:4" x14ac:dyDescent="0.2">
      <c r="A111" s="46" t="s">
        <v>16</v>
      </c>
      <c r="B111" s="46"/>
      <c r="C111" s="46"/>
      <c r="D111" s="19">
        <f>SUM(D109:D110)</f>
        <v>19.38</v>
      </c>
    </row>
    <row r="114" spans="1:4" x14ac:dyDescent="0.2">
      <c r="A114" s="48" t="s">
        <v>58</v>
      </c>
      <c r="B114" s="48"/>
      <c r="C114" s="48"/>
      <c r="D114" s="48"/>
    </row>
    <row r="116" spans="1:4" x14ac:dyDescent="0.2">
      <c r="A116" s="30">
        <v>5</v>
      </c>
      <c r="B116" s="51" t="s">
        <v>59</v>
      </c>
      <c r="C116" s="51"/>
      <c r="D116" s="30" t="s">
        <v>3</v>
      </c>
    </row>
    <row r="117" spans="1:4" x14ac:dyDescent="0.2">
      <c r="A117" s="29" t="s">
        <v>4</v>
      </c>
      <c r="B117" s="31" t="s">
        <v>60</v>
      </c>
      <c r="C117" s="31"/>
      <c r="D117" s="13"/>
    </row>
    <row r="118" spans="1:4" x14ac:dyDescent="0.2">
      <c r="A118" s="29" t="s">
        <v>6</v>
      </c>
      <c r="B118" s="31" t="s">
        <v>61</v>
      </c>
      <c r="C118" s="31"/>
      <c r="D118" s="13"/>
    </row>
    <row r="119" spans="1:4" x14ac:dyDescent="0.2">
      <c r="A119" s="29" t="s">
        <v>8</v>
      </c>
      <c r="B119" s="31" t="s">
        <v>62</v>
      </c>
      <c r="C119" s="31"/>
      <c r="D119" s="13"/>
    </row>
    <row r="120" spans="1:4" x14ac:dyDescent="0.2">
      <c r="A120" s="29" t="s">
        <v>10</v>
      </c>
      <c r="B120" s="31" t="s">
        <v>15</v>
      </c>
      <c r="C120" s="31"/>
      <c r="D120" s="13"/>
    </row>
    <row r="121" spans="1:4" x14ac:dyDescent="0.2">
      <c r="A121" s="46" t="s">
        <v>37</v>
      </c>
      <c r="B121" s="46"/>
      <c r="C121" s="46"/>
      <c r="D121" s="20">
        <f>SUM(D117:D120)</f>
        <v>0</v>
      </c>
    </row>
    <row r="124" spans="1:4" x14ac:dyDescent="0.2">
      <c r="A124" s="48" t="s">
        <v>63</v>
      </c>
      <c r="B124" s="48"/>
      <c r="C124" s="48"/>
      <c r="D124" s="48"/>
    </row>
    <row r="126" spans="1:4" x14ac:dyDescent="0.2">
      <c r="A126" s="30">
        <v>6</v>
      </c>
      <c r="B126" s="32" t="s">
        <v>64</v>
      </c>
      <c r="C126" s="30" t="s">
        <v>26</v>
      </c>
      <c r="D126" s="30" t="s">
        <v>3</v>
      </c>
    </row>
    <row r="127" spans="1:4" x14ac:dyDescent="0.2">
      <c r="A127" s="29" t="s">
        <v>4</v>
      </c>
      <c r="B127" s="31" t="s">
        <v>65</v>
      </c>
      <c r="C127" s="9">
        <v>0.05</v>
      </c>
      <c r="D127" s="14">
        <f>D147*C127</f>
        <v>177.18340000000001</v>
      </c>
    </row>
    <row r="128" spans="1:4" x14ac:dyDescent="0.2">
      <c r="A128" s="29" t="s">
        <v>6</v>
      </c>
      <c r="B128" s="31" t="s">
        <v>66</v>
      </c>
      <c r="C128" s="9">
        <v>0.06</v>
      </c>
      <c r="D128" s="13">
        <f>(D147+D127)*C128</f>
        <v>223.25108399999996</v>
      </c>
    </row>
    <row r="129" spans="1:4" x14ac:dyDescent="0.2">
      <c r="A129" s="29" t="s">
        <v>8</v>
      </c>
      <c r="B129" s="31" t="s">
        <v>67</v>
      </c>
      <c r="C129" s="12">
        <f>SUM(C130:C135)</f>
        <v>8.6499999999999994E-2</v>
      </c>
      <c r="D129" s="13">
        <f>(D147+D127+D128)*C129/(1-C129)</f>
        <v>373.4700217471264</v>
      </c>
    </row>
    <row r="130" spans="1:4" x14ac:dyDescent="0.2">
      <c r="A130" s="29"/>
      <c r="B130" s="31" t="s">
        <v>68</v>
      </c>
      <c r="C130" s="9"/>
      <c r="D130" s="14">
        <f>$D$149*C130</f>
        <v>0</v>
      </c>
    </row>
    <row r="131" spans="1:4" x14ac:dyDescent="0.2">
      <c r="A131" s="29"/>
      <c r="B131" s="31" t="s">
        <v>98</v>
      </c>
      <c r="C131" s="9">
        <v>6.4999999999999997E-3</v>
      </c>
      <c r="D131" s="14">
        <f t="shared" ref="D131:D135" si="3">$D$149*C131</f>
        <v>28.064204999999998</v>
      </c>
    </row>
    <row r="132" spans="1:4" x14ac:dyDescent="0.2">
      <c r="A132" s="29"/>
      <c r="B132" s="31" t="s">
        <v>99</v>
      </c>
      <c r="C132" s="9">
        <v>0.03</v>
      </c>
      <c r="D132" s="14">
        <f t="shared" si="3"/>
        <v>129.52709999999999</v>
      </c>
    </row>
    <row r="133" spans="1:4" x14ac:dyDescent="0.2">
      <c r="A133" s="29"/>
      <c r="B133" s="31" t="s">
        <v>69</v>
      </c>
      <c r="C133" s="29"/>
      <c r="D133" s="14">
        <f t="shared" si="3"/>
        <v>0</v>
      </c>
    </row>
    <row r="134" spans="1:4" x14ac:dyDescent="0.2">
      <c r="A134" s="29"/>
      <c r="B134" s="31" t="s">
        <v>70</v>
      </c>
      <c r="C134" s="9"/>
      <c r="D134" s="14">
        <f t="shared" si="3"/>
        <v>0</v>
      </c>
    </row>
    <row r="135" spans="1:4" x14ac:dyDescent="0.2">
      <c r="A135" s="29"/>
      <c r="B135" s="31" t="s">
        <v>100</v>
      </c>
      <c r="C135" s="9">
        <v>0.05</v>
      </c>
      <c r="D135" s="14">
        <f t="shared" si="3"/>
        <v>215.8785</v>
      </c>
    </row>
    <row r="136" spans="1:4" ht="13.5" x14ac:dyDescent="0.2">
      <c r="A136" s="52" t="s">
        <v>37</v>
      </c>
      <c r="B136" s="53"/>
      <c r="C136" s="21">
        <f>(1+C128)*(1+C127)/(1-C129)-1</f>
        <v>0.21839080459770144</v>
      </c>
      <c r="D136" s="19">
        <f>SUM(D127:D129)</f>
        <v>773.90450574712645</v>
      </c>
    </row>
    <row r="139" spans="1:4" x14ac:dyDescent="0.2">
      <c r="A139" s="48" t="s">
        <v>71</v>
      </c>
      <c r="B139" s="48"/>
      <c r="C139" s="48"/>
      <c r="D139" s="48"/>
    </row>
    <row r="141" spans="1:4" x14ac:dyDescent="0.2">
      <c r="A141" s="30"/>
      <c r="B141" s="46" t="s">
        <v>72</v>
      </c>
      <c r="C141" s="46"/>
      <c r="D141" s="30" t="s">
        <v>3</v>
      </c>
    </row>
    <row r="142" spans="1:4" x14ac:dyDescent="0.2">
      <c r="A142" s="30" t="s">
        <v>4</v>
      </c>
      <c r="B142" s="47" t="s">
        <v>1</v>
      </c>
      <c r="C142" s="47"/>
      <c r="D142" s="22">
        <f>D26</f>
        <v>2102.1999999999998</v>
      </c>
    </row>
    <row r="143" spans="1:4" x14ac:dyDescent="0.2">
      <c r="A143" s="30" t="s">
        <v>6</v>
      </c>
      <c r="B143" s="47" t="s">
        <v>17</v>
      </c>
      <c r="C143" s="47"/>
      <c r="D143" s="22">
        <f>D69</f>
        <v>1422.088</v>
      </c>
    </row>
    <row r="144" spans="1:4" x14ac:dyDescent="0.2">
      <c r="A144" s="30" t="s">
        <v>8</v>
      </c>
      <c r="B144" s="47" t="s">
        <v>46</v>
      </c>
      <c r="C144" s="47"/>
      <c r="D144" s="22">
        <f>D81</f>
        <v>0</v>
      </c>
    </row>
    <row r="145" spans="1:4" x14ac:dyDescent="0.2">
      <c r="A145" s="30" t="s">
        <v>10</v>
      </c>
      <c r="B145" s="47" t="s">
        <v>53</v>
      </c>
      <c r="C145" s="47"/>
      <c r="D145" s="22">
        <f>D111</f>
        <v>19.38</v>
      </c>
    </row>
    <row r="146" spans="1:4" x14ac:dyDescent="0.2">
      <c r="A146" s="30" t="s">
        <v>12</v>
      </c>
      <c r="B146" s="47" t="s">
        <v>58</v>
      </c>
      <c r="C146" s="47"/>
      <c r="D146" s="22">
        <f>D121</f>
        <v>0</v>
      </c>
    </row>
    <row r="147" spans="1:4" x14ac:dyDescent="0.2">
      <c r="A147" s="46" t="s">
        <v>97</v>
      </c>
      <c r="B147" s="46"/>
      <c r="C147" s="46"/>
      <c r="D147" s="23">
        <f>SUM(D142:D146)</f>
        <v>3543.6679999999997</v>
      </c>
    </row>
    <row r="148" spans="1:4" x14ac:dyDescent="0.2">
      <c r="A148" s="30" t="s">
        <v>32</v>
      </c>
      <c r="B148" s="47" t="s">
        <v>73</v>
      </c>
      <c r="C148" s="47"/>
      <c r="D148" s="24">
        <f>D136</f>
        <v>773.90450574712645</v>
      </c>
    </row>
    <row r="149" spans="1:4" x14ac:dyDescent="0.2">
      <c r="A149" s="46" t="s">
        <v>74</v>
      </c>
      <c r="B149" s="46"/>
      <c r="C149" s="46"/>
      <c r="D149" s="23">
        <f>ROUND(SUM(D147:D148),2)</f>
        <v>4317.57</v>
      </c>
    </row>
  </sheetData>
  <mergeCells count="70"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zoomScale="115" zoomScaleNormal="115" workbookViewId="0">
      <selection activeCell="D149" sqref="D1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7" t="s">
        <v>0</v>
      </c>
      <c r="B1" s="57"/>
      <c r="C1" s="57"/>
      <c r="D1" s="57"/>
    </row>
    <row r="2" spans="1:4" ht="15.75" x14ac:dyDescent="0.25">
      <c r="A2" s="26"/>
      <c r="B2" s="26"/>
      <c r="C2" s="26"/>
      <c r="D2" s="26"/>
    </row>
    <row r="3" spans="1:4" x14ac:dyDescent="0.2">
      <c r="A3" s="48" t="s">
        <v>91</v>
      </c>
      <c r="B3" s="48"/>
      <c r="C3" s="48"/>
      <c r="D3" s="48"/>
    </row>
    <row r="4" spans="1:4" x14ac:dyDescent="0.2">
      <c r="A4" s="2"/>
      <c r="B4" s="2"/>
      <c r="C4" s="2"/>
      <c r="D4" s="2"/>
    </row>
    <row r="5" spans="1:4" ht="38.25" x14ac:dyDescent="0.2">
      <c r="A5" s="42" t="s">
        <v>92</v>
      </c>
      <c r="B5" s="42"/>
      <c r="C5" s="29" t="s">
        <v>93</v>
      </c>
      <c r="D5" s="27" t="s">
        <v>94</v>
      </c>
    </row>
    <row r="6" spans="1:4" x14ac:dyDescent="0.2">
      <c r="A6" s="43" t="s">
        <v>105</v>
      </c>
      <c r="B6" s="43"/>
      <c r="C6" s="33" t="s">
        <v>102</v>
      </c>
      <c r="D6" s="33">
        <v>1</v>
      </c>
    </row>
    <row r="8" spans="1:4" x14ac:dyDescent="0.2">
      <c r="A8" s="48" t="s">
        <v>75</v>
      </c>
      <c r="B8" s="48"/>
      <c r="C8" s="48"/>
      <c r="D8" s="48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76</v>
      </c>
      <c r="C10" s="44" t="s">
        <v>103</v>
      </c>
      <c r="D10" s="45"/>
    </row>
    <row r="11" spans="1:4" x14ac:dyDescent="0.2">
      <c r="A11" s="5">
        <v>2</v>
      </c>
      <c r="B11" s="5" t="s">
        <v>95</v>
      </c>
      <c r="C11" s="44"/>
      <c r="D11" s="45"/>
    </row>
    <row r="12" spans="1:4" x14ac:dyDescent="0.2">
      <c r="A12" s="5">
        <v>3</v>
      </c>
      <c r="B12" s="5" t="s">
        <v>77</v>
      </c>
      <c r="C12" s="44"/>
      <c r="D12" s="45"/>
    </row>
    <row r="13" spans="1:4" x14ac:dyDescent="0.2">
      <c r="A13" s="5">
        <v>4</v>
      </c>
      <c r="B13" s="5" t="s">
        <v>78</v>
      </c>
      <c r="C13" s="44"/>
      <c r="D13" s="45"/>
    </row>
    <row r="14" spans="1:4" x14ac:dyDescent="0.2">
      <c r="A14" s="5">
        <v>5</v>
      </c>
      <c r="B14" s="5" t="s">
        <v>79</v>
      </c>
      <c r="C14" s="44"/>
      <c r="D14" s="45"/>
    </row>
    <row r="16" spans="1:4" x14ac:dyDescent="0.2">
      <c r="A16" s="48" t="s">
        <v>1</v>
      </c>
      <c r="B16" s="48"/>
      <c r="C16" s="48"/>
      <c r="D16" s="48"/>
    </row>
    <row r="18" spans="1:4" x14ac:dyDescent="0.2">
      <c r="A18" s="30">
        <v>1</v>
      </c>
      <c r="B18" s="46" t="s">
        <v>2</v>
      </c>
      <c r="C18" s="46"/>
      <c r="D18" s="30" t="s">
        <v>3</v>
      </c>
    </row>
    <row r="19" spans="1:4" x14ac:dyDescent="0.2">
      <c r="A19" s="29" t="s">
        <v>4</v>
      </c>
      <c r="B19" s="47" t="s">
        <v>5</v>
      </c>
      <c r="C19" s="47"/>
      <c r="D19" s="13">
        <v>2364.5300000000002</v>
      </c>
    </row>
    <row r="20" spans="1:4" x14ac:dyDescent="0.2">
      <c r="A20" s="29" t="s">
        <v>6</v>
      </c>
      <c r="B20" s="47" t="s">
        <v>7</v>
      </c>
      <c r="C20" s="47"/>
      <c r="D20" s="13"/>
    </row>
    <row r="21" spans="1:4" x14ac:dyDescent="0.2">
      <c r="A21" s="29" t="s">
        <v>8</v>
      </c>
      <c r="B21" s="47" t="s">
        <v>9</v>
      </c>
      <c r="C21" s="47"/>
      <c r="D21" s="13"/>
    </row>
    <row r="22" spans="1:4" x14ac:dyDescent="0.2">
      <c r="A22" s="29" t="s">
        <v>10</v>
      </c>
      <c r="B22" s="47" t="s">
        <v>11</v>
      </c>
      <c r="C22" s="47"/>
      <c r="D22" s="13"/>
    </row>
    <row r="23" spans="1:4" x14ac:dyDescent="0.2">
      <c r="A23" s="29" t="s">
        <v>12</v>
      </c>
      <c r="B23" s="47" t="s">
        <v>13</v>
      </c>
      <c r="C23" s="47"/>
      <c r="D23" s="13"/>
    </row>
    <row r="24" spans="1:4" x14ac:dyDescent="0.2">
      <c r="A24" s="29"/>
      <c r="B24" s="47"/>
      <c r="C24" s="47"/>
      <c r="D24" s="13"/>
    </row>
    <row r="25" spans="1:4" x14ac:dyDescent="0.2">
      <c r="A25" s="29" t="s">
        <v>14</v>
      </c>
      <c r="B25" s="47" t="s">
        <v>15</v>
      </c>
      <c r="C25" s="47"/>
      <c r="D25" s="13"/>
    </row>
    <row r="26" spans="1:4" x14ac:dyDescent="0.2">
      <c r="A26" s="46" t="s">
        <v>16</v>
      </c>
      <c r="B26" s="46"/>
      <c r="C26" s="46"/>
      <c r="D26" s="20">
        <f>SUM(D19:D25)</f>
        <v>2364.5300000000002</v>
      </c>
    </row>
    <row r="29" spans="1:4" x14ac:dyDescent="0.2">
      <c r="A29" s="48" t="s">
        <v>17</v>
      </c>
      <c r="B29" s="48"/>
      <c r="C29" s="48"/>
      <c r="D29" s="48"/>
    </row>
    <row r="30" spans="1:4" x14ac:dyDescent="0.2">
      <c r="A30" s="3"/>
    </row>
    <row r="31" spans="1:4" x14ac:dyDescent="0.2">
      <c r="A31" s="55" t="s">
        <v>18</v>
      </c>
      <c r="B31" s="55"/>
      <c r="C31" s="55"/>
      <c r="D31" s="55"/>
    </row>
    <row r="33" spans="1:4" x14ac:dyDescent="0.2">
      <c r="A33" s="30" t="s">
        <v>19</v>
      </c>
      <c r="B33" s="46" t="s">
        <v>20</v>
      </c>
      <c r="C33" s="46"/>
      <c r="D33" s="30" t="s">
        <v>3</v>
      </c>
    </row>
    <row r="34" spans="1:4" x14ac:dyDescent="0.2">
      <c r="A34" s="29" t="s">
        <v>4</v>
      </c>
      <c r="B34" s="31" t="s">
        <v>21</v>
      </c>
      <c r="C34" s="12">
        <f>TRUNC(1/12,4)</f>
        <v>8.3299999999999999E-2</v>
      </c>
      <c r="D34" s="13">
        <f>TRUNC($D$26*C34,2)</f>
        <v>196.96</v>
      </c>
    </row>
    <row r="35" spans="1:4" x14ac:dyDescent="0.2">
      <c r="A35" s="29" t="s">
        <v>6</v>
      </c>
      <c r="B35" s="31" t="s">
        <v>22</v>
      </c>
      <c r="C35" s="12">
        <f>TRUNC(((1+1/3)/12),4)</f>
        <v>0.1111</v>
      </c>
      <c r="D35" s="13">
        <f>TRUNC($D$26*C35,2)</f>
        <v>262.69</v>
      </c>
    </row>
    <row r="36" spans="1:4" x14ac:dyDescent="0.2">
      <c r="A36" s="46" t="s">
        <v>16</v>
      </c>
      <c r="B36" s="46"/>
      <c r="C36" s="28">
        <f>SUM(C34:C35)</f>
        <v>0.19440000000000002</v>
      </c>
      <c r="D36" s="19">
        <f>SUM(D34:D35)</f>
        <v>459.65</v>
      </c>
    </row>
    <row r="39" spans="1:4" x14ac:dyDescent="0.2">
      <c r="A39" s="58" t="s">
        <v>23</v>
      </c>
      <c r="B39" s="58"/>
      <c r="C39" s="58"/>
      <c r="D39" s="58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29" t="s">
        <v>4</v>
      </c>
      <c r="B42" s="31" t="s">
        <v>27</v>
      </c>
      <c r="C42" s="9">
        <v>0.2</v>
      </c>
      <c r="D42" s="13">
        <f>TRUNC(($D$26+$D$36)*C42,2)</f>
        <v>564.83000000000004</v>
      </c>
    </row>
    <row r="43" spans="1:4" x14ac:dyDescent="0.2">
      <c r="A43" s="29" t="s">
        <v>6</v>
      </c>
      <c r="B43" s="31" t="s">
        <v>28</v>
      </c>
      <c r="C43" s="9">
        <v>2.5000000000000001E-2</v>
      </c>
      <c r="D43" s="13">
        <f t="shared" ref="D43:D49" si="0">TRUNC(($D$26+$D$36)*C43,2)</f>
        <v>70.599999999999994</v>
      </c>
    </row>
    <row r="44" spans="1:4" x14ac:dyDescent="0.2">
      <c r="A44" s="29" t="s">
        <v>8</v>
      </c>
      <c r="B44" s="31" t="s">
        <v>29</v>
      </c>
      <c r="C44" s="16">
        <v>0.03</v>
      </c>
      <c r="D44" s="13">
        <f t="shared" si="0"/>
        <v>84.72</v>
      </c>
    </row>
    <row r="45" spans="1:4" x14ac:dyDescent="0.2">
      <c r="A45" s="29" t="s">
        <v>10</v>
      </c>
      <c r="B45" s="31" t="s">
        <v>30</v>
      </c>
      <c r="C45" s="9">
        <v>1.4999999999999999E-2</v>
      </c>
      <c r="D45" s="13">
        <f t="shared" si="0"/>
        <v>42.36</v>
      </c>
    </row>
    <row r="46" spans="1:4" x14ac:dyDescent="0.2">
      <c r="A46" s="29" t="s">
        <v>12</v>
      </c>
      <c r="B46" s="31" t="s">
        <v>31</v>
      </c>
      <c r="C46" s="9">
        <v>0.01</v>
      </c>
      <c r="D46" s="13">
        <f t="shared" si="0"/>
        <v>28.24</v>
      </c>
    </row>
    <row r="47" spans="1:4" x14ac:dyDescent="0.2">
      <c r="A47" s="29" t="s">
        <v>32</v>
      </c>
      <c r="B47" s="31" t="s">
        <v>33</v>
      </c>
      <c r="C47" s="9">
        <v>6.0000000000000001E-3</v>
      </c>
      <c r="D47" s="13">
        <f t="shared" si="0"/>
        <v>16.940000000000001</v>
      </c>
    </row>
    <row r="48" spans="1:4" x14ac:dyDescent="0.2">
      <c r="A48" s="29" t="s">
        <v>14</v>
      </c>
      <c r="B48" s="31" t="s">
        <v>34</v>
      </c>
      <c r="C48" s="9">
        <v>2E-3</v>
      </c>
      <c r="D48" s="13">
        <f t="shared" si="0"/>
        <v>5.64</v>
      </c>
    </row>
    <row r="49" spans="1:4" x14ac:dyDescent="0.2">
      <c r="A49" s="29" t="s">
        <v>35</v>
      </c>
      <c r="B49" s="31" t="s">
        <v>36</v>
      </c>
      <c r="C49" s="9">
        <v>0.08</v>
      </c>
      <c r="D49" s="13">
        <f t="shared" si="0"/>
        <v>225.93</v>
      </c>
    </row>
    <row r="50" spans="1:4" x14ac:dyDescent="0.2">
      <c r="A50" s="46" t="s">
        <v>37</v>
      </c>
      <c r="B50" s="46"/>
      <c r="C50" s="15">
        <f>SUM(C42:C49)</f>
        <v>0.36800000000000005</v>
      </c>
      <c r="D50" s="19">
        <f>SUM(D42:D49)</f>
        <v>1039.2600000000002</v>
      </c>
    </row>
    <row r="53" spans="1:4" x14ac:dyDescent="0.2">
      <c r="A53" s="55" t="s">
        <v>38</v>
      </c>
      <c r="B53" s="55"/>
      <c r="C53" s="55"/>
      <c r="D53" s="55"/>
    </row>
    <row r="55" spans="1:4" x14ac:dyDescent="0.2">
      <c r="A55" s="30" t="s">
        <v>39</v>
      </c>
      <c r="B55" s="54" t="s">
        <v>40</v>
      </c>
      <c r="C55" s="54"/>
      <c r="D55" s="30" t="s">
        <v>3</v>
      </c>
    </row>
    <row r="56" spans="1:4" x14ac:dyDescent="0.2">
      <c r="A56" s="29" t="s">
        <v>4</v>
      </c>
      <c r="B56" s="47" t="s">
        <v>41</v>
      </c>
      <c r="C56" s="47"/>
      <c r="D56" s="13">
        <f>(22*2*4.9)-(D19*0.06)</f>
        <v>73.728200000000015</v>
      </c>
    </row>
    <row r="57" spans="1:4" x14ac:dyDescent="0.2">
      <c r="A57" s="29" t="s">
        <v>6</v>
      </c>
      <c r="B57" s="47" t="s">
        <v>42</v>
      </c>
      <c r="C57" s="47"/>
      <c r="D57" s="13">
        <v>0</v>
      </c>
    </row>
    <row r="58" spans="1:4" x14ac:dyDescent="0.2">
      <c r="A58" s="29" t="s">
        <v>8</v>
      </c>
      <c r="B58" s="47" t="s">
        <v>43</v>
      </c>
      <c r="C58" s="47"/>
      <c r="D58" s="13"/>
    </row>
    <row r="59" spans="1:4" x14ac:dyDescent="0.2">
      <c r="A59" s="29" t="s">
        <v>10</v>
      </c>
      <c r="B59" s="47" t="s">
        <v>15</v>
      </c>
      <c r="C59" s="47"/>
      <c r="D59" s="13"/>
    </row>
    <row r="60" spans="1:4" x14ac:dyDescent="0.2">
      <c r="A60" s="46" t="s">
        <v>16</v>
      </c>
      <c r="B60" s="46"/>
      <c r="C60" s="46"/>
      <c r="D60" s="19">
        <f>SUM(D56:D59)</f>
        <v>73.728200000000015</v>
      </c>
    </row>
    <row r="63" spans="1:4" x14ac:dyDescent="0.2">
      <c r="A63" s="55" t="s">
        <v>44</v>
      </c>
      <c r="B63" s="55"/>
      <c r="C63" s="55"/>
      <c r="D63" s="55"/>
    </row>
    <row r="65" spans="1:5" x14ac:dyDescent="0.2">
      <c r="A65" s="30">
        <v>2</v>
      </c>
      <c r="B65" s="54" t="s">
        <v>45</v>
      </c>
      <c r="C65" s="54"/>
      <c r="D65" s="30" t="s">
        <v>3</v>
      </c>
    </row>
    <row r="66" spans="1:5" x14ac:dyDescent="0.2">
      <c r="A66" s="29" t="s">
        <v>19</v>
      </c>
      <c r="B66" s="47" t="s">
        <v>20</v>
      </c>
      <c r="C66" s="47"/>
      <c r="D66" s="14">
        <f>D36</f>
        <v>459.65</v>
      </c>
    </row>
    <row r="67" spans="1:5" x14ac:dyDescent="0.2">
      <c r="A67" s="29" t="s">
        <v>24</v>
      </c>
      <c r="B67" s="47" t="s">
        <v>25</v>
      </c>
      <c r="C67" s="47"/>
      <c r="D67" s="14">
        <f>D50</f>
        <v>1039.2600000000002</v>
      </c>
    </row>
    <row r="68" spans="1:5" x14ac:dyDescent="0.2">
      <c r="A68" s="29" t="s">
        <v>39</v>
      </c>
      <c r="B68" s="47" t="s">
        <v>40</v>
      </c>
      <c r="C68" s="47"/>
      <c r="D68" s="14">
        <f>D60</f>
        <v>73.728200000000015</v>
      </c>
    </row>
    <row r="69" spans="1:5" x14ac:dyDescent="0.2">
      <c r="A69" s="46" t="s">
        <v>16</v>
      </c>
      <c r="B69" s="46"/>
      <c r="C69" s="46"/>
      <c r="D69" s="19">
        <f>SUM(D66:D68)</f>
        <v>1572.6382000000003</v>
      </c>
    </row>
    <row r="70" spans="1:5" x14ac:dyDescent="0.2">
      <c r="A70" s="4"/>
      <c r="E70" s="18"/>
    </row>
    <row r="72" spans="1:5" x14ac:dyDescent="0.2">
      <c r="A72" s="48" t="s">
        <v>46</v>
      </c>
      <c r="B72" s="48"/>
      <c r="C72" s="48"/>
      <c r="D72" s="48"/>
      <c r="E72" s="17"/>
    </row>
    <row r="73" spans="1:5" ht="12.75" customHeight="1" x14ac:dyDescent="0.2">
      <c r="E73" s="18"/>
    </row>
    <row r="74" spans="1:5" x14ac:dyDescent="0.2">
      <c r="A74" s="30">
        <v>3</v>
      </c>
      <c r="B74" s="54" t="s">
        <v>47</v>
      </c>
      <c r="C74" s="54"/>
      <c r="D74" s="30" t="s">
        <v>3</v>
      </c>
    </row>
    <row r="75" spans="1:5" x14ac:dyDescent="0.2">
      <c r="A75" s="29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29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29" t="s">
        <v>8</v>
      </c>
      <c r="B77" s="10" t="s">
        <v>50</v>
      </c>
      <c r="C77" s="9">
        <f>TRUNC(8%*0%*40%,4)</f>
        <v>0</v>
      </c>
      <c r="D77" s="13">
        <f>TRUNC($D$26*C77,2)</f>
        <v>0</v>
      </c>
    </row>
    <row r="78" spans="1:5" x14ac:dyDescent="0.2">
      <c r="A78" s="29" t="s">
        <v>10</v>
      </c>
      <c r="B78" s="10" t="s">
        <v>51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29" t="s">
        <v>12</v>
      </c>
      <c r="B79" s="10" t="s">
        <v>96</v>
      </c>
      <c r="C79" s="9">
        <f>C50</f>
        <v>0.36800000000000005</v>
      </c>
      <c r="D79" s="13">
        <f>TRUNC(D78*C79,2)</f>
        <v>0</v>
      </c>
    </row>
    <row r="80" spans="1:5" x14ac:dyDescent="0.2">
      <c r="A80" s="29" t="s">
        <v>32</v>
      </c>
      <c r="B80" s="10" t="s">
        <v>52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52" t="s">
        <v>16</v>
      </c>
      <c r="B81" s="53"/>
      <c r="C81" s="56"/>
      <c r="D81" s="19">
        <f>SUM(D75:D80)</f>
        <v>0</v>
      </c>
    </row>
    <row r="84" spans="1:6" x14ac:dyDescent="0.2">
      <c r="A84" s="48" t="s">
        <v>53</v>
      </c>
      <c r="B84" s="48"/>
      <c r="C84" s="48"/>
      <c r="D84" s="48"/>
    </row>
    <row r="87" spans="1:6" x14ac:dyDescent="0.2">
      <c r="A87" s="55" t="s">
        <v>80</v>
      </c>
      <c r="B87" s="55"/>
      <c r="C87" s="55"/>
      <c r="D87" s="55"/>
    </row>
    <row r="88" spans="1:6" x14ac:dyDescent="0.2">
      <c r="A88" s="3"/>
    </row>
    <row r="89" spans="1:6" x14ac:dyDescent="0.2">
      <c r="A89" s="30" t="s">
        <v>54</v>
      </c>
      <c r="B89" s="54" t="s">
        <v>81</v>
      </c>
      <c r="C89" s="54"/>
      <c r="D89" s="30" t="s">
        <v>3</v>
      </c>
    </row>
    <row r="90" spans="1:6" x14ac:dyDescent="0.2">
      <c r="A90" s="29" t="s">
        <v>4</v>
      </c>
      <c r="B90" s="31" t="s">
        <v>82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29" t="s">
        <v>6</v>
      </c>
      <c r="B91" s="31" t="s">
        <v>83</v>
      </c>
      <c r="C91" s="9">
        <f>TRUNC(((2/30)/12),4)</f>
        <v>5.4999999999999997E-3</v>
      </c>
      <c r="D91" s="13">
        <f t="shared" ref="D91:D95" si="2">TRUNC(($D$26+$D$69+$D$81)*C91,2)</f>
        <v>21.65</v>
      </c>
    </row>
    <row r="92" spans="1:6" x14ac:dyDescent="0.2">
      <c r="A92" s="29" t="s">
        <v>8</v>
      </c>
      <c r="B92" s="31" t="s">
        <v>84</v>
      </c>
      <c r="C92" s="9">
        <f>TRUNC(((5/30)/12)*2%,4)*0</f>
        <v>0</v>
      </c>
      <c r="D92" s="13">
        <f t="shared" si="2"/>
        <v>0</v>
      </c>
    </row>
    <row r="93" spans="1:6" x14ac:dyDescent="0.2">
      <c r="A93" s="29" t="s">
        <v>10</v>
      </c>
      <c r="B93" s="31" t="s">
        <v>85</v>
      </c>
      <c r="C93" s="9">
        <f>TRUNC(((15/30)/12)*8%,4)*0</f>
        <v>0</v>
      </c>
      <c r="D93" s="13">
        <f t="shared" si="2"/>
        <v>0</v>
      </c>
    </row>
    <row r="94" spans="1:6" x14ac:dyDescent="0.2">
      <c r="A94" s="29" t="s">
        <v>12</v>
      </c>
      <c r="B94" s="31" t="s">
        <v>86</v>
      </c>
      <c r="C94" s="9">
        <f>((1+1/3)/12)*3%*(4/12)*0</f>
        <v>0</v>
      </c>
      <c r="D94" s="13">
        <f t="shared" si="2"/>
        <v>0</v>
      </c>
    </row>
    <row r="95" spans="1:6" x14ac:dyDescent="0.2">
      <c r="A95" s="29" t="s">
        <v>32</v>
      </c>
      <c r="B95" s="31" t="s">
        <v>87</v>
      </c>
      <c r="C95" s="9"/>
      <c r="D95" s="13">
        <f t="shared" si="2"/>
        <v>0</v>
      </c>
    </row>
    <row r="96" spans="1:6" x14ac:dyDescent="0.2">
      <c r="A96" s="46" t="s">
        <v>37</v>
      </c>
      <c r="B96" s="46"/>
      <c r="C96" s="46"/>
      <c r="D96" s="19">
        <f>SUM(D90:D95)</f>
        <v>21.65</v>
      </c>
      <c r="E96" s="17"/>
      <c r="F96" s="17"/>
    </row>
    <row r="99" spans="1:4" x14ac:dyDescent="0.2">
      <c r="A99" s="55" t="s">
        <v>88</v>
      </c>
      <c r="B99" s="55"/>
      <c r="C99" s="55"/>
      <c r="D99" s="55"/>
    </row>
    <row r="100" spans="1:4" x14ac:dyDescent="0.2">
      <c r="A100" s="3"/>
    </row>
    <row r="101" spans="1:4" x14ac:dyDescent="0.2">
      <c r="A101" s="30" t="s">
        <v>55</v>
      </c>
      <c r="B101" s="54" t="s">
        <v>89</v>
      </c>
      <c r="C101" s="54"/>
      <c r="D101" s="30" t="s">
        <v>3</v>
      </c>
    </row>
    <row r="102" spans="1:4" x14ac:dyDescent="0.2">
      <c r="A102" s="29" t="s">
        <v>4</v>
      </c>
      <c r="B102" s="49" t="s">
        <v>90</v>
      </c>
      <c r="C102" s="50"/>
      <c r="D102" s="13">
        <f>((D26+D69+D81)/220)*22*0</f>
        <v>0</v>
      </c>
    </row>
    <row r="103" spans="1:4" x14ac:dyDescent="0.2">
      <c r="A103" s="46" t="s">
        <v>16</v>
      </c>
      <c r="B103" s="46"/>
      <c r="C103" s="46"/>
      <c r="D103" s="19">
        <f>SUM(D102)</f>
        <v>0</v>
      </c>
    </row>
    <row r="106" spans="1:4" x14ac:dyDescent="0.2">
      <c r="A106" s="55" t="s">
        <v>56</v>
      </c>
      <c r="B106" s="55"/>
      <c r="C106" s="55"/>
      <c r="D106" s="55"/>
    </row>
    <row r="107" spans="1:4" x14ac:dyDescent="0.2">
      <c r="A107" s="3"/>
    </row>
    <row r="108" spans="1:4" x14ac:dyDescent="0.2">
      <c r="A108" s="30">
        <v>4</v>
      </c>
      <c r="B108" s="46" t="s">
        <v>57</v>
      </c>
      <c r="C108" s="46"/>
      <c r="D108" s="30" t="s">
        <v>3</v>
      </c>
    </row>
    <row r="109" spans="1:4" x14ac:dyDescent="0.2">
      <c r="A109" s="29" t="s">
        <v>54</v>
      </c>
      <c r="B109" s="47" t="s">
        <v>81</v>
      </c>
      <c r="C109" s="47"/>
      <c r="D109" s="14">
        <f>D96</f>
        <v>21.65</v>
      </c>
    </row>
    <row r="110" spans="1:4" x14ac:dyDescent="0.2">
      <c r="A110" s="29" t="s">
        <v>55</v>
      </c>
      <c r="B110" s="47" t="s">
        <v>89</v>
      </c>
      <c r="C110" s="47"/>
      <c r="D110" s="14">
        <f>D103</f>
        <v>0</v>
      </c>
    </row>
    <row r="111" spans="1:4" x14ac:dyDescent="0.2">
      <c r="A111" s="46" t="s">
        <v>16</v>
      </c>
      <c r="B111" s="46"/>
      <c r="C111" s="46"/>
      <c r="D111" s="19">
        <f>SUM(D109:D110)</f>
        <v>21.65</v>
      </c>
    </row>
    <row r="114" spans="1:4" x14ac:dyDescent="0.2">
      <c r="A114" s="48" t="s">
        <v>58</v>
      </c>
      <c r="B114" s="48"/>
      <c r="C114" s="48"/>
      <c r="D114" s="48"/>
    </row>
    <row r="116" spans="1:4" x14ac:dyDescent="0.2">
      <c r="A116" s="30">
        <v>5</v>
      </c>
      <c r="B116" s="51" t="s">
        <v>59</v>
      </c>
      <c r="C116" s="51"/>
      <c r="D116" s="30" t="s">
        <v>3</v>
      </c>
    </row>
    <row r="117" spans="1:4" x14ac:dyDescent="0.2">
      <c r="A117" s="29" t="s">
        <v>4</v>
      </c>
      <c r="B117" s="31" t="s">
        <v>60</v>
      </c>
      <c r="C117" s="31"/>
      <c r="D117" s="13"/>
    </row>
    <row r="118" spans="1:4" x14ac:dyDescent="0.2">
      <c r="A118" s="29" t="s">
        <v>6</v>
      </c>
      <c r="B118" s="31" t="s">
        <v>61</v>
      </c>
      <c r="C118" s="31"/>
      <c r="D118" s="13"/>
    </row>
    <row r="119" spans="1:4" x14ac:dyDescent="0.2">
      <c r="A119" s="29" t="s">
        <v>8</v>
      </c>
      <c r="B119" s="31" t="s">
        <v>62</v>
      </c>
      <c r="C119" s="31"/>
      <c r="D119" s="13"/>
    </row>
    <row r="120" spans="1:4" x14ac:dyDescent="0.2">
      <c r="A120" s="29" t="s">
        <v>10</v>
      </c>
      <c r="B120" s="31" t="s">
        <v>15</v>
      </c>
      <c r="C120" s="31"/>
      <c r="D120" s="13"/>
    </row>
    <row r="121" spans="1:4" x14ac:dyDescent="0.2">
      <c r="A121" s="46" t="s">
        <v>37</v>
      </c>
      <c r="B121" s="46"/>
      <c r="C121" s="46"/>
      <c r="D121" s="20">
        <f>SUM(D117:D120)</f>
        <v>0</v>
      </c>
    </row>
    <row r="124" spans="1:4" x14ac:dyDescent="0.2">
      <c r="A124" s="48" t="s">
        <v>63</v>
      </c>
      <c r="B124" s="48"/>
      <c r="C124" s="48"/>
      <c r="D124" s="48"/>
    </row>
    <row r="126" spans="1:4" x14ac:dyDescent="0.2">
      <c r="A126" s="30">
        <v>6</v>
      </c>
      <c r="B126" s="32" t="s">
        <v>64</v>
      </c>
      <c r="C126" s="30" t="s">
        <v>26</v>
      </c>
      <c r="D126" s="30" t="s">
        <v>3</v>
      </c>
    </row>
    <row r="127" spans="1:4" x14ac:dyDescent="0.2">
      <c r="A127" s="29" t="s">
        <v>4</v>
      </c>
      <c r="B127" s="31" t="s">
        <v>65</v>
      </c>
      <c r="C127" s="9">
        <v>0.05</v>
      </c>
      <c r="D127" s="14">
        <f>D147*C127</f>
        <v>197.94091000000003</v>
      </c>
    </row>
    <row r="128" spans="1:4" x14ac:dyDescent="0.2">
      <c r="A128" s="29" t="s">
        <v>6</v>
      </c>
      <c r="B128" s="31" t="s">
        <v>66</v>
      </c>
      <c r="C128" s="9">
        <v>0.06</v>
      </c>
      <c r="D128" s="13">
        <f>(D147+D127)*C128</f>
        <v>249.40554660000004</v>
      </c>
    </row>
    <row r="129" spans="1:4" x14ac:dyDescent="0.2">
      <c r="A129" s="29" t="s">
        <v>8</v>
      </c>
      <c r="B129" s="31" t="s">
        <v>67</v>
      </c>
      <c r="C129" s="12">
        <f>SUM(C130:C135)</f>
        <v>8.6499999999999994E-2</v>
      </c>
      <c r="D129" s="13">
        <f>(D147+D127+D128)*C129/(1-C129)</f>
        <v>417.22303535402307</v>
      </c>
    </row>
    <row r="130" spans="1:4" x14ac:dyDescent="0.2">
      <c r="A130" s="29"/>
      <c r="B130" s="31" t="s">
        <v>68</v>
      </c>
      <c r="C130" s="9"/>
      <c r="D130" s="14">
        <f>$D$149*C130</f>
        <v>0</v>
      </c>
    </row>
    <row r="131" spans="1:4" x14ac:dyDescent="0.2">
      <c r="A131" s="29"/>
      <c r="B131" s="31" t="s">
        <v>98</v>
      </c>
      <c r="C131" s="9">
        <v>6.4999999999999997E-3</v>
      </c>
      <c r="D131" s="14">
        <f t="shared" ref="D131:D135" si="3">$D$149*C131</f>
        <v>31.352035000000001</v>
      </c>
    </row>
    <row r="132" spans="1:4" x14ac:dyDescent="0.2">
      <c r="A132" s="29"/>
      <c r="B132" s="31" t="s">
        <v>99</v>
      </c>
      <c r="C132" s="9">
        <v>0.03</v>
      </c>
      <c r="D132" s="14">
        <f t="shared" si="3"/>
        <v>144.70170000000002</v>
      </c>
    </row>
    <row r="133" spans="1:4" x14ac:dyDescent="0.2">
      <c r="A133" s="29"/>
      <c r="B133" s="31" t="s">
        <v>69</v>
      </c>
      <c r="C133" s="29"/>
      <c r="D133" s="14">
        <f t="shared" si="3"/>
        <v>0</v>
      </c>
    </row>
    <row r="134" spans="1:4" x14ac:dyDescent="0.2">
      <c r="A134" s="29"/>
      <c r="B134" s="31" t="s">
        <v>70</v>
      </c>
      <c r="C134" s="9"/>
      <c r="D134" s="14">
        <f t="shared" si="3"/>
        <v>0</v>
      </c>
    </row>
    <row r="135" spans="1:4" x14ac:dyDescent="0.2">
      <c r="A135" s="29"/>
      <c r="B135" s="31" t="s">
        <v>100</v>
      </c>
      <c r="C135" s="9">
        <v>0.05</v>
      </c>
      <c r="D135" s="14">
        <f t="shared" si="3"/>
        <v>241.16950000000003</v>
      </c>
    </row>
    <row r="136" spans="1:4" ht="13.5" x14ac:dyDescent="0.2">
      <c r="A136" s="52" t="s">
        <v>37</v>
      </c>
      <c r="B136" s="53"/>
      <c r="C136" s="21">
        <f>(1+C128)*(1+C127)/(1-C129)-1</f>
        <v>0.21839080459770144</v>
      </c>
      <c r="D136" s="19">
        <f>SUM(D127:D129)</f>
        <v>864.56949195402308</v>
      </c>
    </row>
    <row r="139" spans="1:4" x14ac:dyDescent="0.2">
      <c r="A139" s="48" t="s">
        <v>71</v>
      </c>
      <c r="B139" s="48"/>
      <c r="C139" s="48"/>
      <c r="D139" s="48"/>
    </row>
    <row r="141" spans="1:4" x14ac:dyDescent="0.2">
      <c r="A141" s="30"/>
      <c r="B141" s="46" t="s">
        <v>72</v>
      </c>
      <c r="C141" s="46"/>
      <c r="D141" s="30" t="s">
        <v>3</v>
      </c>
    </row>
    <row r="142" spans="1:4" x14ac:dyDescent="0.2">
      <c r="A142" s="30" t="s">
        <v>4</v>
      </c>
      <c r="B142" s="47" t="s">
        <v>1</v>
      </c>
      <c r="C142" s="47"/>
      <c r="D142" s="22">
        <f>D26</f>
        <v>2364.5300000000002</v>
      </c>
    </row>
    <row r="143" spans="1:4" x14ac:dyDescent="0.2">
      <c r="A143" s="30" t="s">
        <v>6</v>
      </c>
      <c r="B143" s="47" t="s">
        <v>17</v>
      </c>
      <c r="C143" s="47"/>
      <c r="D143" s="22">
        <f>D69</f>
        <v>1572.6382000000003</v>
      </c>
    </row>
    <row r="144" spans="1:4" x14ac:dyDescent="0.2">
      <c r="A144" s="30" t="s">
        <v>8</v>
      </c>
      <c r="B144" s="47" t="s">
        <v>46</v>
      </c>
      <c r="C144" s="47"/>
      <c r="D144" s="22">
        <f>D81</f>
        <v>0</v>
      </c>
    </row>
    <row r="145" spans="1:4" x14ac:dyDescent="0.2">
      <c r="A145" s="30" t="s">
        <v>10</v>
      </c>
      <c r="B145" s="47" t="s">
        <v>53</v>
      </c>
      <c r="C145" s="47"/>
      <c r="D145" s="22">
        <f>D111</f>
        <v>21.65</v>
      </c>
    </row>
    <row r="146" spans="1:4" x14ac:dyDescent="0.2">
      <c r="A146" s="30" t="s">
        <v>12</v>
      </c>
      <c r="B146" s="47" t="s">
        <v>58</v>
      </c>
      <c r="C146" s="47"/>
      <c r="D146" s="22">
        <f>D121</f>
        <v>0</v>
      </c>
    </row>
    <row r="147" spans="1:4" x14ac:dyDescent="0.2">
      <c r="A147" s="46" t="s">
        <v>97</v>
      </c>
      <c r="B147" s="46"/>
      <c r="C147" s="46"/>
      <c r="D147" s="23">
        <f>SUM(D142:D146)</f>
        <v>3958.8182000000006</v>
      </c>
    </row>
    <row r="148" spans="1:4" x14ac:dyDescent="0.2">
      <c r="A148" s="30" t="s">
        <v>32</v>
      </c>
      <c r="B148" s="47" t="s">
        <v>73</v>
      </c>
      <c r="C148" s="47"/>
      <c r="D148" s="24">
        <f>D136</f>
        <v>864.56949195402308</v>
      </c>
    </row>
    <row r="149" spans="1:4" x14ac:dyDescent="0.2">
      <c r="A149" s="46" t="s">
        <v>74</v>
      </c>
      <c r="B149" s="46"/>
      <c r="C149" s="46"/>
      <c r="D149" s="23">
        <f>ROUND(SUM(D147:D148),2)</f>
        <v>4823.3900000000003</v>
      </c>
    </row>
  </sheetData>
  <mergeCells count="70"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115" zoomScaleNormal="115" workbookViewId="0">
      <selection activeCell="A7" sqref="A7"/>
    </sheetView>
  </sheetViews>
  <sheetFormatPr defaultRowHeight="12.75" x14ac:dyDescent="0.2"/>
  <cols>
    <col min="1" max="1" width="24.7109375" style="1" customWidth="1"/>
    <col min="2" max="9" width="12.7109375" style="1" customWidth="1"/>
    <col min="10" max="16384" width="9.140625" style="1"/>
  </cols>
  <sheetData>
    <row r="1" spans="1:9" x14ac:dyDescent="0.2">
      <c r="A1" s="59" t="s">
        <v>106</v>
      </c>
    </row>
    <row r="3" spans="1:9" x14ac:dyDescent="0.2">
      <c r="A3" s="59" t="s">
        <v>114</v>
      </c>
    </row>
    <row r="4" spans="1:9" s="34" customFormat="1" ht="24.95" customHeight="1" x14ac:dyDescent="0.25">
      <c r="A4" s="60" t="s">
        <v>107</v>
      </c>
      <c r="B4" s="61" t="str">
        <f>designer!A6</f>
        <v>Designer Gráfico</v>
      </c>
      <c r="C4" s="62"/>
      <c r="D4" s="61" t="str">
        <f>videomaker!A6</f>
        <v>Videomaker</v>
      </c>
      <c r="E4" s="62"/>
      <c r="F4" s="61" t="str">
        <f>designertemp!A6</f>
        <v>Designer Gráfico - acréscimo em ano eleitoral por 7 meses</v>
      </c>
      <c r="G4" s="62"/>
      <c r="H4" s="61" t="str">
        <f>videomakertemp!A6</f>
        <v>Videomaker - acréscimo em ano eleitoral por 7 meses</v>
      </c>
      <c r="I4" s="62"/>
    </row>
    <row r="5" spans="1:9" x14ac:dyDescent="0.2">
      <c r="A5" s="35" t="s">
        <v>108</v>
      </c>
      <c r="B5" s="36"/>
      <c r="C5" s="37">
        <f>designer!D26</f>
        <v>2102.1999999999998</v>
      </c>
      <c r="D5" s="36"/>
      <c r="E5" s="37">
        <f>videomaker!D26</f>
        <v>2364.5300000000002</v>
      </c>
      <c r="F5" s="36"/>
      <c r="G5" s="37">
        <f>designertemp!D26</f>
        <v>2102.1999999999998</v>
      </c>
      <c r="H5" s="36"/>
      <c r="I5" s="37">
        <f>videomakertemp!D26</f>
        <v>2364.5300000000002</v>
      </c>
    </row>
    <row r="6" spans="1:9" x14ac:dyDescent="0.2">
      <c r="A6" s="35" t="s">
        <v>109</v>
      </c>
      <c r="B6" s="38">
        <f>designer!C50</f>
        <v>0.36800000000000005</v>
      </c>
      <c r="C6" s="37">
        <f>ROUND(C5*B6,2)</f>
        <v>773.61</v>
      </c>
      <c r="D6" s="38">
        <f>videomaker!C50</f>
        <v>0.36800000000000005</v>
      </c>
      <c r="E6" s="37">
        <f>ROUND(E5*D6,2)</f>
        <v>870.15</v>
      </c>
      <c r="F6" s="38">
        <f>designertemp!C50</f>
        <v>0.36800000000000005</v>
      </c>
      <c r="G6" s="37">
        <f>ROUND(G5*F6,2)</f>
        <v>773.61</v>
      </c>
      <c r="H6" s="38">
        <f>videomakertemp!C50</f>
        <v>0.36800000000000005</v>
      </c>
      <c r="I6" s="37">
        <f>ROUND(I5*H6,2)</f>
        <v>870.15</v>
      </c>
    </row>
    <row r="7" spans="1:9" x14ac:dyDescent="0.2">
      <c r="A7" s="35" t="s">
        <v>110</v>
      </c>
      <c r="B7" s="38">
        <f>designer!C136</f>
        <v>0.21839080459770144</v>
      </c>
      <c r="C7" s="37">
        <f>ROUND((C5+C6)*B7,2)</f>
        <v>628.04999999999995</v>
      </c>
      <c r="D7" s="38">
        <f>videomaker!C136</f>
        <v>0.21839080459770144</v>
      </c>
      <c r="E7" s="37">
        <f>ROUND((E5+E6)*D7,2)</f>
        <v>706.42</v>
      </c>
      <c r="F7" s="38">
        <f>designertemp!C136</f>
        <v>0.21839080459770144</v>
      </c>
      <c r="G7" s="37">
        <f>ROUND((G5+G6)*F7,2)</f>
        <v>628.04999999999995</v>
      </c>
      <c r="H7" s="38">
        <f>videomakertemp!C136</f>
        <v>0.21839080459770144</v>
      </c>
      <c r="I7" s="37">
        <f>ROUND((I5+I6)*H7,2)</f>
        <v>706.42</v>
      </c>
    </row>
    <row r="8" spans="1:9" x14ac:dyDescent="0.2">
      <c r="A8" s="35" t="s">
        <v>111</v>
      </c>
      <c r="B8" s="36"/>
      <c r="C8" s="37">
        <f>SUM(C5:C7)</f>
        <v>3503.8599999999997</v>
      </c>
      <c r="D8" s="36"/>
      <c r="E8" s="37">
        <f>SUM(E5:E7)</f>
        <v>3941.1000000000004</v>
      </c>
      <c r="F8" s="36"/>
      <c r="G8" s="37">
        <f>SUM(G5:G7)</f>
        <v>3503.8599999999997</v>
      </c>
      <c r="H8" s="36"/>
      <c r="I8" s="37">
        <f>SUM(I5:I7)</f>
        <v>3941.1000000000004</v>
      </c>
    </row>
    <row r="9" spans="1:9" x14ac:dyDescent="0.2">
      <c r="A9" s="35" t="s">
        <v>112</v>
      </c>
      <c r="B9" s="36"/>
      <c r="C9" s="37">
        <f>C8/175</f>
        <v>20.02205714285714</v>
      </c>
      <c r="D9" s="36"/>
      <c r="E9" s="37">
        <f>E8/175</f>
        <v>22.520571428571429</v>
      </c>
      <c r="F9" s="36"/>
      <c r="G9" s="37">
        <f>G8/175</f>
        <v>20.02205714285714</v>
      </c>
      <c r="H9" s="36"/>
      <c r="I9" s="37">
        <f>I8/175</f>
        <v>22.520571428571429</v>
      </c>
    </row>
    <row r="10" spans="1:9" x14ac:dyDescent="0.2">
      <c r="A10" s="35" t="s">
        <v>115</v>
      </c>
      <c r="B10" s="39">
        <v>0.5</v>
      </c>
      <c r="C10" s="40">
        <f>ROUND(C9*(1+B10),2)</f>
        <v>30.03</v>
      </c>
      <c r="D10" s="39">
        <v>0.5</v>
      </c>
      <c r="E10" s="40">
        <f>ROUND(E9*(1+D10),2)</f>
        <v>33.78</v>
      </c>
      <c r="F10" s="39">
        <v>0.5</v>
      </c>
      <c r="G10" s="40">
        <f>ROUND(G9*(1+F10),2)</f>
        <v>30.03</v>
      </c>
      <c r="H10" s="39">
        <v>0.5</v>
      </c>
      <c r="I10" s="40">
        <f>ROUND(I9*(1+H10),2)</f>
        <v>33.78</v>
      </c>
    </row>
    <row r="11" spans="1:9" x14ac:dyDescent="0.2">
      <c r="A11" s="35" t="s">
        <v>113</v>
      </c>
      <c r="B11" s="39">
        <v>1</v>
      </c>
      <c r="C11" s="40">
        <f>ROUND(C9*(1+B11),2)</f>
        <v>40.04</v>
      </c>
      <c r="D11" s="39">
        <v>1</v>
      </c>
      <c r="E11" s="40">
        <f>ROUND(E9*(1+D11),2)</f>
        <v>45.04</v>
      </c>
      <c r="F11" s="39">
        <v>1</v>
      </c>
      <c r="G11" s="40">
        <f>ROUND(G9*(1+F11),2)</f>
        <v>40.04</v>
      </c>
      <c r="H11" s="39">
        <v>1</v>
      </c>
      <c r="I11" s="40">
        <f>ROUND(I9*(1+H11),2)</f>
        <v>45.04</v>
      </c>
    </row>
    <row r="12" spans="1:9" x14ac:dyDescent="0.2">
      <c r="C12" s="17"/>
      <c r="E12" s="17"/>
      <c r="G12" s="17"/>
      <c r="I12" s="17"/>
    </row>
    <row r="13" spans="1:9" x14ac:dyDescent="0.2">
      <c r="A13" s="59" t="s">
        <v>116</v>
      </c>
    </row>
    <row r="14" spans="1:9" ht="24.95" customHeight="1" x14ac:dyDescent="0.2">
      <c r="A14" s="60" t="s">
        <v>107</v>
      </c>
      <c r="B14" s="61" t="str">
        <f>designer!A6</f>
        <v>Designer Gráfico</v>
      </c>
      <c r="C14" s="62"/>
      <c r="D14" s="61" t="str">
        <f>videomaker!A6</f>
        <v>Videomaker</v>
      </c>
      <c r="E14" s="62"/>
      <c r="F14" s="61" t="str">
        <f>designertemp!A6</f>
        <v>Designer Gráfico - acréscimo em ano eleitoral por 7 meses</v>
      </c>
      <c r="G14" s="62"/>
      <c r="H14" s="61" t="str">
        <f>videomakertemp!A6</f>
        <v>Videomaker - acréscimo em ano eleitoral por 7 meses</v>
      </c>
      <c r="I14" s="62"/>
    </row>
    <row r="15" spans="1:9" x14ac:dyDescent="0.2">
      <c r="A15" s="35" t="s">
        <v>119</v>
      </c>
      <c r="B15" s="36">
        <v>20</v>
      </c>
      <c r="C15" s="37">
        <f>C10*B15</f>
        <v>600.6</v>
      </c>
      <c r="D15" s="36">
        <v>20</v>
      </c>
      <c r="E15" s="37">
        <f>E10*D15</f>
        <v>675.6</v>
      </c>
      <c r="F15" s="36">
        <v>20</v>
      </c>
      <c r="G15" s="37">
        <f>G10*F15</f>
        <v>600.6</v>
      </c>
      <c r="H15" s="36">
        <v>20</v>
      </c>
      <c r="I15" s="37">
        <f>I10*H15</f>
        <v>675.6</v>
      </c>
    </row>
    <row r="16" spans="1:9" x14ac:dyDescent="0.2">
      <c r="A16" s="35" t="s">
        <v>117</v>
      </c>
      <c r="B16" s="36">
        <v>20</v>
      </c>
      <c r="C16" s="37">
        <f>C11*B16</f>
        <v>800.8</v>
      </c>
      <c r="D16" s="36">
        <v>20</v>
      </c>
      <c r="E16" s="37">
        <f>E11*D16</f>
        <v>900.8</v>
      </c>
      <c r="F16" s="36">
        <v>20</v>
      </c>
      <c r="G16" s="37">
        <f>G11*F16</f>
        <v>800.8</v>
      </c>
      <c r="H16" s="36">
        <v>20</v>
      </c>
      <c r="I16" s="37">
        <f>I11*H16</f>
        <v>900.8</v>
      </c>
    </row>
    <row r="17" spans="1:9" x14ac:dyDescent="0.2">
      <c r="A17" s="35" t="s">
        <v>118</v>
      </c>
      <c r="B17" s="36"/>
      <c r="C17" s="37">
        <f>SUM(C15:C16)</f>
        <v>1401.4</v>
      </c>
      <c r="D17" s="36"/>
      <c r="E17" s="37">
        <f>SUM(E15:E16)</f>
        <v>1576.4</v>
      </c>
      <c r="F17" s="36"/>
      <c r="G17" s="37">
        <f>SUM(G15:G16)</f>
        <v>1401.4</v>
      </c>
      <c r="H17" s="36"/>
      <c r="I17" s="37">
        <f>SUM(I15:I16)</f>
        <v>1576.4</v>
      </c>
    </row>
    <row r="19" spans="1:9" x14ac:dyDescent="0.2">
      <c r="A19" s="59" t="s">
        <v>41</v>
      </c>
    </row>
    <row r="20" spans="1:9" ht="24.95" customHeight="1" x14ac:dyDescent="0.2">
      <c r="A20" s="60" t="s">
        <v>107</v>
      </c>
      <c r="B20" s="61" t="str">
        <f>designer!A6</f>
        <v>Designer Gráfico</v>
      </c>
      <c r="C20" s="62"/>
      <c r="D20" s="61" t="str">
        <f>videomaker!A6</f>
        <v>Videomaker</v>
      </c>
      <c r="E20" s="62"/>
      <c r="F20" s="61" t="str">
        <f>designertemp!A6</f>
        <v>Designer Gráfico - acréscimo em ano eleitoral por 7 meses</v>
      </c>
      <c r="G20" s="62"/>
      <c r="H20" s="61" t="str">
        <f>videomakertemp!A6</f>
        <v>Videomaker - acréscimo em ano eleitoral por 7 meses</v>
      </c>
      <c r="I20" s="62"/>
    </row>
    <row r="21" spans="1:9" x14ac:dyDescent="0.2">
      <c r="A21" s="35" t="s">
        <v>120</v>
      </c>
      <c r="B21" s="36">
        <f>B15/5*2</f>
        <v>8</v>
      </c>
      <c r="C21" s="37">
        <f>B21*4.9</f>
        <v>39.200000000000003</v>
      </c>
      <c r="D21" s="36">
        <f>D15/5*2</f>
        <v>8</v>
      </c>
      <c r="E21" s="37">
        <f>D21*4.9</f>
        <v>39.200000000000003</v>
      </c>
      <c r="F21" s="36">
        <f>F15/5*2</f>
        <v>8</v>
      </c>
      <c r="G21" s="37">
        <f>F21*4.9</f>
        <v>39.200000000000003</v>
      </c>
      <c r="H21" s="36">
        <f>H15/5*2</f>
        <v>8</v>
      </c>
      <c r="I21" s="37">
        <f>H21*4.9</f>
        <v>39.200000000000003</v>
      </c>
    </row>
    <row r="22" spans="1:9" x14ac:dyDescent="0.2">
      <c r="A22" s="35" t="s">
        <v>121</v>
      </c>
      <c r="B22" s="36">
        <f>B16/5*2</f>
        <v>8</v>
      </c>
      <c r="C22" s="37">
        <f>B22*4.9</f>
        <v>39.200000000000003</v>
      </c>
      <c r="D22" s="36">
        <f>D16/5*2</f>
        <v>8</v>
      </c>
      <c r="E22" s="37">
        <f>D22*4.9</f>
        <v>39.200000000000003</v>
      </c>
      <c r="F22" s="36">
        <f>F16/5*2</f>
        <v>8</v>
      </c>
      <c r="G22" s="37">
        <f>F22*4.9</f>
        <v>39.200000000000003</v>
      </c>
      <c r="H22" s="36">
        <f>H16/5*2</f>
        <v>8</v>
      </c>
      <c r="I22" s="37">
        <f>H22*4.9</f>
        <v>39.200000000000003</v>
      </c>
    </row>
    <row r="23" spans="1:9" x14ac:dyDescent="0.2">
      <c r="A23" s="35" t="s">
        <v>122</v>
      </c>
      <c r="B23" s="36"/>
      <c r="C23" s="37">
        <f>SUM(C21:C22)</f>
        <v>78.400000000000006</v>
      </c>
      <c r="D23" s="36"/>
      <c r="E23" s="37">
        <f>SUM(E21:E22)</f>
        <v>78.400000000000006</v>
      </c>
      <c r="F23" s="36"/>
      <c r="G23" s="37">
        <f>SUM(G21:G22)</f>
        <v>78.400000000000006</v>
      </c>
      <c r="H23" s="36"/>
      <c r="I23" s="37">
        <f>SUM(I21:I22)</f>
        <v>78.400000000000006</v>
      </c>
    </row>
    <row r="25" spans="1:9" x14ac:dyDescent="0.2">
      <c r="A25" s="35" t="s">
        <v>123</v>
      </c>
      <c r="B25" s="41">
        <f>SUM(B17:I17)</f>
        <v>5955.6</v>
      </c>
    </row>
    <row r="26" spans="1:9" x14ac:dyDescent="0.2">
      <c r="A26" s="35" t="s">
        <v>124</v>
      </c>
      <c r="B26" s="41">
        <f>SUM(B23:I23)</f>
        <v>313.60000000000002</v>
      </c>
    </row>
    <row r="27" spans="1:9" x14ac:dyDescent="0.2">
      <c r="A27" s="63" t="s">
        <v>125</v>
      </c>
      <c r="B27" s="64">
        <f>SUM(B25:B26)</f>
        <v>6269.2000000000007</v>
      </c>
    </row>
  </sheetData>
  <mergeCells count="12">
    <mergeCell ref="B20:C20"/>
    <mergeCell ref="D20:E20"/>
    <mergeCell ref="F20:G20"/>
    <mergeCell ref="H20:I20"/>
    <mergeCell ref="B4:C4"/>
    <mergeCell ref="D4:E4"/>
    <mergeCell ref="F4:G4"/>
    <mergeCell ref="H4:I4"/>
    <mergeCell ref="B14:C14"/>
    <mergeCell ref="D14:E14"/>
    <mergeCell ref="F14:G14"/>
    <mergeCell ref="H14:I1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115" zoomScaleNormal="115" workbookViewId="0">
      <selection activeCell="D13" sqref="D13"/>
    </sheetView>
  </sheetViews>
  <sheetFormatPr defaultRowHeight="12.75" x14ac:dyDescent="0.2"/>
  <cols>
    <col min="1" max="1" width="27.5703125" style="1" bestFit="1" customWidth="1"/>
    <col min="2" max="2" width="12.7109375" style="1" customWidth="1"/>
    <col min="3" max="3" width="12.7109375" style="65" customWidth="1"/>
    <col min="4" max="16384" width="9.140625" style="1"/>
  </cols>
  <sheetData>
    <row r="1" spans="1:3" x14ac:dyDescent="0.2">
      <c r="A1" s="59" t="s">
        <v>127</v>
      </c>
    </row>
    <row r="3" spans="1:3" x14ac:dyDescent="0.2">
      <c r="A3" s="36" t="s">
        <v>128</v>
      </c>
      <c r="B3" s="36"/>
      <c r="C3" s="67">
        <v>350</v>
      </c>
    </row>
    <row r="4" spans="1:3" x14ac:dyDescent="0.2">
      <c r="A4" s="36" t="s">
        <v>129</v>
      </c>
      <c r="B4" s="36"/>
      <c r="C4" s="67">
        <f>(2*4.9)*-1</f>
        <v>-9.8000000000000007</v>
      </c>
    </row>
    <row r="5" spans="1:3" x14ac:dyDescent="0.2">
      <c r="A5" s="36" t="s">
        <v>130</v>
      </c>
      <c r="B5" s="36"/>
      <c r="C5" s="67">
        <v>0</v>
      </c>
    </row>
    <row r="6" spans="1:3" x14ac:dyDescent="0.2">
      <c r="A6" s="36" t="s">
        <v>111</v>
      </c>
      <c r="B6" s="36"/>
      <c r="C6" s="67">
        <f>SUM(C3:C5)</f>
        <v>340.2</v>
      </c>
    </row>
    <row r="7" spans="1:3" x14ac:dyDescent="0.2">
      <c r="A7" s="36" t="s">
        <v>110</v>
      </c>
      <c r="B7" s="38">
        <f>designer!C136</f>
        <v>0.21839080459770144</v>
      </c>
      <c r="C7" s="67">
        <f>ROUND(C6*B7,2)</f>
        <v>74.3</v>
      </c>
    </row>
    <row r="8" spans="1:3" x14ac:dyDescent="0.2">
      <c r="A8" s="71" t="s">
        <v>131</v>
      </c>
      <c r="B8" s="71"/>
      <c r="C8" s="72">
        <f>SUM(C6:C7)</f>
        <v>414.5</v>
      </c>
    </row>
    <row r="9" spans="1:3" x14ac:dyDescent="0.2">
      <c r="A9" s="36" t="s">
        <v>134</v>
      </c>
      <c r="B9" s="70">
        <v>30</v>
      </c>
      <c r="C9" s="68">
        <f>C8*B9</f>
        <v>12435</v>
      </c>
    </row>
    <row r="11" spans="1:3" x14ac:dyDescent="0.2">
      <c r="A11" s="36" t="s">
        <v>132</v>
      </c>
      <c r="B11" s="36"/>
      <c r="C11" s="69">
        <v>0.44819999999999999</v>
      </c>
    </row>
    <row r="12" spans="1:3" x14ac:dyDescent="0.2">
      <c r="A12" s="36" t="s">
        <v>110</v>
      </c>
      <c r="B12" s="38">
        <f>designer!C136</f>
        <v>0.21839080459770144</v>
      </c>
      <c r="C12" s="69">
        <f>ROUND(C11*B12,4)</f>
        <v>9.7900000000000001E-2</v>
      </c>
    </row>
    <row r="13" spans="1:3" x14ac:dyDescent="0.2">
      <c r="A13" s="71" t="s">
        <v>133</v>
      </c>
      <c r="B13" s="71"/>
      <c r="C13" s="73">
        <f>SUM(C11:C12)</f>
        <v>0.54610000000000003</v>
      </c>
    </row>
    <row r="14" spans="1:3" x14ac:dyDescent="0.2">
      <c r="A14" s="36" t="s">
        <v>135</v>
      </c>
      <c r="B14" s="70">
        <v>10000</v>
      </c>
      <c r="C14" s="68">
        <f>C13*B14</f>
        <v>5461</v>
      </c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37"/>
  <sheetViews>
    <sheetView tabSelected="1" zoomScale="115" zoomScaleNormal="115" workbookViewId="0">
      <selection activeCell="H32" sqref="H32"/>
    </sheetView>
  </sheetViews>
  <sheetFormatPr defaultRowHeight="12.75" x14ac:dyDescent="0.2"/>
  <cols>
    <col min="1" max="6" width="15.7109375" style="1" customWidth="1"/>
    <col min="7" max="16384" width="9.140625" style="1"/>
  </cols>
  <sheetData>
    <row r="8" spans="1:6" x14ac:dyDescent="0.2">
      <c r="A8" s="74" t="s">
        <v>136</v>
      </c>
      <c r="B8" s="74"/>
      <c r="C8" s="74"/>
      <c r="D8" s="74"/>
      <c r="E8" s="74"/>
      <c r="F8" s="74"/>
    </row>
    <row r="10" spans="1:6" x14ac:dyDescent="0.2">
      <c r="A10" s="59" t="s">
        <v>137</v>
      </c>
    </row>
    <row r="11" spans="1:6" s="34" customFormat="1" ht="25.5" x14ac:dyDescent="0.25">
      <c r="A11" s="60" t="s">
        <v>138</v>
      </c>
      <c r="B11" s="60" t="s">
        <v>139</v>
      </c>
      <c r="C11" s="60" t="s">
        <v>140</v>
      </c>
      <c r="D11" s="60" t="s">
        <v>141</v>
      </c>
      <c r="E11" s="60" t="s">
        <v>142</v>
      </c>
      <c r="F11" s="60" t="s">
        <v>143</v>
      </c>
    </row>
    <row r="12" spans="1:6" x14ac:dyDescent="0.2">
      <c r="A12" s="75">
        <v>1</v>
      </c>
      <c r="B12" s="76" t="str">
        <f>designer!A6</f>
        <v>Designer Gráfico</v>
      </c>
      <c r="C12" s="77">
        <f>designer!D149</f>
        <v>4537.63</v>
      </c>
      <c r="D12" s="75">
        <f>designer!D6</f>
        <v>1</v>
      </c>
      <c r="E12" s="77">
        <f>C12*D12</f>
        <v>4537.63</v>
      </c>
      <c r="F12" s="77">
        <f>E12*12</f>
        <v>54451.56</v>
      </c>
    </row>
    <row r="13" spans="1:6" x14ac:dyDescent="0.2">
      <c r="A13" s="75">
        <v>2</v>
      </c>
      <c r="B13" s="76" t="str">
        <f>videomaker!A6</f>
        <v>Videomaker</v>
      </c>
      <c r="C13" s="77">
        <f>videomaker!D149</f>
        <v>5070.47</v>
      </c>
      <c r="D13" s="75">
        <f>videomaker!D6</f>
        <v>1</v>
      </c>
      <c r="E13" s="77">
        <f>C13*D13</f>
        <v>5070.47</v>
      </c>
      <c r="F13" s="77">
        <f>E13*12</f>
        <v>60845.64</v>
      </c>
    </row>
    <row r="14" spans="1:6" x14ac:dyDescent="0.2">
      <c r="D14" s="78">
        <f>SUM(D12:D13)</f>
        <v>2</v>
      </c>
      <c r="E14" s="79">
        <f t="shared" ref="E14:F14" si="0">SUM(E12:E13)</f>
        <v>9608.1</v>
      </c>
      <c r="F14" s="79">
        <f t="shared" si="0"/>
        <v>115297.2</v>
      </c>
    </row>
    <row r="16" spans="1:6" x14ac:dyDescent="0.2">
      <c r="A16" s="59" t="s">
        <v>144</v>
      </c>
    </row>
    <row r="17" spans="1:6" ht="25.5" x14ac:dyDescent="0.2">
      <c r="A17" s="60" t="s">
        <v>138</v>
      </c>
      <c r="B17" s="60" t="s">
        <v>139</v>
      </c>
      <c r="C17" s="60" t="s">
        <v>140</v>
      </c>
      <c r="D17" s="60" t="s">
        <v>141</v>
      </c>
      <c r="E17" s="60" t="s">
        <v>142</v>
      </c>
      <c r="F17" s="60" t="s">
        <v>145</v>
      </c>
    </row>
    <row r="18" spans="1:6" ht="51" x14ac:dyDescent="0.2">
      <c r="A18" s="75">
        <v>3</v>
      </c>
      <c r="B18" s="76" t="str">
        <f>designertemp!A6</f>
        <v>Designer Gráfico - acréscimo em ano eleitoral por 7 meses</v>
      </c>
      <c r="C18" s="77">
        <f>designertemp!D149</f>
        <v>4317.57</v>
      </c>
      <c r="D18" s="75">
        <f>designertemp!D6</f>
        <v>1</v>
      </c>
      <c r="E18" s="77">
        <f>C18*D18</f>
        <v>4317.57</v>
      </c>
      <c r="F18" s="77">
        <f>E18*7</f>
        <v>30222.989999999998</v>
      </c>
    </row>
    <row r="19" spans="1:6" ht="51" x14ac:dyDescent="0.2">
      <c r="A19" s="75">
        <v>4</v>
      </c>
      <c r="B19" s="76" t="str">
        <f>videomakertemp!A6</f>
        <v>Videomaker - acréscimo em ano eleitoral por 7 meses</v>
      </c>
      <c r="C19" s="77">
        <f>videomakertemp!D149</f>
        <v>4823.3900000000003</v>
      </c>
      <c r="D19" s="75">
        <f>videomakertemp!D6</f>
        <v>1</v>
      </c>
      <c r="E19" s="77">
        <f>C19*D19</f>
        <v>4823.3900000000003</v>
      </c>
      <c r="F19" s="77">
        <f>E19*7</f>
        <v>33763.730000000003</v>
      </c>
    </row>
    <row r="20" spans="1:6" x14ac:dyDescent="0.2">
      <c r="D20" s="78">
        <f>SUM(D18:D19)</f>
        <v>2</v>
      </c>
      <c r="E20" s="79">
        <f t="shared" ref="E20" si="1">SUM(E18:E19)</f>
        <v>9140.9599999999991</v>
      </c>
      <c r="F20" s="79">
        <f t="shared" ref="F20" si="2">SUM(F18:F19)</f>
        <v>63986.720000000001</v>
      </c>
    </row>
    <row r="22" spans="1:6" x14ac:dyDescent="0.2">
      <c r="A22" s="59" t="s">
        <v>146</v>
      </c>
    </row>
    <row r="23" spans="1:6" ht="25.5" x14ac:dyDescent="0.2">
      <c r="A23" s="82" t="s">
        <v>138</v>
      </c>
      <c r="B23" s="83" t="s">
        <v>147</v>
      </c>
      <c r="C23" s="83"/>
      <c r="D23" s="83"/>
      <c r="E23" s="83"/>
      <c r="F23" s="60" t="s">
        <v>143</v>
      </c>
    </row>
    <row r="24" spans="1:6" x14ac:dyDescent="0.2">
      <c r="A24" s="75">
        <v>5</v>
      </c>
      <c r="B24" s="80" t="s">
        <v>148</v>
      </c>
      <c r="C24" s="80"/>
      <c r="D24" s="80"/>
      <c r="E24" s="80"/>
      <c r="F24" s="81">
        <f>horaextra!B27</f>
        <v>6269.2000000000007</v>
      </c>
    </row>
    <row r="26" spans="1:6" x14ac:dyDescent="0.2">
      <c r="A26" s="59" t="s">
        <v>149</v>
      </c>
    </row>
    <row r="27" spans="1:6" ht="25.5" x14ac:dyDescent="0.2">
      <c r="A27" s="82" t="s">
        <v>138</v>
      </c>
      <c r="B27" s="83" t="s">
        <v>147</v>
      </c>
      <c r="C27" s="83"/>
      <c r="D27" s="83"/>
      <c r="E27" s="83"/>
      <c r="F27" s="60" t="s">
        <v>143</v>
      </c>
    </row>
    <row r="28" spans="1:6" x14ac:dyDescent="0.2">
      <c r="A28" s="75">
        <v>6</v>
      </c>
      <c r="B28" s="80" t="s">
        <v>150</v>
      </c>
      <c r="C28" s="80"/>
      <c r="D28" s="80"/>
      <c r="E28" s="80"/>
      <c r="F28" s="81">
        <f>deslocamentos!C9</f>
        <v>12435</v>
      </c>
    </row>
    <row r="29" spans="1:6" x14ac:dyDescent="0.2">
      <c r="A29" s="75">
        <v>7</v>
      </c>
      <c r="B29" s="80" t="s">
        <v>151</v>
      </c>
      <c r="C29" s="80"/>
      <c r="D29" s="80"/>
      <c r="E29" s="80"/>
      <c r="F29" s="81">
        <f>deslocamentos!C14</f>
        <v>5461</v>
      </c>
    </row>
    <row r="31" spans="1:6" x14ac:dyDescent="0.2">
      <c r="A31" s="85" t="s">
        <v>152</v>
      </c>
      <c r="B31" s="86"/>
      <c r="C31" s="85" t="s">
        <v>116</v>
      </c>
      <c r="D31" s="87"/>
      <c r="E31" s="88" t="s">
        <v>156</v>
      </c>
      <c r="F31" s="89"/>
    </row>
    <row r="32" spans="1:6" x14ac:dyDescent="0.2">
      <c r="A32" s="36" t="s">
        <v>153</v>
      </c>
      <c r="B32" s="84">
        <f>F14</f>
        <v>115297.2</v>
      </c>
      <c r="C32" s="36" t="s">
        <v>153</v>
      </c>
      <c r="D32" s="37">
        <f>F14</f>
        <v>115297.2</v>
      </c>
      <c r="E32" s="66" t="s">
        <v>152</v>
      </c>
      <c r="F32" s="37">
        <f>B35</f>
        <v>133193.20000000001</v>
      </c>
    </row>
    <row r="33" spans="1:6" x14ac:dyDescent="0.2">
      <c r="A33" s="36" t="s">
        <v>126</v>
      </c>
      <c r="B33" s="84">
        <f>F28</f>
        <v>12435</v>
      </c>
      <c r="C33" s="36" t="s">
        <v>155</v>
      </c>
      <c r="D33" s="37">
        <f>F20</f>
        <v>63986.720000000001</v>
      </c>
      <c r="E33" s="66" t="s">
        <v>116</v>
      </c>
      <c r="F33" s="37">
        <f>D37</f>
        <v>203449.12</v>
      </c>
    </row>
    <row r="34" spans="1:6" x14ac:dyDescent="0.2">
      <c r="A34" s="36" t="s">
        <v>154</v>
      </c>
      <c r="B34" s="84">
        <f>F29</f>
        <v>5461</v>
      </c>
      <c r="C34" s="36" t="s">
        <v>106</v>
      </c>
      <c r="D34" s="37">
        <f>F24</f>
        <v>6269.2000000000007</v>
      </c>
      <c r="E34" s="93" t="s">
        <v>157</v>
      </c>
      <c r="F34" s="92">
        <f>SUM(F32:F33)</f>
        <v>336642.32</v>
      </c>
    </row>
    <row r="35" spans="1:6" x14ac:dyDescent="0.2">
      <c r="A35" s="90" t="s">
        <v>16</v>
      </c>
      <c r="B35" s="91">
        <f>SUM(B32:B34)</f>
        <v>133193.20000000001</v>
      </c>
      <c r="C35" s="36" t="s">
        <v>126</v>
      </c>
      <c r="D35" s="37">
        <f>F28</f>
        <v>12435</v>
      </c>
    </row>
    <row r="36" spans="1:6" x14ac:dyDescent="0.2">
      <c r="C36" s="36" t="s">
        <v>154</v>
      </c>
      <c r="D36" s="37">
        <f>F29</f>
        <v>5461</v>
      </c>
    </row>
    <row r="37" spans="1:6" x14ac:dyDescent="0.2">
      <c r="C37" s="90" t="s">
        <v>16</v>
      </c>
      <c r="D37" s="92">
        <f>SUM(D32:D36)</f>
        <v>203449.12</v>
      </c>
    </row>
  </sheetData>
  <mergeCells count="9">
    <mergeCell ref="E31:F31"/>
    <mergeCell ref="C31:D31"/>
    <mergeCell ref="A31:B31"/>
    <mergeCell ref="A8:F8"/>
    <mergeCell ref="B23:E23"/>
    <mergeCell ref="B27:E27"/>
    <mergeCell ref="B24:E24"/>
    <mergeCell ref="B28:E28"/>
    <mergeCell ref="B29:E29"/>
  </mergeCells>
  <pageMargins left="0.51181102362204722" right="0.51181102362204722" top="0.78740157480314965" bottom="0.78740157480314965" header="0.31496062992125984" footer="0.31496062992125984"/>
  <pageSetup paperSize="9" scale="97" orientation="portrait" r:id="rId1"/>
  <headerFooter>
    <oddFooter>&amp;L&amp;"Times New Roman,Normal"Estimativa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designer</vt:lpstr>
      <vt:lpstr>videomaker</vt:lpstr>
      <vt:lpstr>designertemp</vt:lpstr>
      <vt:lpstr>videomakertemp</vt:lpstr>
      <vt:lpstr>horaextra</vt:lpstr>
      <vt:lpstr>deslocamentos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2022-10-04T17:01:16Z</cp:lastPrinted>
  <dcterms:created xsi:type="dcterms:W3CDTF">2019-01-29T18:54:26Z</dcterms:created>
  <dcterms:modified xsi:type="dcterms:W3CDTF">2022-10-04T17:04:13Z</dcterms:modified>
</cp:coreProperties>
</file>