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4"/>
  </bookViews>
  <sheets>
    <sheet name="servente" sheetId="1" r:id="rId1"/>
    <sheet name="servente34dd" sheetId="2" r:id="rId2"/>
    <sheet name="servente53dd" sheetId="3" r:id="rId3"/>
    <sheet name="materiais" sheetId="5" r:id="rId4"/>
    <sheet name="total" sheetId="6" r:id="rId5"/>
  </sheets>
  <definedNames>
    <definedName name="_xlnm.Print_Titles" localSheetId="3">materiais!$1:$2</definedName>
  </definedNames>
  <calcPr calcId="145621"/>
</workbook>
</file>

<file path=xl/calcChain.xml><?xml version="1.0" encoding="utf-8"?>
<calcChain xmlns="http://schemas.openxmlformats.org/spreadsheetml/2006/main">
  <c r="D56" i="3" l="1"/>
  <c r="D56" i="2"/>
  <c r="D19" i="3" l="1"/>
  <c r="D19" i="2"/>
  <c r="D19" i="1"/>
  <c r="E17" i="6"/>
  <c r="F17" i="6" l="1"/>
  <c r="G43" i="5" l="1"/>
  <c r="G42" i="5"/>
  <c r="G8" i="5"/>
  <c r="G7" i="5"/>
  <c r="D56" i="1" l="1"/>
  <c r="D23" i="6" l="1"/>
  <c r="D22" i="6"/>
  <c r="B23" i="6"/>
  <c r="B22" i="6"/>
  <c r="D12" i="6"/>
  <c r="B12" i="6"/>
  <c r="F18" i="6" l="1"/>
  <c r="F34" i="6" s="1"/>
  <c r="E87" i="5"/>
  <c r="G87" i="5" s="1"/>
  <c r="E70" i="5"/>
  <c r="E35" i="5"/>
  <c r="G86" i="5"/>
  <c r="G69" i="5"/>
  <c r="G34" i="5"/>
  <c r="G85" i="5"/>
  <c r="G84" i="5"/>
  <c r="G83" i="5"/>
  <c r="G82" i="5"/>
  <c r="G81" i="5"/>
  <c r="G80" i="5"/>
  <c r="G79" i="5"/>
  <c r="G78" i="5"/>
  <c r="G77" i="5"/>
  <c r="G76" i="5"/>
  <c r="G75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1" i="5"/>
  <c r="G40" i="5"/>
  <c r="G6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5" i="5"/>
  <c r="C34" i="6" l="1"/>
  <c r="G35" i="5"/>
  <c r="G70" i="5"/>
  <c r="G71" i="5" s="1"/>
  <c r="G72" i="5" s="1"/>
  <c r="F91" i="5" s="1"/>
  <c r="G36" i="5"/>
  <c r="G37" i="5" s="1"/>
  <c r="G88" i="5"/>
  <c r="G89" i="5" s="1"/>
  <c r="C95" i="3"/>
  <c r="C94" i="3"/>
  <c r="C93" i="3"/>
  <c r="C92" i="3"/>
  <c r="C91" i="3"/>
  <c r="C81" i="3"/>
  <c r="C80" i="3"/>
  <c r="C79" i="3"/>
  <c r="C78" i="3"/>
  <c r="C76" i="3"/>
  <c r="C95" i="2"/>
  <c r="C94" i="2"/>
  <c r="C93" i="2"/>
  <c r="C91" i="2"/>
  <c r="C81" i="2"/>
  <c r="C79" i="2"/>
  <c r="C78" i="2"/>
  <c r="C76" i="2"/>
  <c r="G92" i="5" l="1"/>
  <c r="D92" i="5"/>
  <c r="C91" i="5"/>
  <c r="D91" i="5" s="1"/>
  <c r="D93" i="5" s="1"/>
  <c r="F27" i="6" s="1"/>
  <c r="E91" i="5"/>
  <c r="G91" i="5" s="1"/>
  <c r="G93" i="5" s="1"/>
  <c r="F28" i="6" s="1"/>
  <c r="F36" i="6" s="1"/>
  <c r="D122" i="3"/>
  <c r="D147" i="3" s="1"/>
  <c r="D122" i="2"/>
  <c r="D147" i="2" s="1"/>
  <c r="D122" i="1"/>
  <c r="C130" i="3"/>
  <c r="C137" i="3" s="1"/>
  <c r="D61" i="3"/>
  <c r="D69" i="3" s="1"/>
  <c r="C50" i="3"/>
  <c r="C36" i="3"/>
  <c r="C35" i="3"/>
  <c r="C34" i="3"/>
  <c r="D26" i="3"/>
  <c r="C137" i="2"/>
  <c r="C130" i="2"/>
  <c r="C92" i="2"/>
  <c r="D61" i="2"/>
  <c r="D69" i="2" s="1"/>
  <c r="C50" i="2"/>
  <c r="C80" i="2" s="1"/>
  <c r="C36" i="2"/>
  <c r="C35" i="2"/>
  <c r="C34" i="2"/>
  <c r="D26" i="2"/>
  <c r="D34" i="2" s="1"/>
  <c r="D143" i="3" l="1"/>
  <c r="D81" i="3"/>
  <c r="D78" i="3"/>
  <c r="D79" i="3"/>
  <c r="D80" i="3" s="1"/>
  <c r="D76" i="3"/>
  <c r="C35" i="6"/>
  <c r="F29" i="6"/>
  <c r="D34" i="3"/>
  <c r="D35" i="3"/>
  <c r="D76" i="2"/>
  <c r="D78" i="2"/>
  <c r="D81" i="2"/>
  <c r="D35" i="2"/>
  <c r="D36" i="2" s="1"/>
  <c r="D143" i="2"/>
  <c r="D79" i="2"/>
  <c r="D80" i="2" s="1"/>
  <c r="D61" i="1"/>
  <c r="D77" i="3" l="1"/>
  <c r="D82" i="3" s="1"/>
  <c r="D145" i="3" s="1"/>
  <c r="D36" i="3"/>
  <c r="D43" i="2"/>
  <c r="D49" i="2"/>
  <c r="D67" i="2"/>
  <c r="D46" i="2"/>
  <c r="D42" i="2"/>
  <c r="D48" i="2"/>
  <c r="D47" i="2"/>
  <c r="D45" i="2"/>
  <c r="D44" i="2"/>
  <c r="D77" i="2"/>
  <c r="D82" i="2" s="1"/>
  <c r="D145" i="2" s="1"/>
  <c r="C81" i="1"/>
  <c r="C78" i="1"/>
  <c r="D46" i="3" l="1"/>
  <c r="D67" i="3"/>
  <c r="D43" i="3"/>
  <c r="D47" i="3"/>
  <c r="D49" i="3"/>
  <c r="D45" i="3"/>
  <c r="D44" i="3"/>
  <c r="D42" i="3"/>
  <c r="D48" i="3"/>
  <c r="D50" i="2"/>
  <c r="D68" i="2" s="1"/>
  <c r="D70" i="2" s="1"/>
  <c r="C130" i="1"/>
  <c r="C137" i="1"/>
  <c r="C95" i="1"/>
  <c r="C94" i="1"/>
  <c r="C93" i="1"/>
  <c r="C92" i="1"/>
  <c r="C91" i="1"/>
  <c r="C79" i="1"/>
  <c r="C76" i="1"/>
  <c r="C35" i="1"/>
  <c r="C34" i="1"/>
  <c r="C36" i="1" s="1"/>
  <c r="D50" i="3" l="1"/>
  <c r="D68" i="3" s="1"/>
  <c r="D70" i="3"/>
  <c r="D144" i="2"/>
  <c r="D103" i="2"/>
  <c r="D104" i="2" s="1"/>
  <c r="D111" i="2" s="1"/>
  <c r="D96" i="2"/>
  <c r="D92" i="2"/>
  <c r="D95" i="2"/>
  <c r="D91" i="2"/>
  <c r="D93" i="2"/>
  <c r="D94" i="2"/>
  <c r="D147" i="1"/>
  <c r="D69" i="1"/>
  <c r="C50" i="1"/>
  <c r="C80" i="1" s="1"/>
  <c r="D26" i="1"/>
  <c r="D93" i="3" l="1"/>
  <c r="D94" i="3"/>
  <c r="D96" i="3"/>
  <c r="D95" i="3"/>
  <c r="D92" i="3"/>
  <c r="D91" i="3"/>
  <c r="D144" i="3"/>
  <c r="D103" i="3"/>
  <c r="D104" i="3" s="1"/>
  <c r="D111" i="3" s="1"/>
  <c r="D97" i="2"/>
  <c r="D110" i="2" s="1"/>
  <c r="D112" i="2" s="1"/>
  <c r="D146" i="2" s="1"/>
  <c r="D148" i="2" s="1"/>
  <c r="D78" i="1"/>
  <c r="D76" i="1"/>
  <c r="D77" i="1" s="1"/>
  <c r="D79" i="1"/>
  <c r="D80" i="1" s="1"/>
  <c r="D143" i="1"/>
  <c r="D35" i="1"/>
  <c r="D81" i="1"/>
  <c r="D34" i="1"/>
  <c r="D97" i="3" l="1"/>
  <c r="D110" i="3" s="1"/>
  <c r="D112" i="3" s="1"/>
  <c r="D146" i="3" s="1"/>
  <c r="D148" i="3" s="1"/>
  <c r="D128" i="2"/>
  <c r="D36" i="1"/>
  <c r="D82" i="1"/>
  <c r="D128" i="3" l="1"/>
  <c r="D129" i="3" s="1"/>
  <c r="D130" i="3" s="1"/>
  <c r="D129" i="2"/>
  <c r="D130" i="2" s="1"/>
  <c r="D67" i="1"/>
  <c r="D45" i="1"/>
  <c r="D43" i="1"/>
  <c r="D46" i="1"/>
  <c r="D49" i="1"/>
  <c r="D44" i="1"/>
  <c r="D47" i="1"/>
  <c r="D42" i="1"/>
  <c r="D48" i="1"/>
  <c r="D145" i="1"/>
  <c r="D137" i="3" l="1"/>
  <c r="D149" i="3" s="1"/>
  <c r="D150" i="3" s="1"/>
  <c r="C23" i="6" s="1"/>
  <c r="E23" i="6" s="1"/>
  <c r="F23" i="6" s="1"/>
  <c r="D137" i="2"/>
  <c r="D149" i="2" s="1"/>
  <c r="D150" i="2" s="1"/>
  <c r="C22" i="6" s="1"/>
  <c r="E22" i="6" s="1"/>
  <c r="F22" i="6" s="1"/>
  <c r="D50" i="1"/>
  <c r="D68" i="1" s="1"/>
  <c r="D70" i="1" s="1"/>
  <c r="F24" i="6" l="1"/>
  <c r="F35" i="6" s="1"/>
  <c r="D133" i="3"/>
  <c r="D132" i="3"/>
  <c r="D131" i="3"/>
  <c r="D136" i="3"/>
  <c r="D135" i="3"/>
  <c r="D134" i="3"/>
  <c r="D134" i="2"/>
  <c r="D133" i="2"/>
  <c r="D132" i="2"/>
  <c r="D131" i="2"/>
  <c r="D136" i="2"/>
  <c r="D135" i="2"/>
  <c r="D144" i="1"/>
  <c r="D103" i="1"/>
  <c r="D104" i="1" s="1"/>
  <c r="D111" i="1" s="1"/>
  <c r="D93" i="1"/>
  <c r="D94" i="1"/>
  <c r="D95" i="1"/>
  <c r="D92" i="1"/>
  <c r="D96" i="1"/>
  <c r="D91" i="1"/>
  <c r="D97" i="1" l="1"/>
  <c r="D110" i="1" s="1"/>
  <c r="D112" i="1" s="1"/>
  <c r="D146" i="1" s="1"/>
  <c r="D148" i="1" s="1"/>
  <c r="D128" i="1" s="1"/>
  <c r="D129" i="1" s="1"/>
  <c r="D130" i="1" s="1"/>
  <c r="D137" i="1" l="1"/>
  <c r="D149" i="1" s="1"/>
  <c r="D150" i="1" s="1"/>
  <c r="D136" i="1" l="1"/>
  <c r="C12" i="6"/>
  <c r="E12" i="6" s="1"/>
  <c r="F12" i="6" s="1"/>
  <c r="F13" i="6" s="1"/>
  <c r="D132" i="1"/>
  <c r="D133" i="1"/>
  <c r="D131" i="1"/>
  <c r="D134" i="1"/>
  <c r="D135" i="1"/>
  <c r="C33" i="6" l="1"/>
  <c r="C37" i="6" s="1"/>
  <c r="F33" i="6"/>
  <c r="F37" i="6" s="1"/>
  <c r="F39" i="6" l="1"/>
</calcChain>
</file>

<file path=xl/sharedStrings.xml><?xml version="1.0" encoding="utf-8"?>
<sst xmlns="http://schemas.openxmlformats.org/spreadsheetml/2006/main" count="778" uniqueCount="207">
  <si>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</si>
  <si>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</si>
  <si>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</si>
  <si>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</si>
  <si>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</si>
  <si>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</si>
  <si>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</si>
  <si>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</si>
  <si>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</si>
  <si>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</si>
  <si>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</si>
  <si>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</si>
  <si>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</si>
  <si>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</si>
  <si>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</si>
  <si>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</si>
  <si>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</si>
  <si>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</si>
  <si>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</si>
  <si>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</si>
  <si>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</si>
  <si>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</si>
  <si>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</si>
  <si>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</si>
  <si>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</si>
  <si>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</si>
  <si>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</si>
  <si>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</si>
  <si>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</si>
  <si>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</si>
  <si>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</si>
  <si>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</si>
  <si>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</si>
  <si>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</si>
  <si>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</si>
  <si>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</si>
  <si>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</si>
  <si>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</si>
  <si>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</si>
  <si>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</si>
  <si>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</si>
  <si>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</si>
  <si>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</si>
  <si>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</si>
  <si>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</si>
  <si>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</si>
  <si>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</si>
  <si>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</si>
  <si>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</si>
  <si>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</si>
  <si>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</si>
  <si>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</si>
  <si>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</si>
  <si>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</si>
  <si>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</si>
  <si>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</si>
  <si>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</si>
  <si>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</si>
  <si>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</si>
  <si>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</si>
  <si>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</si>
  <si>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</si>
  <si>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</si>
  <si>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</si>
  <si>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</si>
  <si>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</si>
  <si>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</si>
  <si>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</si>
  <si>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</si>
  <si>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</si>
  <si>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</si>
  <si>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</si>
  <si>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</si>
  <si>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</si>
  <si>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</si>
  <si>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</si>
  <si>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</si>
  <si>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</si>
  <si>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</si>
  <si>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</si>
  <si>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</si>
  <si>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</si>
  <si>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</si>
  <si>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</si>
  <si>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</si>
  <si>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</si>
  <si>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</si>
  <si>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</si>
  <si>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</si>
  <si>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</si>
  <si>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</si>
  <si>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</si>
  <si>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</si>
  <si>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</si>
  <si>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</si>
  <si>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</si>
  <si>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</si>
  <si>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</si>
  <si>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</si>
  <si>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</si>
  <si>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Servente de Limpeza</t>
  </si>
  <si>
    <t>posto de serviço</t>
  </si>
  <si>
    <t>5143-20</t>
  </si>
  <si>
    <t>Assistência Médica</t>
  </si>
  <si>
    <t>Assistência Odontológica</t>
  </si>
  <si>
    <t>Seguro de Vida</t>
  </si>
  <si>
    <t>EPIs</t>
  </si>
  <si>
    <t>custos indiretos, lucro e tributos</t>
  </si>
  <si>
    <t>Ano Eleitoral</t>
  </si>
  <si>
    <t>TOTAL</t>
  </si>
  <si>
    <t>Item</t>
  </si>
  <si>
    <t>Descrição</t>
  </si>
  <si>
    <t>Unidade de Fornecimento</t>
  </si>
  <si>
    <t>Quantidade</t>
  </si>
  <si>
    <t>Valor Unitário</t>
  </si>
  <si>
    <t>Valor Total do Item</t>
  </si>
  <si>
    <t>Água sanitária</t>
  </si>
  <si>
    <t>litro</t>
  </si>
  <si>
    <t>Álcool (uso doméstico)</t>
  </si>
  <si>
    <t>Desinfetante concentrado</t>
  </si>
  <si>
    <t>Desodorizante para sanitário (desodor)</t>
  </si>
  <si>
    <t>unidade</t>
  </si>
  <si>
    <t>Detergente líquido para lavar louças</t>
  </si>
  <si>
    <t>Esponja dupla face</t>
  </si>
  <si>
    <t>Limpa vidros</t>
  </si>
  <si>
    <t>Estopa para polimento</t>
  </si>
  <si>
    <t>pacote</t>
  </si>
  <si>
    <t>Flanela</t>
  </si>
  <si>
    <t>Inseticida spray (sem CFC – uso doméstico)</t>
  </si>
  <si>
    <t>Palha de aço</t>
  </si>
  <si>
    <t>Pano para chão</t>
  </si>
  <si>
    <t>Papel higiênico, rolo de 30m cada, picotado, resistente, branco, folha dupla, absorvente, neutro, sem perfume, 100% fibras celulósicas, não perecíveis</t>
  </si>
  <si>
    <t>rolo</t>
  </si>
  <si>
    <t>Papel toalha de luxo (fardo com 1.250 folhas cintadas de 250, branco, liso, macio, absorvente, dobrado para uso em porta-papel, formato 23x27cm, não perecível</t>
  </si>
  <si>
    <t>fardo</t>
  </si>
  <si>
    <t>Polidor de metais</t>
  </si>
  <si>
    <t>Purificador de ar spray (sem CFC)</t>
  </si>
  <si>
    <t>Removedor de manchas</t>
  </si>
  <si>
    <t>Sabão em pó</t>
  </si>
  <si>
    <t>quilograma</t>
  </si>
  <si>
    <t>Sabonete líquido concentrado</t>
  </si>
  <si>
    <t>Saco plástico preto resistente para lixo de 100 litros</t>
  </si>
  <si>
    <t>Saco plástico preto resistente para lixo de 200 litros</t>
  </si>
  <si>
    <t>Saco plástico preto resistente para lixo de 60 litros</t>
  </si>
  <si>
    <t>Saco plástico preto resistente para lixo de 40 litros</t>
  </si>
  <si>
    <t>Saponáceo</t>
  </si>
  <si>
    <t>Soda cáustica</t>
  </si>
  <si>
    <t>Tela desodorizante para mictório</t>
  </si>
  <si>
    <t>Par de luvas de borracha própria para atividades insalubres</t>
  </si>
  <si>
    <t>total mensal por servente</t>
  </si>
  <si>
    <t>total para</t>
  </si>
  <si>
    <t>serventes</t>
  </si>
  <si>
    <t>custo total</t>
  </si>
  <si>
    <t>Desentupidor de pia</t>
  </si>
  <si>
    <t>Espanador</t>
  </si>
  <si>
    <t>Escova com cerdas de nylon</t>
  </si>
  <si>
    <t>Balde plástico com alça (capacidade 10 litros)</t>
  </si>
  <si>
    <t>Balde plástico com alça (capacidade 20 litros)</t>
  </si>
  <si>
    <t>Rodo (cabo e base já fixados) 60cm</t>
  </si>
  <si>
    <t>Pá para lixo com cabo longo</t>
  </si>
  <si>
    <t>Vassoura de pelo sintético (com o cabo e a base já fixados)</t>
  </si>
  <si>
    <t>Vassoura de piaçava grande (com o cabo e a base já fixados) 60cm</t>
  </si>
  <si>
    <t>Vassoura de piaçava pequena (pia)</t>
  </si>
  <si>
    <t>Vassoura gari</t>
  </si>
  <si>
    <t>total anual por servente</t>
  </si>
  <si>
    <t>CUSTO TOTAL COM MATERIAIS</t>
  </si>
  <si>
    <t>valor mensal ano não eleitoral</t>
  </si>
  <si>
    <t>valor ano não eleitoral</t>
  </si>
  <si>
    <t>valor ano eleitoral</t>
  </si>
  <si>
    <t>Materiais - consumo/reposição mensal (exceto maio, agosto, setembro, outubro e novembro de anos eleitorais)</t>
  </si>
  <si>
    <t>Materiais - consumo/reposição mensal (maio, agosto, setembro, outubro e novembro de anos eleitorais)</t>
  </si>
  <si>
    <t>Materiais - consumo/reposição anual</t>
  </si>
  <si>
    <t>4.3.2.1.2 Quantitativo de Material de Limpeza</t>
  </si>
  <si>
    <r>
      <t xml:space="preserve">valor mensal </t>
    </r>
    <r>
      <rPr>
        <b/>
        <u/>
        <sz val="10"/>
        <color theme="1"/>
        <rFont val="Times New Roman"/>
        <family val="1"/>
      </rPr>
      <t>exceto</t>
    </r>
    <r>
      <rPr>
        <b/>
        <sz val="10"/>
        <color theme="1"/>
        <rFont val="Times New Roman"/>
        <family val="1"/>
      </rPr>
      <t xml:space="preserve"> mai, ago, set, out, nov ano eleitoral</t>
    </r>
  </si>
  <si>
    <r>
      <t xml:space="preserve">valor mensal </t>
    </r>
    <r>
      <rPr>
        <b/>
        <u/>
        <sz val="10"/>
        <color theme="1"/>
        <rFont val="Times New Roman"/>
        <family val="1"/>
      </rPr>
      <t>apenas</t>
    </r>
    <r>
      <rPr>
        <b/>
        <sz val="10"/>
        <color theme="1"/>
        <rFont val="Times New Roman"/>
        <family val="1"/>
      </rPr>
      <t xml:space="preserve"> mai, ago, set, out, nov ano eleitoral</t>
    </r>
  </si>
  <si>
    <t>Quadro Resumo - Valor Total Estimado - 24 meses</t>
  </si>
  <si>
    <t>item</t>
  </si>
  <si>
    <t>quantidade de postos</t>
  </si>
  <si>
    <t>valor mensal</t>
  </si>
  <si>
    <t>valor anual</t>
  </si>
  <si>
    <t>Ano Não Eleitoral</t>
  </si>
  <si>
    <t>Postos Regulares</t>
  </si>
  <si>
    <t>Serviços Eventuais</t>
  </si>
  <si>
    <t>valor por posto</t>
  </si>
  <si>
    <t>Postos Regulares - 1 profissional por posto</t>
  </si>
  <si>
    <t>descrição</t>
  </si>
  <si>
    <t>Acréscimo de Postos em Ano Eleitoral - 1 profissional por posto</t>
  </si>
  <si>
    <t>Materiais em Ano Não Eleitoral</t>
  </si>
  <si>
    <t>Materiais em Ano Eleitoral</t>
  </si>
  <si>
    <t>Valor Total Estimado</t>
  </si>
  <si>
    <t>Acréscimo de Postos</t>
  </si>
  <si>
    <t>Total Estimado da Contratação</t>
  </si>
  <si>
    <t xml:space="preserve">A + B = </t>
  </si>
  <si>
    <t xml:space="preserve">Total A = </t>
  </si>
  <si>
    <t xml:space="preserve">Total B = </t>
  </si>
  <si>
    <t>Álcool líquido 70%</t>
  </si>
  <si>
    <t>Álcool em gel 70%</t>
  </si>
  <si>
    <t>itens 1 a 29 - total estimado</t>
  </si>
  <si>
    <t>itens 30 a 40 - total estimado</t>
  </si>
  <si>
    <t>Jardinagem</t>
  </si>
  <si>
    <t>valor unitário</t>
  </si>
  <si>
    <t>unidade de medida</t>
  </si>
  <si>
    <t>metro quadrado</t>
  </si>
  <si>
    <t>Servente de Limpeza - acréscimo temporário por 53 dias</t>
  </si>
  <si>
    <r>
      <t>quantidade</t>
    </r>
    <r>
      <rPr>
        <b/>
        <vertAlign val="superscript"/>
        <sz val="10"/>
        <color rgb="FFFF0000"/>
        <rFont val="Times New Roman"/>
        <family val="1"/>
      </rPr>
      <t>1</t>
    </r>
  </si>
  <si>
    <r>
      <rPr>
        <b/>
        <vertAlign val="superscript"/>
        <sz val="10"/>
        <color rgb="FFFF0000"/>
        <rFont val="Times New Roman"/>
        <family val="1"/>
      </rPr>
      <t>1</t>
    </r>
    <r>
      <rPr>
        <sz val="8"/>
        <color theme="1"/>
        <rFont val="Times New Roman"/>
        <family val="1"/>
      </rPr>
      <t>considerada a área indicada no tópico 3.3 vezes 4 (periodicidade de 4 vezes ao ano)</t>
    </r>
  </si>
  <si>
    <t>Servente de Limpeza - acréscimo temporário por 34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</si>
</sst>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8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4" fillId="0" borderId="6" xfId="0" applyFont="1" applyBorder="1"/>
    <xf numFmtId="0" fontId="4" fillId="0" borderId="7" xfId="0" applyFont="1" applyBorder="1"/>
    <xf numFmtId="10" fontId="4" fillId="0" borderId="7" xfId="0" applyNumberFormat="1" applyFont="1" applyBorder="1"/>
    <xf numFmtId="0" fontId="4" fillId="6" borderId="7" xfId="0" applyFont="1" applyFill="1" applyBorder="1"/>
    <xf numFmtId="0" fontId="4" fillId="0" borderId="0" xfId="0" applyFont="1" applyAlignme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3" fontId="4" fillId="0" borderId="5" xfId="10" applyFont="1" applyBorder="1" applyAlignment="1"/>
    <xf numFmtId="0" fontId="4" fillId="0" borderId="5" xfId="0" applyFont="1" applyBorder="1"/>
    <xf numFmtId="43" fontId="4" fillId="0" borderId="5" xfId="10" applyFont="1" applyBorder="1"/>
    <xf numFmtId="43" fontId="4" fillId="0" borderId="7" xfId="10" applyFont="1" applyBorder="1"/>
    <xf numFmtId="43" fontId="4" fillId="0" borderId="8" xfId="10" applyFont="1" applyBorder="1"/>
    <xf numFmtId="43" fontId="5" fillId="0" borderId="8" xfId="10" applyFont="1" applyBorder="1"/>
    <xf numFmtId="0" fontId="4" fillId="0" borderId="6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7" borderId="5" xfId="0" applyFont="1" applyFill="1" applyBorder="1" applyAlignment="1">
      <alignment horizontal="center" vertical="center" wrapText="1"/>
    </xf>
    <xf numFmtId="0" fontId="4" fillId="6" borderId="6" xfId="0" applyFont="1" applyFill="1" applyBorder="1"/>
    <xf numFmtId="43" fontId="4" fillId="6" borderId="7" xfId="10" applyFont="1" applyFill="1" applyBorder="1"/>
    <xf numFmtId="43" fontId="4" fillId="6" borderId="8" xfId="10" applyFont="1" applyFill="1" applyBorder="1"/>
    <xf numFmtId="0" fontId="5" fillId="7" borderId="6" xfId="0" applyFont="1" applyFill="1" applyBorder="1"/>
    <xf numFmtId="0" fontId="5" fillId="7" borderId="7" xfId="0" applyFont="1" applyFill="1" applyBorder="1"/>
    <xf numFmtId="43" fontId="5" fillId="7" borderId="7" xfId="10" applyFont="1" applyFill="1" applyBorder="1"/>
    <xf numFmtId="43" fontId="5" fillId="7" borderId="8" xfId="10" applyFont="1" applyFill="1" applyBorder="1"/>
    <xf numFmtId="43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3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7" borderId="6" xfId="0" applyFont="1" applyFill="1" applyBorder="1" applyAlignment="1">
      <alignment vertical="center"/>
    </xf>
    <xf numFmtId="0" fontId="5" fillId="7" borderId="7" xfId="0" applyFont="1" applyFill="1" applyBorder="1" applyAlignment="1">
      <alignment horizontal="right" vertical="center"/>
    </xf>
    <xf numFmtId="43" fontId="5" fillId="7" borderId="8" xfId="0" applyNumberFormat="1" applyFont="1" applyFill="1" applyBorder="1" applyAlignment="1">
      <alignment vertical="center"/>
    </xf>
    <xf numFmtId="0" fontId="5" fillId="7" borderId="6" xfId="0" applyFont="1" applyFill="1" applyBorder="1" applyAlignment="1">
      <alignment vertical="center"/>
    </xf>
    <xf numFmtId="0" fontId="5" fillId="7" borderId="7" xfId="0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43" fontId="4" fillId="0" borderId="5" xfId="0" applyNumberFormat="1" applyFont="1" applyBorder="1" applyAlignment="1">
      <alignment vertical="center"/>
    </xf>
    <xf numFmtId="43" fontId="5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43" fontId="5" fillId="0" borderId="12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/>
    <xf numFmtId="0" fontId="4" fillId="0" borderId="5" xfId="0" applyFont="1" applyBorder="1"/>
    <xf numFmtId="4" fontId="4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/>
    <xf numFmtId="0" fontId="4" fillId="0" borderId="5" xfId="0" applyFont="1" applyBorder="1"/>
    <xf numFmtId="0" fontId="5" fillId="0" borderId="0" xfId="0" applyFont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1209336</xdr:colOff>
      <xdr:row>0</xdr:row>
      <xdr:rowOff>0</xdr:rowOff>
    </xdr:from>
    <xdr:to>
      <xdr:col>4</xdr:col>
      <xdr:colOff>532647</xdr:colOff>
      <xdr:row>5</xdr:row>
      <xdr:rowOff>125178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336" y="0"/>
          <a:ext cx="2470702" cy="953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zoomScale="115" zoomScaleNormal="115" workbookViewId="0">
      <selection activeCell="D19" sqref="D1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05" t="s">
        <v>0</v>
      </c>
      <c r="B1" s="105"/>
      <c r="C1" s="105"/>
      <c r="D1" s="105"/>
    </row>
    <row r="2" spans="1:4" ht="15.75" x14ac:dyDescent="0.25">
      <c r="A2" s="26"/>
      <c r="B2" s="26"/>
      <c r="C2" s="26"/>
      <c r="D2" s="26"/>
    </row>
    <row r="3" spans="1:4" x14ac:dyDescent="0.2">
      <c r="A3" s="95" t="s">
        <v>90</v>
      </c>
      <c r="B3" s="95"/>
      <c r="C3" s="95"/>
      <c r="D3" s="95"/>
    </row>
    <row r="4" spans="1:4" x14ac:dyDescent="0.2">
      <c r="A4" s="2"/>
      <c r="B4" s="2"/>
      <c r="C4" s="2"/>
      <c r="D4" s="2"/>
    </row>
    <row r="5" spans="1:4" ht="38.25" x14ac:dyDescent="0.2">
      <c r="A5" s="107" t="s">
        <v>91</v>
      </c>
      <c r="B5" s="107"/>
      <c r="C5" s="7" t="s">
        <v>92</v>
      </c>
      <c r="D5" s="27" t="s">
        <v>93</v>
      </c>
    </row>
    <row r="6" spans="1:4" x14ac:dyDescent="0.2">
      <c r="A6" s="90" t="s">
        <v>100</v>
      </c>
      <c r="B6" s="90"/>
      <c r="C6" s="34" t="s">
        <v>101</v>
      </c>
      <c r="D6" s="34">
        <v>115</v>
      </c>
    </row>
    <row r="8" spans="1:4" x14ac:dyDescent="0.2">
      <c r="A8" s="95" t="s">
        <v>74</v>
      </c>
      <c r="B8" s="95"/>
      <c r="C8" s="95"/>
      <c r="D8" s="95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91" t="s">
        <v>100</v>
      </c>
      <c r="D10" s="92"/>
    </row>
    <row r="11" spans="1:4" x14ac:dyDescent="0.2">
      <c r="A11" s="5">
        <v>2</v>
      </c>
      <c r="B11" s="5" t="s">
        <v>94</v>
      </c>
      <c r="C11" s="91" t="s">
        <v>102</v>
      </c>
      <c r="D11" s="92"/>
    </row>
    <row r="12" spans="1:4" x14ac:dyDescent="0.2">
      <c r="A12" s="5">
        <v>3</v>
      </c>
      <c r="B12" s="5" t="s">
        <v>76</v>
      </c>
      <c r="C12" s="91">
        <v>1321.11</v>
      </c>
      <c r="D12" s="92"/>
    </row>
    <row r="13" spans="1:4" x14ac:dyDescent="0.2">
      <c r="A13" s="5">
        <v>4</v>
      </c>
      <c r="B13" s="5" t="s">
        <v>77</v>
      </c>
      <c r="C13" s="91"/>
      <c r="D13" s="92"/>
    </row>
    <row r="14" spans="1:4" x14ac:dyDescent="0.2">
      <c r="A14" s="5">
        <v>5</v>
      </c>
      <c r="B14" s="5" t="s">
        <v>78</v>
      </c>
      <c r="C14" s="91"/>
      <c r="D14" s="92"/>
    </row>
    <row r="16" spans="1:4" x14ac:dyDescent="0.2">
      <c r="A16" s="95" t="s">
        <v>1</v>
      </c>
      <c r="B16" s="95"/>
      <c r="C16" s="95"/>
      <c r="D16" s="95"/>
    </row>
    <row r="18" spans="1:4" x14ac:dyDescent="0.2">
      <c r="A18" s="6">
        <v>1</v>
      </c>
      <c r="B18" s="93" t="s">
        <v>2</v>
      </c>
      <c r="C18" s="93"/>
      <c r="D18" s="6" t="s">
        <v>3</v>
      </c>
    </row>
    <row r="19" spans="1:4" x14ac:dyDescent="0.2">
      <c r="A19" s="7" t="s">
        <v>4</v>
      </c>
      <c r="B19" s="94" t="s">
        <v>5</v>
      </c>
      <c r="C19" s="94"/>
      <c r="D19" s="13">
        <f>C12*(25/44)</f>
        <v>750.63068181818187</v>
      </c>
    </row>
    <row r="20" spans="1:4" x14ac:dyDescent="0.2">
      <c r="A20" s="7" t="s">
        <v>6</v>
      </c>
      <c r="B20" s="94" t="s">
        <v>7</v>
      </c>
      <c r="C20" s="94"/>
      <c r="D20" s="13"/>
    </row>
    <row r="21" spans="1:4" x14ac:dyDescent="0.2">
      <c r="A21" s="7" t="s">
        <v>8</v>
      </c>
      <c r="B21" s="94" t="s">
        <v>9</v>
      </c>
      <c r="C21" s="94"/>
      <c r="D21" s="13"/>
    </row>
    <row r="22" spans="1:4" x14ac:dyDescent="0.2">
      <c r="A22" s="7" t="s">
        <v>10</v>
      </c>
      <c r="B22" s="94" t="s">
        <v>11</v>
      </c>
      <c r="C22" s="94"/>
      <c r="D22" s="13"/>
    </row>
    <row r="23" spans="1:4" x14ac:dyDescent="0.2">
      <c r="A23" s="7" t="s">
        <v>12</v>
      </c>
      <c r="B23" s="94" t="s">
        <v>13</v>
      </c>
      <c r="C23" s="94"/>
      <c r="D23" s="13"/>
    </row>
    <row r="24" spans="1:4" x14ac:dyDescent="0.2">
      <c r="A24" s="7"/>
      <c r="B24" s="94"/>
      <c r="C24" s="94"/>
      <c r="D24" s="13"/>
    </row>
    <row r="25" spans="1:4" x14ac:dyDescent="0.2">
      <c r="A25" s="7" t="s">
        <v>14</v>
      </c>
      <c r="B25" s="94" t="s">
        <v>15</v>
      </c>
      <c r="C25" s="94"/>
      <c r="D25" s="13"/>
    </row>
    <row r="26" spans="1:4" x14ac:dyDescent="0.2">
      <c r="A26" s="93" t="s">
        <v>16</v>
      </c>
      <c r="B26" s="93"/>
      <c r="C26" s="93"/>
      <c r="D26" s="20">
        <f>SUM(D19:D25)</f>
        <v>750.63068181818187</v>
      </c>
    </row>
    <row r="29" spans="1:4" x14ac:dyDescent="0.2">
      <c r="A29" s="96" t="s">
        <v>17</v>
      </c>
      <c r="B29" s="96"/>
      <c r="C29" s="96"/>
      <c r="D29" s="96"/>
    </row>
    <row r="30" spans="1:4" x14ac:dyDescent="0.2">
      <c r="A30" s="3"/>
    </row>
    <row r="31" spans="1:4" x14ac:dyDescent="0.2">
      <c r="A31" s="103" t="s">
        <v>18</v>
      </c>
      <c r="B31" s="103"/>
      <c r="C31" s="103"/>
      <c r="D31" s="103"/>
    </row>
    <row r="33" spans="1:4" x14ac:dyDescent="0.2">
      <c r="A33" s="6" t="s">
        <v>19</v>
      </c>
      <c r="B33" s="93" t="s">
        <v>20</v>
      </c>
      <c r="C33" s="93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62.52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83.39</v>
      </c>
    </row>
    <row r="36" spans="1:4" x14ac:dyDescent="0.2">
      <c r="A36" s="93" t="s">
        <v>16</v>
      </c>
      <c r="B36" s="93"/>
      <c r="C36" s="28">
        <f>SUM(C34:C35)</f>
        <v>0.19440000000000002</v>
      </c>
      <c r="D36" s="19">
        <f>SUM(D34:D35)</f>
        <v>145.91</v>
      </c>
    </row>
    <row r="39" spans="1:4" x14ac:dyDescent="0.2">
      <c r="A39" s="106" t="s">
        <v>23</v>
      </c>
      <c r="B39" s="106"/>
      <c r="C39" s="106"/>
      <c r="D39" s="106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179.3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22.41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26.89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13.44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8.9600000000000009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5.37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1.79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71.72</v>
      </c>
    </row>
    <row r="50" spans="1:4" x14ac:dyDescent="0.2">
      <c r="A50" s="93" t="s">
        <v>37</v>
      </c>
      <c r="B50" s="93"/>
      <c r="C50" s="15">
        <f>SUM(C42:C49)</f>
        <v>0.36800000000000005</v>
      </c>
      <c r="D50" s="19">
        <f>SUM(D42:D49)</f>
        <v>329.88</v>
      </c>
    </row>
    <row r="53" spans="1:4" x14ac:dyDescent="0.2">
      <c r="A53" s="103" t="s">
        <v>38</v>
      </c>
      <c r="B53" s="103"/>
      <c r="C53" s="103"/>
      <c r="D53" s="103"/>
    </row>
    <row r="55" spans="1:4" x14ac:dyDescent="0.2">
      <c r="A55" s="6" t="s">
        <v>39</v>
      </c>
      <c r="B55" s="102" t="s">
        <v>40</v>
      </c>
      <c r="C55" s="102"/>
      <c r="D55" s="6" t="s">
        <v>3</v>
      </c>
    </row>
    <row r="56" spans="1:4" x14ac:dyDescent="0.2">
      <c r="A56" s="7" t="s">
        <v>4</v>
      </c>
      <c r="B56" s="94" t="s">
        <v>41</v>
      </c>
      <c r="C56" s="94"/>
      <c r="D56" s="13">
        <f>(21.75*2*3.92)-(D19*0.06)</f>
        <v>125.48215909090911</v>
      </c>
    </row>
    <row r="57" spans="1:4" x14ac:dyDescent="0.2">
      <c r="A57" s="7" t="s">
        <v>6</v>
      </c>
      <c r="B57" s="94" t="s">
        <v>42</v>
      </c>
      <c r="C57" s="94"/>
      <c r="D57" s="13">
        <v>0</v>
      </c>
    </row>
    <row r="58" spans="1:4" x14ac:dyDescent="0.2">
      <c r="A58" s="7" t="s">
        <v>8</v>
      </c>
      <c r="B58" s="94" t="s">
        <v>103</v>
      </c>
      <c r="C58" s="94"/>
      <c r="D58" s="13">
        <v>146</v>
      </c>
    </row>
    <row r="59" spans="1:4" x14ac:dyDescent="0.2">
      <c r="A59" s="7" t="s">
        <v>10</v>
      </c>
      <c r="B59" s="94" t="s">
        <v>104</v>
      </c>
      <c r="C59" s="94"/>
      <c r="D59" s="13">
        <v>12.11</v>
      </c>
    </row>
    <row r="60" spans="1:4" x14ac:dyDescent="0.2">
      <c r="A60" s="29" t="s">
        <v>12</v>
      </c>
      <c r="B60" s="94" t="s">
        <v>105</v>
      </c>
      <c r="C60" s="94"/>
      <c r="D60" s="13">
        <v>4.1500000000000004</v>
      </c>
    </row>
    <row r="61" spans="1:4" x14ac:dyDescent="0.2">
      <c r="A61" s="93" t="s">
        <v>16</v>
      </c>
      <c r="B61" s="93"/>
      <c r="C61" s="93"/>
      <c r="D61" s="19">
        <f>SUM(D56:D60)</f>
        <v>287.74215909090913</v>
      </c>
    </row>
    <row r="64" spans="1:4" x14ac:dyDescent="0.2">
      <c r="A64" s="103" t="s">
        <v>43</v>
      </c>
      <c r="B64" s="103"/>
      <c r="C64" s="103"/>
      <c r="D64" s="103"/>
    </row>
    <row r="66" spans="1:5" x14ac:dyDescent="0.2">
      <c r="A66" s="6">
        <v>2</v>
      </c>
      <c r="B66" s="102" t="s">
        <v>44</v>
      </c>
      <c r="C66" s="102"/>
      <c r="D66" s="6" t="s">
        <v>3</v>
      </c>
    </row>
    <row r="67" spans="1:5" x14ac:dyDescent="0.2">
      <c r="A67" s="7" t="s">
        <v>19</v>
      </c>
      <c r="B67" s="94" t="s">
        <v>20</v>
      </c>
      <c r="C67" s="94"/>
      <c r="D67" s="14">
        <f>D36</f>
        <v>145.91</v>
      </c>
    </row>
    <row r="68" spans="1:5" x14ac:dyDescent="0.2">
      <c r="A68" s="7" t="s">
        <v>24</v>
      </c>
      <c r="B68" s="94" t="s">
        <v>25</v>
      </c>
      <c r="C68" s="94"/>
      <c r="D68" s="14">
        <f>D50</f>
        <v>329.88</v>
      </c>
    </row>
    <row r="69" spans="1:5" x14ac:dyDescent="0.2">
      <c r="A69" s="7" t="s">
        <v>39</v>
      </c>
      <c r="B69" s="94" t="s">
        <v>40</v>
      </c>
      <c r="C69" s="94"/>
      <c r="D69" s="14">
        <f>D61</f>
        <v>287.74215909090913</v>
      </c>
    </row>
    <row r="70" spans="1:5" x14ac:dyDescent="0.2">
      <c r="A70" s="93" t="s">
        <v>16</v>
      </c>
      <c r="B70" s="93"/>
      <c r="C70" s="93"/>
      <c r="D70" s="19">
        <f>SUM(D67:D69)</f>
        <v>763.53215909090909</v>
      </c>
    </row>
    <row r="71" spans="1:5" x14ac:dyDescent="0.2">
      <c r="A71" s="4"/>
      <c r="E71" s="18"/>
    </row>
    <row r="73" spans="1:5" x14ac:dyDescent="0.2">
      <c r="A73" s="96" t="s">
        <v>45</v>
      </c>
      <c r="B73" s="96"/>
      <c r="C73" s="96"/>
      <c r="D73" s="96"/>
      <c r="E73" s="17"/>
    </row>
    <row r="74" spans="1:5" ht="12.75" customHeight="1" x14ac:dyDescent="0.2">
      <c r="E74" s="18"/>
    </row>
    <row r="75" spans="1:5" x14ac:dyDescent="0.2">
      <c r="A75" s="6">
        <v>3</v>
      </c>
      <c r="B75" s="102" t="s">
        <v>46</v>
      </c>
      <c r="C75" s="102"/>
      <c r="D75" s="6" t="s">
        <v>3</v>
      </c>
    </row>
    <row r="76" spans="1:5" x14ac:dyDescent="0.2">
      <c r="A76" s="7" t="s">
        <v>4</v>
      </c>
      <c r="B76" s="10" t="s">
        <v>47</v>
      </c>
      <c r="C76" s="9">
        <f>TRUNC(((1/12)*5%),4)</f>
        <v>4.1000000000000003E-3</v>
      </c>
      <c r="D76" s="13">
        <f>TRUNC($D$26*C76,2)</f>
        <v>3.07</v>
      </c>
    </row>
    <row r="77" spans="1:5" x14ac:dyDescent="0.2">
      <c r="A77" s="7" t="s">
        <v>6</v>
      </c>
      <c r="B77" s="10" t="s">
        <v>48</v>
      </c>
      <c r="C77" s="9">
        <v>0.08</v>
      </c>
      <c r="D77" s="13">
        <f>TRUNC(D76*C77,2)</f>
        <v>0.24</v>
      </c>
    </row>
    <row r="78" spans="1:5" x14ac:dyDescent="0.2">
      <c r="A78" s="7" t="s">
        <v>8</v>
      </c>
      <c r="B78" s="10" t="s">
        <v>49</v>
      </c>
      <c r="C78" s="9">
        <f>TRUNC(8%*5%*40%,4)</f>
        <v>1.6000000000000001E-3</v>
      </c>
      <c r="D78" s="13">
        <f>TRUNC($D$26*C78,2)</f>
        <v>1.2</v>
      </c>
    </row>
    <row r="79" spans="1:5" x14ac:dyDescent="0.2">
      <c r="A79" s="7" t="s">
        <v>10</v>
      </c>
      <c r="B79" s="10" t="s">
        <v>50</v>
      </c>
      <c r="C79" s="9">
        <f>TRUNC(((7/30)/12)*95%,4)</f>
        <v>1.84E-2</v>
      </c>
      <c r="D79" s="13">
        <f>TRUNC($D$26*C79,2)</f>
        <v>13.81</v>
      </c>
    </row>
    <row r="80" spans="1:5" ht="25.5" x14ac:dyDescent="0.2">
      <c r="A80" s="7" t="s">
        <v>12</v>
      </c>
      <c r="B80" s="10" t="s">
        <v>95</v>
      </c>
      <c r="C80" s="9">
        <f>C50</f>
        <v>0.36800000000000005</v>
      </c>
      <c r="D80" s="13">
        <f>TRUNC(D79*C80,2)</f>
        <v>5.08</v>
      </c>
    </row>
    <row r="81" spans="1:4" x14ac:dyDescent="0.2">
      <c r="A81" s="7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22.81</v>
      </c>
    </row>
    <row r="82" spans="1:4" x14ac:dyDescent="0.2">
      <c r="A82" s="100" t="s">
        <v>16</v>
      </c>
      <c r="B82" s="101"/>
      <c r="C82" s="104"/>
      <c r="D82" s="19">
        <f>SUM(D76:D81)</f>
        <v>46.209999999999994</v>
      </c>
    </row>
    <row r="85" spans="1:4" x14ac:dyDescent="0.2">
      <c r="A85" s="96" t="s">
        <v>52</v>
      </c>
      <c r="B85" s="96"/>
      <c r="C85" s="96"/>
      <c r="D85" s="96"/>
    </row>
    <row r="88" spans="1:4" x14ac:dyDescent="0.2">
      <c r="A88" s="103" t="s">
        <v>79</v>
      </c>
      <c r="B88" s="103"/>
      <c r="C88" s="103"/>
      <c r="D88" s="103"/>
    </row>
    <row r="89" spans="1:4" x14ac:dyDescent="0.2">
      <c r="A89" s="3"/>
    </row>
    <row r="90" spans="1:4" x14ac:dyDescent="0.2">
      <c r="A90" s="6" t="s">
        <v>53</v>
      </c>
      <c r="B90" s="102" t="s">
        <v>80</v>
      </c>
      <c r="C90" s="102"/>
      <c r="D90" s="6" t="s">
        <v>3</v>
      </c>
    </row>
    <row r="91" spans="1:4" x14ac:dyDescent="0.2">
      <c r="A91" s="7" t="s">
        <v>4</v>
      </c>
      <c r="B91" s="8" t="s">
        <v>81</v>
      </c>
      <c r="C91" s="9">
        <f>TRUNC(((1+1/3)/12)/12,4)</f>
        <v>9.1999999999999998E-3</v>
      </c>
      <c r="D91" s="13">
        <f>TRUNC(($D$26+$D$70+$D$82)*C91,2)</f>
        <v>14.35</v>
      </c>
    </row>
    <row r="92" spans="1:4" x14ac:dyDescent="0.2">
      <c r="A92" s="7" t="s">
        <v>6</v>
      </c>
      <c r="B92" s="8" t="s">
        <v>82</v>
      </c>
      <c r="C92" s="9">
        <f>TRUNC(((2/30)/12),4)</f>
        <v>5.4999999999999997E-3</v>
      </c>
      <c r="D92" s="13">
        <f t="shared" ref="D92:D96" si="2">TRUNC(($D$26+$D$70+$D$82)*C92,2)</f>
        <v>8.58</v>
      </c>
    </row>
    <row r="93" spans="1:4" x14ac:dyDescent="0.2">
      <c r="A93" s="7" t="s">
        <v>8</v>
      </c>
      <c r="B93" s="8" t="s">
        <v>83</v>
      </c>
      <c r="C93" s="9">
        <f>TRUNC(((5/30)/12)*2%,4)</f>
        <v>2.0000000000000001E-4</v>
      </c>
      <c r="D93" s="13">
        <f t="shared" si="2"/>
        <v>0.31</v>
      </c>
    </row>
    <row r="94" spans="1:4" x14ac:dyDescent="0.2">
      <c r="A94" s="7" t="s">
        <v>10</v>
      </c>
      <c r="B94" s="8" t="s">
        <v>84</v>
      </c>
      <c r="C94" s="9">
        <f>TRUNC(((15/30)/12)*8%,4)</f>
        <v>3.3E-3</v>
      </c>
      <c r="D94" s="13">
        <f t="shared" si="2"/>
        <v>5.14</v>
      </c>
    </row>
    <row r="95" spans="1:4" x14ac:dyDescent="0.2">
      <c r="A95" s="7" t="s">
        <v>12</v>
      </c>
      <c r="B95" s="8" t="s">
        <v>85</v>
      </c>
      <c r="C95" s="9">
        <f>((1+1/3)/12)*3%*(4/12)</f>
        <v>1.1111111111111109E-3</v>
      </c>
      <c r="D95" s="13">
        <f t="shared" si="2"/>
        <v>1.73</v>
      </c>
    </row>
    <row r="96" spans="1:4" x14ac:dyDescent="0.2">
      <c r="A96" s="7" t="s">
        <v>32</v>
      </c>
      <c r="B96" s="8" t="s">
        <v>86</v>
      </c>
      <c r="C96" s="9"/>
      <c r="D96" s="13">
        <f t="shared" si="2"/>
        <v>0</v>
      </c>
    </row>
    <row r="97" spans="1:6" x14ac:dyDescent="0.2">
      <c r="A97" s="93" t="s">
        <v>37</v>
      </c>
      <c r="B97" s="93"/>
      <c r="C97" s="93"/>
      <c r="D97" s="19">
        <f>SUM(D91:D96)</f>
        <v>30.11</v>
      </c>
      <c r="E97" s="17"/>
      <c r="F97" s="17"/>
    </row>
    <row r="100" spans="1:6" x14ac:dyDescent="0.2">
      <c r="A100" s="103" t="s">
        <v>87</v>
      </c>
      <c r="B100" s="103"/>
      <c r="C100" s="103"/>
      <c r="D100" s="103"/>
    </row>
    <row r="101" spans="1:6" x14ac:dyDescent="0.2">
      <c r="A101" s="3"/>
    </row>
    <row r="102" spans="1:6" x14ac:dyDescent="0.2">
      <c r="A102" s="6" t="s">
        <v>54</v>
      </c>
      <c r="B102" s="102" t="s">
        <v>88</v>
      </c>
      <c r="C102" s="102"/>
      <c r="D102" s="6" t="s">
        <v>3</v>
      </c>
    </row>
    <row r="103" spans="1:6" x14ac:dyDescent="0.2">
      <c r="A103" s="7" t="s">
        <v>4</v>
      </c>
      <c r="B103" s="97" t="s">
        <v>89</v>
      </c>
      <c r="C103" s="98"/>
      <c r="D103" s="13">
        <f>((D26+D70+D82)/220)*22*0</f>
        <v>0</v>
      </c>
    </row>
    <row r="104" spans="1:6" x14ac:dyDescent="0.2">
      <c r="A104" s="93" t="s">
        <v>16</v>
      </c>
      <c r="B104" s="93"/>
      <c r="C104" s="93"/>
      <c r="D104" s="19">
        <f>SUM(D103)</f>
        <v>0</v>
      </c>
    </row>
    <row r="107" spans="1:6" x14ac:dyDescent="0.2">
      <c r="A107" s="103" t="s">
        <v>55</v>
      </c>
      <c r="B107" s="103"/>
      <c r="C107" s="103"/>
      <c r="D107" s="103"/>
    </row>
    <row r="108" spans="1:6" x14ac:dyDescent="0.2">
      <c r="A108" s="3"/>
    </row>
    <row r="109" spans="1:6" x14ac:dyDescent="0.2">
      <c r="A109" s="6">
        <v>4</v>
      </c>
      <c r="B109" s="93" t="s">
        <v>56</v>
      </c>
      <c r="C109" s="93"/>
      <c r="D109" s="6" t="s">
        <v>3</v>
      </c>
    </row>
    <row r="110" spans="1:6" x14ac:dyDescent="0.2">
      <c r="A110" s="7" t="s">
        <v>53</v>
      </c>
      <c r="B110" s="94" t="s">
        <v>80</v>
      </c>
      <c r="C110" s="94"/>
      <c r="D110" s="14">
        <f>D97</f>
        <v>30.11</v>
      </c>
    </row>
    <row r="111" spans="1:6" x14ac:dyDescent="0.2">
      <c r="A111" s="7" t="s">
        <v>54</v>
      </c>
      <c r="B111" s="94" t="s">
        <v>88</v>
      </c>
      <c r="C111" s="94"/>
      <c r="D111" s="14">
        <f>D104</f>
        <v>0</v>
      </c>
    </row>
    <row r="112" spans="1:6" x14ac:dyDescent="0.2">
      <c r="A112" s="93" t="s">
        <v>16</v>
      </c>
      <c r="B112" s="93"/>
      <c r="C112" s="93"/>
      <c r="D112" s="19">
        <f>SUM(D110:D111)</f>
        <v>30.11</v>
      </c>
    </row>
    <row r="115" spans="1:4" x14ac:dyDescent="0.2">
      <c r="A115" s="96" t="s">
        <v>57</v>
      </c>
      <c r="B115" s="96"/>
      <c r="C115" s="96"/>
      <c r="D115" s="96"/>
    </row>
    <row r="117" spans="1:4" x14ac:dyDescent="0.2">
      <c r="A117" s="6">
        <v>5</v>
      </c>
      <c r="B117" s="99" t="s">
        <v>58</v>
      </c>
      <c r="C117" s="99"/>
      <c r="D117" s="6" t="s">
        <v>3</v>
      </c>
    </row>
    <row r="118" spans="1:4" x14ac:dyDescent="0.2">
      <c r="A118" s="7" t="s">
        <v>4</v>
      </c>
      <c r="B118" s="8" t="s">
        <v>59</v>
      </c>
      <c r="C118" s="8"/>
      <c r="D118" s="13">
        <v>30.61</v>
      </c>
    </row>
    <row r="119" spans="1:4" x14ac:dyDescent="0.2">
      <c r="A119" s="7" t="s">
        <v>6</v>
      </c>
      <c r="B119" s="8" t="s">
        <v>60</v>
      </c>
      <c r="C119" s="8"/>
      <c r="D119" s="13"/>
    </row>
    <row r="120" spans="1:4" x14ac:dyDescent="0.2">
      <c r="A120" s="7" t="s">
        <v>8</v>
      </c>
      <c r="B120" s="8" t="s">
        <v>61</v>
      </c>
      <c r="C120" s="8"/>
      <c r="D120" s="13">
        <v>16.260000000000002</v>
      </c>
    </row>
    <row r="121" spans="1:4" x14ac:dyDescent="0.2">
      <c r="A121" s="7" t="s">
        <v>10</v>
      </c>
      <c r="B121" s="8" t="s">
        <v>106</v>
      </c>
      <c r="C121" s="8"/>
      <c r="D121" s="13">
        <v>1.24</v>
      </c>
    </row>
    <row r="122" spans="1:4" x14ac:dyDescent="0.2">
      <c r="A122" s="93" t="s">
        <v>37</v>
      </c>
      <c r="B122" s="93"/>
      <c r="C122" s="93"/>
      <c r="D122" s="20">
        <f>SUM(D118:D121)</f>
        <v>48.110000000000007</v>
      </c>
    </row>
    <row r="125" spans="1:4" x14ac:dyDescent="0.2">
      <c r="A125" s="96" t="s">
        <v>62</v>
      </c>
      <c r="B125" s="96"/>
      <c r="C125" s="96"/>
      <c r="D125" s="96"/>
    </row>
    <row r="127" spans="1:4" x14ac:dyDescent="0.2">
      <c r="A127" s="6">
        <v>6</v>
      </c>
      <c r="B127" s="11" t="s">
        <v>63</v>
      </c>
      <c r="C127" s="6" t="s">
        <v>26</v>
      </c>
      <c r="D127" s="6" t="s">
        <v>3</v>
      </c>
    </row>
    <row r="128" spans="1:4" x14ac:dyDescent="0.2">
      <c r="A128" s="7" t="s">
        <v>4</v>
      </c>
      <c r="B128" s="8" t="s">
        <v>64</v>
      </c>
      <c r="C128" s="9">
        <v>0.05</v>
      </c>
      <c r="D128" s="14">
        <f>D148*C128</f>
        <v>81.929642045454543</v>
      </c>
    </row>
    <row r="129" spans="1:4" x14ac:dyDescent="0.2">
      <c r="A129" s="7" t="s">
        <v>6</v>
      </c>
      <c r="B129" s="8" t="s">
        <v>65</v>
      </c>
      <c r="C129" s="9">
        <v>0.06</v>
      </c>
      <c r="D129" s="13">
        <f>(D148+D128)*C129</f>
        <v>103.23134897727272</v>
      </c>
    </row>
    <row r="130" spans="1:4" x14ac:dyDescent="0.2">
      <c r="A130" s="7" t="s">
        <v>8</v>
      </c>
      <c r="B130" s="8" t="s">
        <v>66</v>
      </c>
      <c r="C130" s="12">
        <f>SUM(C131:C136)</f>
        <v>8.6499999999999994E-2</v>
      </c>
      <c r="D130" s="13">
        <f>(D148+D128+D129)*C130/(1-C130)</f>
        <v>172.69261791144197</v>
      </c>
    </row>
    <row r="131" spans="1:4" x14ac:dyDescent="0.2">
      <c r="A131" s="7"/>
      <c r="B131" s="8" t="s">
        <v>67</v>
      </c>
      <c r="C131" s="9"/>
      <c r="D131" s="14">
        <f>$D$150*C131</f>
        <v>0</v>
      </c>
    </row>
    <row r="132" spans="1:4" x14ac:dyDescent="0.2">
      <c r="A132" s="7"/>
      <c r="B132" s="25" t="s">
        <v>97</v>
      </c>
      <c r="C132" s="9">
        <v>6.4999999999999997E-3</v>
      </c>
      <c r="D132" s="14">
        <f t="shared" ref="D132:D133" si="3">$D$150*C132</f>
        <v>12.976901923981188</v>
      </c>
    </row>
    <row r="133" spans="1:4" x14ac:dyDescent="0.2">
      <c r="A133" s="7"/>
      <c r="B133" s="25" t="s">
        <v>98</v>
      </c>
      <c r="C133" s="9">
        <v>0.03</v>
      </c>
      <c r="D133" s="14">
        <f t="shared" si="3"/>
        <v>59.893393495297794</v>
      </c>
    </row>
    <row r="134" spans="1:4" x14ac:dyDescent="0.2">
      <c r="A134" s="7"/>
      <c r="B134" s="8" t="s">
        <v>68</v>
      </c>
      <c r="C134" s="7"/>
      <c r="D134" s="14">
        <f t="shared" ref="D134:D135" si="4">$D$150*C134</f>
        <v>0</v>
      </c>
    </row>
    <row r="135" spans="1:4" x14ac:dyDescent="0.2">
      <c r="A135" s="7"/>
      <c r="B135" s="8" t="s">
        <v>69</v>
      </c>
      <c r="C135" s="9"/>
      <c r="D135" s="14">
        <f t="shared" si="4"/>
        <v>0</v>
      </c>
    </row>
    <row r="136" spans="1:4" x14ac:dyDescent="0.2">
      <c r="A136" s="7"/>
      <c r="B136" s="25" t="s">
        <v>99</v>
      </c>
      <c r="C136" s="9">
        <v>0.05</v>
      </c>
      <c r="D136" s="14">
        <f t="shared" ref="D136" si="5">$D$150*C136</f>
        <v>99.822322492162996</v>
      </c>
    </row>
    <row r="137" spans="1:4" ht="13.5" x14ac:dyDescent="0.2">
      <c r="A137" s="100" t="s">
        <v>37</v>
      </c>
      <c r="B137" s="101"/>
      <c r="C137" s="21">
        <f>(1+C129)*(1+C128)/(1-C130)-1</f>
        <v>0.21839080459770144</v>
      </c>
      <c r="D137" s="19">
        <f>SUM(D128:D130)</f>
        <v>357.85360893416924</v>
      </c>
    </row>
    <row r="140" spans="1:4" x14ac:dyDescent="0.2">
      <c r="A140" s="96" t="s">
        <v>70</v>
      </c>
      <c r="B140" s="96"/>
      <c r="C140" s="96"/>
      <c r="D140" s="96"/>
    </row>
    <row r="142" spans="1:4" x14ac:dyDescent="0.2">
      <c r="A142" s="6"/>
      <c r="B142" s="93" t="s">
        <v>71</v>
      </c>
      <c r="C142" s="93"/>
      <c r="D142" s="6" t="s">
        <v>3</v>
      </c>
    </row>
    <row r="143" spans="1:4" x14ac:dyDescent="0.2">
      <c r="A143" s="6" t="s">
        <v>4</v>
      </c>
      <c r="B143" s="94" t="s">
        <v>1</v>
      </c>
      <c r="C143" s="94"/>
      <c r="D143" s="22">
        <f>D26</f>
        <v>750.63068181818187</v>
      </c>
    </row>
    <row r="144" spans="1:4" x14ac:dyDescent="0.2">
      <c r="A144" s="6" t="s">
        <v>6</v>
      </c>
      <c r="B144" s="94" t="s">
        <v>17</v>
      </c>
      <c r="C144" s="94"/>
      <c r="D144" s="22">
        <f>D70</f>
        <v>763.53215909090909</v>
      </c>
    </row>
    <row r="145" spans="1:4" x14ac:dyDescent="0.2">
      <c r="A145" s="6" t="s">
        <v>8</v>
      </c>
      <c r="B145" s="94" t="s">
        <v>45</v>
      </c>
      <c r="C145" s="94"/>
      <c r="D145" s="22">
        <f>D82</f>
        <v>46.209999999999994</v>
      </c>
    </row>
    <row r="146" spans="1:4" x14ac:dyDescent="0.2">
      <c r="A146" s="6" t="s">
        <v>10</v>
      </c>
      <c r="B146" s="94" t="s">
        <v>52</v>
      </c>
      <c r="C146" s="94"/>
      <c r="D146" s="22">
        <f>D112</f>
        <v>30.11</v>
      </c>
    </row>
    <row r="147" spans="1:4" x14ac:dyDescent="0.2">
      <c r="A147" s="6" t="s">
        <v>12</v>
      </c>
      <c r="B147" s="94" t="s">
        <v>57</v>
      </c>
      <c r="C147" s="94"/>
      <c r="D147" s="22">
        <f>D122</f>
        <v>48.110000000000007</v>
      </c>
    </row>
    <row r="148" spans="1:4" x14ac:dyDescent="0.2">
      <c r="A148" s="93" t="s">
        <v>96</v>
      </c>
      <c r="B148" s="93"/>
      <c r="C148" s="93"/>
      <c r="D148" s="23">
        <f>SUM(D143:D147)</f>
        <v>1638.5928409090907</v>
      </c>
    </row>
    <row r="149" spans="1:4" x14ac:dyDescent="0.2">
      <c r="A149" s="6" t="s">
        <v>32</v>
      </c>
      <c r="B149" s="94" t="s">
        <v>72</v>
      </c>
      <c r="C149" s="94"/>
      <c r="D149" s="24">
        <f>D137</f>
        <v>357.85360893416924</v>
      </c>
    </row>
    <row r="150" spans="1:4" x14ac:dyDescent="0.2">
      <c r="A150" s="93" t="s">
        <v>73</v>
      </c>
      <c r="B150" s="93"/>
      <c r="C150" s="93"/>
      <c r="D150" s="23">
        <f>SUM(D148:D149)</f>
        <v>1996.4464498432599</v>
      </c>
    </row>
  </sheetData>
  <mergeCells count="71">
    <mergeCell ref="B147:C147"/>
    <mergeCell ref="A148:C148"/>
    <mergeCell ref="A53:D53"/>
    <mergeCell ref="B55:C55"/>
    <mergeCell ref="B56:C56"/>
    <mergeCell ref="B57:C57"/>
    <mergeCell ref="A64:D64"/>
    <mergeCell ref="B66:C66"/>
    <mergeCell ref="B67:C67"/>
    <mergeCell ref="B68:C68"/>
    <mergeCell ref="B69:C69"/>
    <mergeCell ref="A70:C70"/>
    <mergeCell ref="A73:D73"/>
    <mergeCell ref="B75:C75"/>
    <mergeCell ref="A97:C97"/>
    <mergeCell ref="A100:D100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A88:D88"/>
    <mergeCell ref="B90:C90"/>
    <mergeCell ref="B58:C58"/>
    <mergeCell ref="B59:C59"/>
    <mergeCell ref="A61:C61"/>
    <mergeCell ref="A85:D85"/>
    <mergeCell ref="A82:C82"/>
    <mergeCell ref="B60:C60"/>
    <mergeCell ref="B102:C102"/>
    <mergeCell ref="A104:C104"/>
    <mergeCell ref="A107:D107"/>
    <mergeCell ref="B109:C109"/>
    <mergeCell ref="B110:C110"/>
    <mergeCell ref="B149:C149"/>
    <mergeCell ref="A150:C150"/>
    <mergeCell ref="A125:D125"/>
    <mergeCell ref="B103:C103"/>
    <mergeCell ref="B111:C111"/>
    <mergeCell ref="A112:C112"/>
    <mergeCell ref="A115:D115"/>
    <mergeCell ref="B117:C117"/>
    <mergeCell ref="A122:C122"/>
    <mergeCell ref="A137:B137"/>
    <mergeCell ref="A140:D140"/>
    <mergeCell ref="B142:C142"/>
    <mergeCell ref="B143:C143"/>
    <mergeCell ref="B144:C144"/>
    <mergeCell ref="B145:C145"/>
    <mergeCell ref="B146:C146"/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05" t="s">
        <v>0</v>
      </c>
      <c r="B1" s="105"/>
      <c r="C1" s="105"/>
      <c r="D1" s="105"/>
    </row>
    <row r="2" spans="1:4" ht="15.75" x14ac:dyDescent="0.25">
      <c r="A2" s="26"/>
      <c r="B2" s="26"/>
      <c r="C2" s="26"/>
      <c r="D2" s="26"/>
    </row>
    <row r="3" spans="1:4" x14ac:dyDescent="0.2">
      <c r="A3" s="95" t="s">
        <v>90</v>
      </c>
      <c r="B3" s="95"/>
      <c r="C3" s="95"/>
      <c r="D3" s="95"/>
    </row>
    <row r="4" spans="1:4" x14ac:dyDescent="0.2">
      <c r="A4" s="2"/>
      <c r="B4" s="2"/>
      <c r="C4" s="2"/>
      <c r="D4" s="2"/>
    </row>
    <row r="5" spans="1:4" ht="38.25" x14ac:dyDescent="0.2">
      <c r="A5" s="107" t="s">
        <v>91</v>
      </c>
      <c r="B5" s="107"/>
      <c r="C5" s="33" t="s">
        <v>92</v>
      </c>
      <c r="D5" s="27" t="s">
        <v>93</v>
      </c>
    </row>
    <row r="6" spans="1:4" x14ac:dyDescent="0.2">
      <c r="A6" s="90" t="s">
        <v>206</v>
      </c>
      <c r="B6" s="90"/>
      <c r="C6" s="34" t="s">
        <v>101</v>
      </c>
      <c r="D6" s="34">
        <v>94</v>
      </c>
    </row>
    <row r="8" spans="1:4" x14ac:dyDescent="0.2">
      <c r="A8" s="95" t="s">
        <v>74</v>
      </c>
      <c r="B8" s="95"/>
      <c r="C8" s="95"/>
      <c r="D8" s="95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91" t="s">
        <v>100</v>
      </c>
      <c r="D10" s="92"/>
    </row>
    <row r="11" spans="1:4" x14ac:dyDescent="0.2">
      <c r="A11" s="5">
        <v>2</v>
      </c>
      <c r="B11" s="5" t="s">
        <v>94</v>
      </c>
      <c r="C11" s="91" t="s">
        <v>102</v>
      </c>
      <c r="D11" s="92"/>
    </row>
    <row r="12" spans="1:4" x14ac:dyDescent="0.2">
      <c r="A12" s="5">
        <v>3</v>
      </c>
      <c r="B12" s="5" t="s">
        <v>76</v>
      </c>
      <c r="C12" s="91">
        <v>1321.11</v>
      </c>
      <c r="D12" s="92"/>
    </row>
    <row r="13" spans="1:4" x14ac:dyDescent="0.2">
      <c r="A13" s="5">
        <v>4</v>
      </c>
      <c r="B13" s="5" t="s">
        <v>77</v>
      </c>
      <c r="C13" s="91"/>
      <c r="D13" s="92"/>
    </row>
    <row r="14" spans="1:4" x14ac:dyDescent="0.2">
      <c r="A14" s="5">
        <v>5</v>
      </c>
      <c r="B14" s="5" t="s">
        <v>78</v>
      </c>
      <c r="C14" s="91"/>
      <c r="D14" s="92"/>
    </row>
    <row r="16" spans="1:4" x14ac:dyDescent="0.2">
      <c r="A16" s="95" t="s">
        <v>1</v>
      </c>
      <c r="B16" s="95"/>
      <c r="C16" s="95"/>
      <c r="D16" s="95"/>
    </row>
    <row r="18" spans="1:4" x14ac:dyDescent="0.2">
      <c r="A18" s="31">
        <v>1</v>
      </c>
      <c r="B18" s="93" t="s">
        <v>2</v>
      </c>
      <c r="C18" s="93"/>
      <c r="D18" s="31" t="s">
        <v>3</v>
      </c>
    </row>
    <row r="19" spans="1:4" x14ac:dyDescent="0.2">
      <c r="A19" s="33" t="s">
        <v>4</v>
      </c>
      <c r="B19" s="94" t="s">
        <v>5</v>
      </c>
      <c r="C19" s="94"/>
      <c r="D19" s="13">
        <f>C12*(25/44)</f>
        <v>750.63068181818187</v>
      </c>
    </row>
    <row r="20" spans="1:4" x14ac:dyDescent="0.2">
      <c r="A20" s="33" t="s">
        <v>6</v>
      </c>
      <c r="B20" s="94" t="s">
        <v>7</v>
      </c>
      <c r="C20" s="94"/>
      <c r="D20" s="13"/>
    </row>
    <row r="21" spans="1:4" x14ac:dyDescent="0.2">
      <c r="A21" s="33" t="s">
        <v>8</v>
      </c>
      <c r="B21" s="94" t="s">
        <v>9</v>
      </c>
      <c r="C21" s="94"/>
      <c r="D21" s="13"/>
    </row>
    <row r="22" spans="1:4" x14ac:dyDescent="0.2">
      <c r="A22" s="33" t="s">
        <v>10</v>
      </c>
      <c r="B22" s="94" t="s">
        <v>11</v>
      </c>
      <c r="C22" s="94"/>
      <c r="D22" s="13"/>
    </row>
    <row r="23" spans="1:4" x14ac:dyDescent="0.2">
      <c r="A23" s="33" t="s">
        <v>12</v>
      </c>
      <c r="B23" s="94" t="s">
        <v>13</v>
      </c>
      <c r="C23" s="94"/>
      <c r="D23" s="13"/>
    </row>
    <row r="24" spans="1:4" x14ac:dyDescent="0.2">
      <c r="A24" s="33"/>
      <c r="B24" s="94"/>
      <c r="C24" s="94"/>
      <c r="D24" s="13"/>
    </row>
    <row r="25" spans="1:4" x14ac:dyDescent="0.2">
      <c r="A25" s="33" t="s">
        <v>14</v>
      </c>
      <c r="B25" s="94" t="s">
        <v>15</v>
      </c>
      <c r="C25" s="94"/>
      <c r="D25" s="13"/>
    </row>
    <row r="26" spans="1:4" x14ac:dyDescent="0.2">
      <c r="A26" s="93" t="s">
        <v>16</v>
      </c>
      <c r="B26" s="93"/>
      <c r="C26" s="93"/>
      <c r="D26" s="20">
        <f>SUM(D19:D25)</f>
        <v>750.63068181818187</v>
      </c>
    </row>
    <row r="29" spans="1:4" x14ac:dyDescent="0.2">
      <c r="A29" s="96" t="s">
        <v>17</v>
      </c>
      <c r="B29" s="96"/>
      <c r="C29" s="96"/>
      <c r="D29" s="96"/>
    </row>
    <row r="30" spans="1:4" x14ac:dyDescent="0.2">
      <c r="A30" s="3"/>
    </row>
    <row r="31" spans="1:4" x14ac:dyDescent="0.2">
      <c r="A31" s="103" t="s">
        <v>18</v>
      </c>
      <c r="B31" s="103"/>
      <c r="C31" s="103"/>
      <c r="D31" s="103"/>
    </row>
    <row r="33" spans="1:4" x14ac:dyDescent="0.2">
      <c r="A33" s="31" t="s">
        <v>19</v>
      </c>
      <c r="B33" s="93" t="s">
        <v>20</v>
      </c>
      <c r="C33" s="93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62.52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83.39</v>
      </c>
    </row>
    <row r="36" spans="1:4" x14ac:dyDescent="0.2">
      <c r="A36" s="93" t="s">
        <v>16</v>
      </c>
      <c r="B36" s="93"/>
      <c r="C36" s="28">
        <f>SUM(C34:C35)</f>
        <v>0.19440000000000002</v>
      </c>
      <c r="D36" s="19">
        <f>SUM(D34:D35)</f>
        <v>145.91</v>
      </c>
    </row>
    <row r="39" spans="1:4" x14ac:dyDescent="0.2">
      <c r="A39" s="106" t="s">
        <v>23</v>
      </c>
      <c r="B39" s="106"/>
      <c r="C39" s="106"/>
      <c r="D39" s="106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179.3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22.41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26.89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13.44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8.9600000000000009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5.37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1.79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71.72</v>
      </c>
    </row>
    <row r="50" spans="1:4" x14ac:dyDescent="0.2">
      <c r="A50" s="93" t="s">
        <v>37</v>
      </c>
      <c r="B50" s="93"/>
      <c r="C50" s="15">
        <f>SUM(C42:C49)</f>
        <v>0.36800000000000005</v>
      </c>
      <c r="D50" s="19">
        <f>SUM(D42:D49)</f>
        <v>329.88</v>
      </c>
    </row>
    <row r="53" spans="1:4" x14ac:dyDescent="0.2">
      <c r="A53" s="103" t="s">
        <v>38</v>
      </c>
      <c r="B53" s="103"/>
      <c r="C53" s="103"/>
      <c r="D53" s="103"/>
    </row>
    <row r="55" spans="1:4" x14ac:dyDescent="0.2">
      <c r="A55" s="31" t="s">
        <v>39</v>
      </c>
      <c r="B55" s="102" t="s">
        <v>40</v>
      </c>
      <c r="C55" s="102"/>
      <c r="D55" s="31" t="s">
        <v>3</v>
      </c>
    </row>
    <row r="56" spans="1:4" x14ac:dyDescent="0.2">
      <c r="A56" s="33" t="s">
        <v>4</v>
      </c>
      <c r="B56" s="94" t="s">
        <v>41</v>
      </c>
      <c r="C56" s="94"/>
      <c r="D56" s="13">
        <f>(30*2*3.92)-(D19*0.06)</f>
        <v>190.16215909090909</v>
      </c>
    </row>
    <row r="57" spans="1:4" x14ac:dyDescent="0.2">
      <c r="A57" s="33" t="s">
        <v>6</v>
      </c>
      <c r="B57" s="94" t="s">
        <v>42</v>
      </c>
      <c r="C57" s="94"/>
      <c r="D57" s="13">
        <v>0</v>
      </c>
    </row>
    <row r="58" spans="1:4" x14ac:dyDescent="0.2">
      <c r="A58" s="33" t="s">
        <v>8</v>
      </c>
      <c r="B58" s="94" t="s">
        <v>103</v>
      </c>
      <c r="C58" s="94"/>
      <c r="D58" s="13">
        <v>146</v>
      </c>
    </row>
    <row r="59" spans="1:4" x14ac:dyDescent="0.2">
      <c r="A59" s="33" t="s">
        <v>10</v>
      </c>
      <c r="B59" s="94" t="s">
        <v>104</v>
      </c>
      <c r="C59" s="94"/>
      <c r="D59" s="13">
        <v>12.11</v>
      </c>
    </row>
    <row r="60" spans="1:4" x14ac:dyDescent="0.2">
      <c r="A60" s="33" t="s">
        <v>12</v>
      </c>
      <c r="B60" s="94" t="s">
        <v>105</v>
      </c>
      <c r="C60" s="94"/>
      <c r="D60" s="13">
        <v>4.1500000000000004</v>
      </c>
    </row>
    <row r="61" spans="1:4" x14ac:dyDescent="0.2">
      <c r="A61" s="93" t="s">
        <v>16</v>
      </c>
      <c r="B61" s="93"/>
      <c r="C61" s="93"/>
      <c r="D61" s="19">
        <f>SUM(D56:D60)</f>
        <v>352.42215909090908</v>
      </c>
    </row>
    <row r="64" spans="1:4" x14ac:dyDescent="0.2">
      <c r="A64" s="103" t="s">
        <v>43</v>
      </c>
      <c r="B64" s="103"/>
      <c r="C64" s="103"/>
      <c r="D64" s="103"/>
    </row>
    <row r="66" spans="1:5" x14ac:dyDescent="0.2">
      <c r="A66" s="31">
        <v>2</v>
      </c>
      <c r="B66" s="102" t="s">
        <v>44</v>
      </c>
      <c r="C66" s="102"/>
      <c r="D66" s="31" t="s">
        <v>3</v>
      </c>
    </row>
    <row r="67" spans="1:5" x14ac:dyDescent="0.2">
      <c r="A67" s="33" t="s">
        <v>19</v>
      </c>
      <c r="B67" s="94" t="s">
        <v>20</v>
      </c>
      <c r="C67" s="94"/>
      <c r="D67" s="14">
        <f>D36</f>
        <v>145.91</v>
      </c>
    </row>
    <row r="68" spans="1:5" x14ac:dyDescent="0.2">
      <c r="A68" s="33" t="s">
        <v>24</v>
      </c>
      <c r="B68" s="94" t="s">
        <v>25</v>
      </c>
      <c r="C68" s="94"/>
      <c r="D68" s="14">
        <f>D50</f>
        <v>329.88</v>
      </c>
    </row>
    <row r="69" spans="1:5" x14ac:dyDescent="0.2">
      <c r="A69" s="33" t="s">
        <v>39</v>
      </c>
      <c r="B69" s="94" t="s">
        <v>40</v>
      </c>
      <c r="C69" s="94"/>
      <c r="D69" s="14">
        <f>D61</f>
        <v>352.42215909090908</v>
      </c>
    </row>
    <row r="70" spans="1:5" x14ac:dyDescent="0.2">
      <c r="A70" s="93" t="s">
        <v>16</v>
      </c>
      <c r="B70" s="93"/>
      <c r="C70" s="93"/>
      <c r="D70" s="19">
        <f>SUM(D67:D69)</f>
        <v>828.21215909090904</v>
      </c>
    </row>
    <row r="71" spans="1:5" x14ac:dyDescent="0.2">
      <c r="A71" s="4"/>
      <c r="E71" s="18"/>
    </row>
    <row r="73" spans="1:5" x14ac:dyDescent="0.2">
      <c r="A73" s="96" t="s">
        <v>45</v>
      </c>
      <c r="B73" s="96"/>
      <c r="C73" s="96"/>
      <c r="D73" s="96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102" t="s">
        <v>46</v>
      </c>
      <c r="C75" s="102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TRUNC(((1/12)*5%),4)*0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TRUNC(8%*5%*40%,4)*0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TRUNC(((7/30)/12)*95%,4)*0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95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TRUNC(8%*95%*40%,4)*0</f>
        <v>0</v>
      </c>
      <c r="D81" s="13">
        <f t="shared" ref="D81" si="1">TRUNC($D$26*C81,2)</f>
        <v>0</v>
      </c>
    </row>
    <row r="82" spans="1:4" x14ac:dyDescent="0.2">
      <c r="A82" s="100" t="s">
        <v>16</v>
      </c>
      <c r="B82" s="101"/>
      <c r="C82" s="104"/>
      <c r="D82" s="19">
        <f>SUM(D76:D81)</f>
        <v>0</v>
      </c>
    </row>
    <row r="85" spans="1:4" x14ac:dyDescent="0.2">
      <c r="A85" s="96" t="s">
        <v>52</v>
      </c>
      <c r="B85" s="96"/>
      <c r="C85" s="96"/>
      <c r="D85" s="96"/>
    </row>
    <row r="88" spans="1:4" x14ac:dyDescent="0.2">
      <c r="A88" s="103" t="s">
        <v>79</v>
      </c>
      <c r="B88" s="103"/>
      <c r="C88" s="103"/>
      <c r="D88" s="103"/>
    </row>
    <row r="89" spans="1:4" x14ac:dyDescent="0.2">
      <c r="A89" s="3"/>
    </row>
    <row r="90" spans="1:4" x14ac:dyDescent="0.2">
      <c r="A90" s="31" t="s">
        <v>53</v>
      </c>
      <c r="B90" s="102" t="s">
        <v>80</v>
      </c>
      <c r="C90" s="102"/>
      <c r="D90" s="31" t="s">
        <v>3</v>
      </c>
    </row>
    <row r="91" spans="1:4" x14ac:dyDescent="0.2">
      <c r="A91" s="33" t="s">
        <v>4</v>
      </c>
      <c r="B91" s="30" t="s">
        <v>81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82</v>
      </c>
      <c r="C92" s="9">
        <f>TRUNC(((2/30)/12),4)</f>
        <v>5.4999999999999997E-3</v>
      </c>
      <c r="D92" s="13">
        <f t="shared" ref="D92:D96" si="2">TRUNC(($D$26+$D$70+$D$82)*C92,2)</f>
        <v>8.68</v>
      </c>
    </row>
    <row r="93" spans="1:4" x14ac:dyDescent="0.2">
      <c r="A93" s="33" t="s">
        <v>8</v>
      </c>
      <c r="B93" s="30" t="s">
        <v>83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84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85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86</v>
      </c>
      <c r="C96" s="9"/>
      <c r="D96" s="13">
        <f t="shared" si="2"/>
        <v>0</v>
      </c>
    </row>
    <row r="97" spans="1:6" x14ac:dyDescent="0.2">
      <c r="A97" s="93" t="s">
        <v>37</v>
      </c>
      <c r="B97" s="93"/>
      <c r="C97" s="93"/>
      <c r="D97" s="19">
        <f>SUM(D91:D96)</f>
        <v>8.68</v>
      </c>
      <c r="E97" s="17"/>
      <c r="F97" s="17"/>
    </row>
    <row r="100" spans="1:6" x14ac:dyDescent="0.2">
      <c r="A100" s="103" t="s">
        <v>87</v>
      </c>
      <c r="B100" s="103"/>
      <c r="C100" s="103"/>
      <c r="D100" s="103"/>
    </row>
    <row r="101" spans="1:6" x14ac:dyDescent="0.2">
      <c r="A101" s="3"/>
    </row>
    <row r="102" spans="1:6" x14ac:dyDescent="0.2">
      <c r="A102" s="31" t="s">
        <v>54</v>
      </c>
      <c r="B102" s="102" t="s">
        <v>88</v>
      </c>
      <c r="C102" s="102"/>
      <c r="D102" s="31" t="s">
        <v>3</v>
      </c>
    </row>
    <row r="103" spans="1:6" x14ac:dyDescent="0.2">
      <c r="A103" s="33" t="s">
        <v>4</v>
      </c>
      <c r="B103" s="97" t="s">
        <v>89</v>
      </c>
      <c r="C103" s="98"/>
      <c r="D103" s="13">
        <f>((D26+D70+D82)/220)*22*0</f>
        <v>0</v>
      </c>
    </row>
    <row r="104" spans="1:6" x14ac:dyDescent="0.2">
      <c r="A104" s="93" t="s">
        <v>16</v>
      </c>
      <c r="B104" s="93"/>
      <c r="C104" s="93"/>
      <c r="D104" s="19">
        <f>SUM(D103)</f>
        <v>0</v>
      </c>
    </row>
    <row r="107" spans="1:6" x14ac:dyDescent="0.2">
      <c r="A107" s="103" t="s">
        <v>55</v>
      </c>
      <c r="B107" s="103"/>
      <c r="C107" s="103"/>
      <c r="D107" s="103"/>
    </row>
    <row r="108" spans="1:6" x14ac:dyDescent="0.2">
      <c r="A108" s="3"/>
    </row>
    <row r="109" spans="1:6" x14ac:dyDescent="0.2">
      <c r="A109" s="31">
        <v>4</v>
      </c>
      <c r="B109" s="93" t="s">
        <v>56</v>
      </c>
      <c r="C109" s="93"/>
      <c r="D109" s="31" t="s">
        <v>3</v>
      </c>
    </row>
    <row r="110" spans="1:6" x14ac:dyDescent="0.2">
      <c r="A110" s="33" t="s">
        <v>53</v>
      </c>
      <c r="B110" s="94" t="s">
        <v>80</v>
      </c>
      <c r="C110" s="94"/>
      <c r="D110" s="14">
        <f>D97</f>
        <v>8.68</v>
      </c>
    </row>
    <row r="111" spans="1:6" x14ac:dyDescent="0.2">
      <c r="A111" s="33" t="s">
        <v>54</v>
      </c>
      <c r="B111" s="94" t="s">
        <v>88</v>
      </c>
      <c r="C111" s="94"/>
      <c r="D111" s="14">
        <f>D104</f>
        <v>0</v>
      </c>
    </row>
    <row r="112" spans="1:6" x14ac:dyDescent="0.2">
      <c r="A112" s="93" t="s">
        <v>16</v>
      </c>
      <c r="B112" s="93"/>
      <c r="C112" s="93"/>
      <c r="D112" s="19">
        <f>SUM(D110:D111)</f>
        <v>8.68</v>
      </c>
    </row>
    <row r="115" spans="1:4" x14ac:dyDescent="0.2">
      <c r="A115" s="96" t="s">
        <v>57</v>
      </c>
      <c r="B115" s="96"/>
      <c r="C115" s="96"/>
      <c r="D115" s="96"/>
    </row>
    <row r="117" spans="1:4" x14ac:dyDescent="0.2">
      <c r="A117" s="31">
        <v>5</v>
      </c>
      <c r="B117" s="99" t="s">
        <v>58</v>
      </c>
      <c r="C117" s="99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328.57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3" t="s">
        <v>8</v>
      </c>
      <c r="B120" s="30" t="s">
        <v>61</v>
      </c>
      <c r="C120" s="30"/>
      <c r="D120" s="13"/>
    </row>
    <row r="121" spans="1:4" x14ac:dyDescent="0.2">
      <c r="A121" s="33" t="s">
        <v>10</v>
      </c>
      <c r="B121" s="30" t="s">
        <v>106</v>
      </c>
      <c r="C121" s="30"/>
      <c r="D121" s="13"/>
    </row>
    <row r="122" spans="1:4" x14ac:dyDescent="0.2">
      <c r="A122" s="93" t="s">
        <v>37</v>
      </c>
      <c r="B122" s="93"/>
      <c r="C122" s="93"/>
      <c r="D122" s="20">
        <f>SUM(D118:D121)</f>
        <v>328.57</v>
      </c>
    </row>
    <row r="125" spans="1:4" x14ac:dyDescent="0.2">
      <c r="A125" s="96" t="s">
        <v>62</v>
      </c>
      <c r="B125" s="96"/>
      <c r="C125" s="96"/>
      <c r="D125" s="96"/>
    </row>
    <row r="127" spans="1:4" x14ac:dyDescent="0.2">
      <c r="A127" s="31">
        <v>6</v>
      </c>
      <c r="B127" s="32" t="s">
        <v>63</v>
      </c>
      <c r="C127" s="31" t="s">
        <v>26</v>
      </c>
      <c r="D127" s="31" t="s">
        <v>3</v>
      </c>
    </row>
    <row r="128" spans="1:4" x14ac:dyDescent="0.2">
      <c r="A128" s="33" t="s">
        <v>4</v>
      </c>
      <c r="B128" s="30" t="s">
        <v>64</v>
      </c>
      <c r="C128" s="9">
        <v>0.05</v>
      </c>
      <c r="D128" s="14">
        <f>D148*C128</f>
        <v>95.804642045454557</v>
      </c>
    </row>
    <row r="129" spans="1:4" x14ac:dyDescent="0.2">
      <c r="A129" s="33" t="s">
        <v>6</v>
      </c>
      <c r="B129" s="30" t="s">
        <v>65</v>
      </c>
      <c r="C129" s="9">
        <v>0.06</v>
      </c>
      <c r="D129" s="13">
        <f>(D148+D128)*C129</f>
        <v>120.71384897727272</v>
      </c>
    </row>
    <row r="130" spans="1:4" x14ac:dyDescent="0.2">
      <c r="A130" s="33" t="s">
        <v>8</v>
      </c>
      <c r="B130" s="30" t="s">
        <v>66</v>
      </c>
      <c r="C130" s="12">
        <f>SUM(C131:C136)</f>
        <v>8.6499999999999994E-2</v>
      </c>
      <c r="D130" s="13">
        <f>(D148+D128+D129)*C130/(1-C130)</f>
        <v>201.93856618730408</v>
      </c>
    </row>
    <row r="131" spans="1:4" x14ac:dyDescent="0.2">
      <c r="A131" s="33"/>
      <c r="B131" s="30" t="s">
        <v>67</v>
      </c>
      <c r="C131" s="9"/>
      <c r="D131" s="14">
        <f>$D$150*C131</f>
        <v>0</v>
      </c>
    </row>
    <row r="132" spans="1:4" x14ac:dyDescent="0.2">
      <c r="A132" s="33"/>
      <c r="B132" s="30" t="s">
        <v>97</v>
      </c>
      <c r="C132" s="9">
        <v>6.4999999999999997E-3</v>
      </c>
      <c r="D132" s="14">
        <f t="shared" ref="D132:D136" si="3">$D$150*C132</f>
        <v>15.174574337774294</v>
      </c>
    </row>
    <row r="133" spans="1:4" x14ac:dyDescent="0.2">
      <c r="A133" s="33"/>
      <c r="B133" s="30" t="s">
        <v>98</v>
      </c>
      <c r="C133" s="9">
        <v>0.03</v>
      </c>
      <c r="D133" s="14">
        <f t="shared" si="3"/>
        <v>70.036496943573667</v>
      </c>
    </row>
    <row r="134" spans="1:4" x14ac:dyDescent="0.2">
      <c r="A134" s="33"/>
      <c r="B134" s="30" t="s">
        <v>68</v>
      </c>
      <c r="C134" s="33"/>
      <c r="D134" s="14">
        <f t="shared" si="3"/>
        <v>0</v>
      </c>
    </row>
    <row r="135" spans="1:4" x14ac:dyDescent="0.2">
      <c r="A135" s="33"/>
      <c r="B135" s="30" t="s">
        <v>69</v>
      </c>
      <c r="C135" s="9"/>
      <c r="D135" s="14">
        <f t="shared" si="3"/>
        <v>0</v>
      </c>
    </row>
    <row r="136" spans="1:4" x14ac:dyDescent="0.2">
      <c r="A136" s="33"/>
      <c r="B136" s="30" t="s">
        <v>99</v>
      </c>
      <c r="C136" s="9">
        <v>0.05</v>
      </c>
      <c r="D136" s="14">
        <f t="shared" si="3"/>
        <v>116.72749490595612</v>
      </c>
    </row>
    <row r="137" spans="1:4" ht="13.5" x14ac:dyDescent="0.2">
      <c r="A137" s="100" t="s">
        <v>37</v>
      </c>
      <c r="B137" s="101"/>
      <c r="C137" s="21">
        <f>(1+C129)*(1+C128)/(1-C130)-1</f>
        <v>0.21839080459770144</v>
      </c>
      <c r="D137" s="19">
        <f>SUM(D128:D130)</f>
        <v>418.45705721003139</v>
      </c>
    </row>
    <row r="140" spans="1:4" x14ac:dyDescent="0.2">
      <c r="A140" s="96" t="s">
        <v>70</v>
      </c>
      <c r="B140" s="96"/>
      <c r="C140" s="96"/>
      <c r="D140" s="96"/>
    </row>
    <row r="142" spans="1:4" x14ac:dyDescent="0.2">
      <c r="A142" s="31"/>
      <c r="B142" s="93" t="s">
        <v>71</v>
      </c>
      <c r="C142" s="93"/>
      <c r="D142" s="31" t="s">
        <v>3</v>
      </c>
    </row>
    <row r="143" spans="1:4" x14ac:dyDescent="0.2">
      <c r="A143" s="31" t="s">
        <v>4</v>
      </c>
      <c r="B143" s="94" t="s">
        <v>1</v>
      </c>
      <c r="C143" s="94"/>
      <c r="D143" s="22">
        <f>D26</f>
        <v>750.63068181818187</v>
      </c>
    </row>
    <row r="144" spans="1:4" x14ac:dyDescent="0.2">
      <c r="A144" s="31" t="s">
        <v>6</v>
      </c>
      <c r="B144" s="94" t="s">
        <v>17</v>
      </c>
      <c r="C144" s="94"/>
      <c r="D144" s="22">
        <f>D70</f>
        <v>828.21215909090904</v>
      </c>
    </row>
    <row r="145" spans="1:4" x14ac:dyDescent="0.2">
      <c r="A145" s="31" t="s">
        <v>8</v>
      </c>
      <c r="B145" s="94" t="s">
        <v>45</v>
      </c>
      <c r="C145" s="94"/>
      <c r="D145" s="22">
        <f>D82</f>
        <v>0</v>
      </c>
    </row>
    <row r="146" spans="1:4" x14ac:dyDescent="0.2">
      <c r="A146" s="31" t="s">
        <v>10</v>
      </c>
      <c r="B146" s="94" t="s">
        <v>52</v>
      </c>
      <c r="C146" s="94"/>
      <c r="D146" s="22">
        <f>D112</f>
        <v>8.68</v>
      </c>
    </row>
    <row r="147" spans="1:4" x14ac:dyDescent="0.2">
      <c r="A147" s="31" t="s">
        <v>12</v>
      </c>
      <c r="B147" s="94" t="s">
        <v>57</v>
      </c>
      <c r="C147" s="94"/>
      <c r="D147" s="22">
        <f>D122</f>
        <v>328.57</v>
      </c>
    </row>
    <row r="148" spans="1:4" x14ac:dyDescent="0.2">
      <c r="A148" s="93" t="s">
        <v>96</v>
      </c>
      <c r="B148" s="93"/>
      <c r="C148" s="93"/>
      <c r="D148" s="23">
        <f>SUM(D143:D147)</f>
        <v>1916.0928409090909</v>
      </c>
    </row>
    <row r="149" spans="1:4" x14ac:dyDescent="0.2">
      <c r="A149" s="31" t="s">
        <v>32</v>
      </c>
      <c r="B149" s="94" t="s">
        <v>72</v>
      </c>
      <c r="C149" s="94"/>
      <c r="D149" s="24">
        <f>D137</f>
        <v>418.45705721003139</v>
      </c>
    </row>
    <row r="150" spans="1:4" x14ac:dyDescent="0.2">
      <c r="A150" s="93" t="s">
        <v>73</v>
      </c>
      <c r="B150" s="93"/>
      <c r="C150" s="93"/>
      <c r="D150" s="23">
        <f>SUM(D148:D149)</f>
        <v>2334.5498981191222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118" zoomScale="115" zoomScaleNormal="115" workbookViewId="0">
      <selection activeCell="D56" sqref="D5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05" t="s">
        <v>0</v>
      </c>
      <c r="B1" s="105"/>
      <c r="C1" s="105"/>
      <c r="D1" s="105"/>
    </row>
    <row r="2" spans="1:4" ht="15.75" x14ac:dyDescent="0.25">
      <c r="A2" s="26"/>
      <c r="B2" s="26"/>
      <c r="C2" s="26"/>
      <c r="D2" s="26"/>
    </row>
    <row r="3" spans="1:4" x14ac:dyDescent="0.2">
      <c r="A3" s="95" t="s">
        <v>90</v>
      </c>
      <c r="B3" s="95"/>
      <c r="C3" s="95"/>
      <c r="D3" s="95"/>
    </row>
    <row r="4" spans="1:4" x14ac:dyDescent="0.2">
      <c r="A4" s="2"/>
      <c r="B4" s="2"/>
      <c r="C4" s="2"/>
      <c r="D4" s="2"/>
    </row>
    <row r="5" spans="1:4" ht="38.25" x14ac:dyDescent="0.2">
      <c r="A5" s="107" t="s">
        <v>91</v>
      </c>
      <c r="B5" s="107"/>
      <c r="C5" s="33" t="s">
        <v>92</v>
      </c>
      <c r="D5" s="27" t="s">
        <v>93</v>
      </c>
    </row>
    <row r="6" spans="1:4" x14ac:dyDescent="0.2">
      <c r="A6" s="90" t="s">
        <v>203</v>
      </c>
      <c r="B6" s="90"/>
      <c r="C6" s="34" t="s">
        <v>101</v>
      </c>
      <c r="D6" s="34">
        <v>10</v>
      </c>
    </row>
    <row r="8" spans="1:4" x14ac:dyDescent="0.2">
      <c r="A8" s="95" t="s">
        <v>74</v>
      </c>
      <c r="B8" s="95"/>
      <c r="C8" s="95"/>
      <c r="D8" s="95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91" t="s">
        <v>100</v>
      </c>
      <c r="D10" s="92"/>
    </row>
    <row r="11" spans="1:4" x14ac:dyDescent="0.2">
      <c r="A11" s="5">
        <v>2</v>
      </c>
      <c r="B11" s="5" t="s">
        <v>94</v>
      </c>
      <c r="C11" s="91" t="s">
        <v>102</v>
      </c>
      <c r="D11" s="92"/>
    </row>
    <row r="12" spans="1:4" x14ac:dyDescent="0.2">
      <c r="A12" s="5">
        <v>3</v>
      </c>
      <c r="B12" s="5" t="s">
        <v>76</v>
      </c>
      <c r="C12" s="91">
        <v>1321.11</v>
      </c>
      <c r="D12" s="92"/>
    </row>
    <row r="13" spans="1:4" x14ac:dyDescent="0.2">
      <c r="A13" s="5">
        <v>4</v>
      </c>
      <c r="B13" s="5" t="s">
        <v>77</v>
      </c>
      <c r="C13" s="91"/>
      <c r="D13" s="92"/>
    </row>
    <row r="14" spans="1:4" x14ac:dyDescent="0.2">
      <c r="A14" s="5">
        <v>5</v>
      </c>
      <c r="B14" s="5" t="s">
        <v>78</v>
      </c>
      <c r="C14" s="91"/>
      <c r="D14" s="92"/>
    </row>
    <row r="16" spans="1:4" x14ac:dyDescent="0.2">
      <c r="A16" s="95" t="s">
        <v>1</v>
      </c>
      <c r="B16" s="95"/>
      <c r="C16" s="95"/>
      <c r="D16" s="95"/>
    </row>
    <row r="18" spans="1:4" x14ac:dyDescent="0.2">
      <c r="A18" s="31">
        <v>1</v>
      </c>
      <c r="B18" s="93" t="s">
        <v>2</v>
      </c>
      <c r="C18" s="93"/>
      <c r="D18" s="31" t="s">
        <v>3</v>
      </c>
    </row>
    <row r="19" spans="1:4" x14ac:dyDescent="0.2">
      <c r="A19" s="33" t="s">
        <v>4</v>
      </c>
      <c r="B19" s="94" t="s">
        <v>5</v>
      </c>
      <c r="C19" s="94"/>
      <c r="D19" s="13">
        <f>C12*(25/44)</f>
        <v>750.63068181818187</v>
      </c>
    </row>
    <row r="20" spans="1:4" x14ac:dyDescent="0.2">
      <c r="A20" s="33" t="s">
        <v>6</v>
      </c>
      <c r="B20" s="94" t="s">
        <v>7</v>
      </c>
      <c r="C20" s="94"/>
      <c r="D20" s="13"/>
    </row>
    <row r="21" spans="1:4" x14ac:dyDescent="0.2">
      <c r="A21" s="33" t="s">
        <v>8</v>
      </c>
      <c r="B21" s="94" t="s">
        <v>9</v>
      </c>
      <c r="C21" s="94"/>
      <c r="D21" s="13"/>
    </row>
    <row r="22" spans="1:4" x14ac:dyDescent="0.2">
      <c r="A22" s="33" t="s">
        <v>10</v>
      </c>
      <c r="B22" s="94" t="s">
        <v>11</v>
      </c>
      <c r="C22" s="94"/>
      <c r="D22" s="13"/>
    </row>
    <row r="23" spans="1:4" x14ac:dyDescent="0.2">
      <c r="A23" s="33" t="s">
        <v>12</v>
      </c>
      <c r="B23" s="94" t="s">
        <v>13</v>
      </c>
      <c r="C23" s="94"/>
      <c r="D23" s="13"/>
    </row>
    <row r="24" spans="1:4" x14ac:dyDescent="0.2">
      <c r="A24" s="33"/>
      <c r="B24" s="94"/>
      <c r="C24" s="94"/>
      <c r="D24" s="13"/>
    </row>
    <row r="25" spans="1:4" x14ac:dyDescent="0.2">
      <c r="A25" s="33" t="s">
        <v>14</v>
      </c>
      <c r="B25" s="94" t="s">
        <v>15</v>
      </c>
      <c r="C25" s="94"/>
      <c r="D25" s="13"/>
    </row>
    <row r="26" spans="1:4" x14ac:dyDescent="0.2">
      <c r="A26" s="93" t="s">
        <v>16</v>
      </c>
      <c r="B26" s="93"/>
      <c r="C26" s="93"/>
      <c r="D26" s="20">
        <f>SUM(D19:D25)</f>
        <v>750.63068181818187</v>
      </c>
    </row>
    <row r="29" spans="1:4" x14ac:dyDescent="0.2">
      <c r="A29" s="96" t="s">
        <v>17</v>
      </c>
      <c r="B29" s="96"/>
      <c r="C29" s="96"/>
      <c r="D29" s="96"/>
    </row>
    <row r="30" spans="1:4" x14ac:dyDescent="0.2">
      <c r="A30" s="3"/>
    </row>
    <row r="31" spans="1:4" x14ac:dyDescent="0.2">
      <c r="A31" s="103" t="s">
        <v>18</v>
      </c>
      <c r="B31" s="103"/>
      <c r="C31" s="103"/>
      <c r="D31" s="103"/>
    </row>
    <row r="33" spans="1:4" x14ac:dyDescent="0.2">
      <c r="A33" s="31" t="s">
        <v>19</v>
      </c>
      <c r="B33" s="93" t="s">
        <v>20</v>
      </c>
      <c r="C33" s="93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62.52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83.39</v>
      </c>
    </row>
    <row r="36" spans="1:4" x14ac:dyDescent="0.2">
      <c r="A36" s="93" t="s">
        <v>16</v>
      </c>
      <c r="B36" s="93"/>
      <c r="C36" s="28">
        <f>SUM(C34:C35)</f>
        <v>0.19440000000000002</v>
      </c>
      <c r="D36" s="19">
        <f>SUM(D34:D35)</f>
        <v>145.91</v>
      </c>
    </row>
    <row r="39" spans="1:4" x14ac:dyDescent="0.2">
      <c r="A39" s="106" t="s">
        <v>23</v>
      </c>
      <c r="B39" s="106"/>
      <c r="C39" s="106"/>
      <c r="D39" s="106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179.3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22.41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26.89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13.44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8.9600000000000009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5.37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1.79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71.72</v>
      </c>
    </row>
    <row r="50" spans="1:4" x14ac:dyDescent="0.2">
      <c r="A50" s="93" t="s">
        <v>37</v>
      </c>
      <c r="B50" s="93"/>
      <c r="C50" s="15">
        <f>SUM(C42:C49)</f>
        <v>0.36800000000000005</v>
      </c>
      <c r="D50" s="19">
        <f>SUM(D42:D49)</f>
        <v>329.88</v>
      </c>
    </row>
    <row r="53" spans="1:4" x14ac:dyDescent="0.2">
      <c r="A53" s="103" t="s">
        <v>38</v>
      </c>
      <c r="B53" s="103"/>
      <c r="C53" s="103"/>
      <c r="D53" s="103"/>
    </row>
    <row r="55" spans="1:4" x14ac:dyDescent="0.2">
      <c r="A55" s="31" t="s">
        <v>39</v>
      </c>
      <c r="B55" s="102" t="s">
        <v>40</v>
      </c>
      <c r="C55" s="102"/>
      <c r="D55" s="31" t="s">
        <v>3</v>
      </c>
    </row>
    <row r="56" spans="1:4" x14ac:dyDescent="0.2">
      <c r="A56" s="33" t="s">
        <v>4</v>
      </c>
      <c r="B56" s="94" t="s">
        <v>41</v>
      </c>
      <c r="C56" s="94"/>
      <c r="D56" s="13">
        <f>(30*2*3.92)-(D19*0.06)</f>
        <v>190.16215909090909</v>
      </c>
    </row>
    <row r="57" spans="1:4" x14ac:dyDescent="0.2">
      <c r="A57" s="33" t="s">
        <v>6</v>
      </c>
      <c r="B57" s="94" t="s">
        <v>42</v>
      </c>
      <c r="C57" s="94"/>
      <c r="D57" s="13">
        <v>0</v>
      </c>
    </row>
    <row r="58" spans="1:4" x14ac:dyDescent="0.2">
      <c r="A58" s="33" t="s">
        <v>8</v>
      </c>
      <c r="B58" s="94" t="s">
        <v>103</v>
      </c>
      <c r="C58" s="94"/>
      <c r="D58" s="13">
        <v>146</v>
      </c>
    </row>
    <row r="59" spans="1:4" x14ac:dyDescent="0.2">
      <c r="A59" s="33" t="s">
        <v>10</v>
      </c>
      <c r="B59" s="94" t="s">
        <v>104</v>
      </c>
      <c r="C59" s="94"/>
      <c r="D59" s="13">
        <v>12.11</v>
      </c>
    </row>
    <row r="60" spans="1:4" x14ac:dyDescent="0.2">
      <c r="A60" s="33" t="s">
        <v>12</v>
      </c>
      <c r="B60" s="94" t="s">
        <v>105</v>
      </c>
      <c r="C60" s="94"/>
      <c r="D60" s="13">
        <v>4.1500000000000004</v>
      </c>
    </row>
    <row r="61" spans="1:4" x14ac:dyDescent="0.2">
      <c r="A61" s="93" t="s">
        <v>16</v>
      </c>
      <c r="B61" s="93"/>
      <c r="C61" s="93"/>
      <c r="D61" s="19">
        <f>SUM(D56:D60)</f>
        <v>352.42215909090908</v>
      </c>
    </row>
    <row r="64" spans="1:4" x14ac:dyDescent="0.2">
      <c r="A64" s="103" t="s">
        <v>43</v>
      </c>
      <c r="B64" s="103"/>
      <c r="C64" s="103"/>
      <c r="D64" s="103"/>
    </row>
    <row r="66" spans="1:5" x14ac:dyDescent="0.2">
      <c r="A66" s="31">
        <v>2</v>
      </c>
      <c r="B66" s="102" t="s">
        <v>44</v>
      </c>
      <c r="C66" s="102"/>
      <c r="D66" s="31" t="s">
        <v>3</v>
      </c>
    </row>
    <row r="67" spans="1:5" x14ac:dyDescent="0.2">
      <c r="A67" s="33" t="s">
        <v>19</v>
      </c>
      <c r="B67" s="94" t="s">
        <v>20</v>
      </c>
      <c r="C67" s="94"/>
      <c r="D67" s="14">
        <f>D36</f>
        <v>145.91</v>
      </c>
    </row>
    <row r="68" spans="1:5" x14ac:dyDescent="0.2">
      <c r="A68" s="33" t="s">
        <v>24</v>
      </c>
      <c r="B68" s="94" t="s">
        <v>25</v>
      </c>
      <c r="C68" s="94"/>
      <c r="D68" s="14">
        <f>D50</f>
        <v>329.88</v>
      </c>
    </row>
    <row r="69" spans="1:5" x14ac:dyDescent="0.2">
      <c r="A69" s="33" t="s">
        <v>39</v>
      </c>
      <c r="B69" s="94" t="s">
        <v>40</v>
      </c>
      <c r="C69" s="94"/>
      <c r="D69" s="14">
        <f>D61</f>
        <v>352.42215909090908</v>
      </c>
    </row>
    <row r="70" spans="1:5" x14ac:dyDescent="0.2">
      <c r="A70" s="93" t="s">
        <v>16</v>
      </c>
      <c r="B70" s="93"/>
      <c r="C70" s="93"/>
      <c r="D70" s="19">
        <f>SUM(D67:D69)</f>
        <v>828.21215909090904</v>
      </c>
    </row>
    <row r="71" spans="1:5" x14ac:dyDescent="0.2">
      <c r="A71" s="4"/>
      <c r="E71" s="18"/>
    </row>
    <row r="73" spans="1:5" x14ac:dyDescent="0.2">
      <c r="A73" s="96" t="s">
        <v>45</v>
      </c>
      <c r="B73" s="96"/>
      <c r="C73" s="96"/>
      <c r="D73" s="96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102" t="s">
        <v>46</v>
      </c>
      <c r="C75" s="102"/>
      <c r="D75" s="31" t="s">
        <v>3</v>
      </c>
    </row>
    <row r="76" spans="1:5" x14ac:dyDescent="0.2">
      <c r="A76" s="35" t="s">
        <v>4</v>
      </c>
      <c r="B76" s="10" t="s">
        <v>47</v>
      </c>
      <c r="C76" s="9">
        <f>TRUNC(((1/12)*5%),4)*0</f>
        <v>0</v>
      </c>
      <c r="D76" s="13">
        <f>TRUNC($D$26*C76,2)</f>
        <v>0</v>
      </c>
    </row>
    <row r="77" spans="1:5" x14ac:dyDescent="0.2">
      <c r="A77" s="35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5" t="s">
        <v>8</v>
      </c>
      <c r="B78" s="10" t="s">
        <v>49</v>
      </c>
      <c r="C78" s="9">
        <f>TRUNC(8%*5%*40%,4)*0</f>
        <v>0</v>
      </c>
      <c r="D78" s="13">
        <f>TRUNC($D$26*C78,2)</f>
        <v>0</v>
      </c>
    </row>
    <row r="79" spans="1:5" x14ac:dyDescent="0.2">
      <c r="A79" s="35" t="s">
        <v>10</v>
      </c>
      <c r="B79" s="10" t="s">
        <v>50</v>
      </c>
      <c r="C79" s="9">
        <f>TRUNC(((7/30)/12)*95%,4)*0</f>
        <v>0</v>
      </c>
      <c r="D79" s="13">
        <f>TRUNC($D$26*C79,2)</f>
        <v>0</v>
      </c>
    </row>
    <row r="80" spans="1:5" ht="25.5" x14ac:dyDescent="0.2">
      <c r="A80" s="35" t="s">
        <v>12</v>
      </c>
      <c r="B80" s="10" t="s">
        <v>95</v>
      </c>
      <c r="C80" s="9">
        <f>C50</f>
        <v>0.36800000000000005</v>
      </c>
      <c r="D80" s="13">
        <f>TRUNC(D79*C80,2)</f>
        <v>0</v>
      </c>
    </row>
    <row r="81" spans="1:4" x14ac:dyDescent="0.2">
      <c r="A81" s="35" t="s">
        <v>32</v>
      </c>
      <c r="B81" s="10" t="s">
        <v>51</v>
      </c>
      <c r="C81" s="9">
        <f>TRUNC(8%*95%*40%,4)*0</f>
        <v>0</v>
      </c>
      <c r="D81" s="13">
        <f t="shared" ref="D81" si="1">TRUNC($D$26*C81,2)</f>
        <v>0</v>
      </c>
    </row>
    <row r="82" spans="1:4" x14ac:dyDescent="0.2">
      <c r="A82" s="100" t="s">
        <v>16</v>
      </c>
      <c r="B82" s="101"/>
      <c r="C82" s="104"/>
      <c r="D82" s="19">
        <f>SUM(D76:D81)</f>
        <v>0</v>
      </c>
    </row>
    <row r="85" spans="1:4" x14ac:dyDescent="0.2">
      <c r="A85" s="96" t="s">
        <v>52</v>
      </c>
      <c r="B85" s="96"/>
      <c r="C85" s="96"/>
      <c r="D85" s="96"/>
    </row>
    <row r="88" spans="1:4" x14ac:dyDescent="0.2">
      <c r="A88" s="103" t="s">
        <v>79</v>
      </c>
      <c r="B88" s="103"/>
      <c r="C88" s="103"/>
      <c r="D88" s="103"/>
    </row>
    <row r="89" spans="1:4" x14ac:dyDescent="0.2">
      <c r="A89" s="3"/>
    </row>
    <row r="90" spans="1:4" x14ac:dyDescent="0.2">
      <c r="A90" s="36" t="s">
        <v>53</v>
      </c>
      <c r="B90" s="102" t="s">
        <v>80</v>
      </c>
      <c r="C90" s="102"/>
      <c r="D90" s="36" t="s">
        <v>3</v>
      </c>
    </row>
    <row r="91" spans="1:4" x14ac:dyDescent="0.2">
      <c r="A91" s="35" t="s">
        <v>4</v>
      </c>
      <c r="B91" s="37" t="s">
        <v>81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5" t="s">
        <v>6</v>
      </c>
      <c r="B92" s="37" t="s">
        <v>82</v>
      </c>
      <c r="C92" s="9">
        <f>TRUNC(((2/30)/12),4)</f>
        <v>5.4999999999999997E-3</v>
      </c>
      <c r="D92" s="13">
        <f t="shared" ref="D92:D96" si="2">TRUNC(($D$26+$D$70+$D$82)*C92,2)</f>
        <v>8.68</v>
      </c>
    </row>
    <row r="93" spans="1:4" x14ac:dyDescent="0.2">
      <c r="A93" s="35" t="s">
        <v>8</v>
      </c>
      <c r="B93" s="37" t="s">
        <v>83</v>
      </c>
      <c r="C93" s="9">
        <f>TRUNC(((5/30)/12)*2%,4)*0</f>
        <v>0</v>
      </c>
      <c r="D93" s="13">
        <f t="shared" si="2"/>
        <v>0</v>
      </c>
    </row>
    <row r="94" spans="1:4" x14ac:dyDescent="0.2">
      <c r="A94" s="35" t="s">
        <v>10</v>
      </c>
      <c r="B94" s="37" t="s">
        <v>84</v>
      </c>
      <c r="C94" s="9">
        <f>TRUNC(((15/30)/12)*8%,4)*0</f>
        <v>0</v>
      </c>
      <c r="D94" s="13">
        <f t="shared" si="2"/>
        <v>0</v>
      </c>
    </row>
    <row r="95" spans="1:4" x14ac:dyDescent="0.2">
      <c r="A95" s="35" t="s">
        <v>12</v>
      </c>
      <c r="B95" s="37" t="s">
        <v>85</v>
      </c>
      <c r="C95" s="9">
        <f>((1+1/3)/12)*3%*(4/12)*0</f>
        <v>0</v>
      </c>
      <c r="D95" s="13">
        <f t="shared" si="2"/>
        <v>0</v>
      </c>
    </row>
    <row r="96" spans="1:4" x14ac:dyDescent="0.2">
      <c r="A96" s="35" t="s">
        <v>32</v>
      </c>
      <c r="B96" s="37" t="s">
        <v>86</v>
      </c>
      <c r="C96" s="9"/>
      <c r="D96" s="13">
        <f t="shared" si="2"/>
        <v>0</v>
      </c>
    </row>
    <row r="97" spans="1:6" x14ac:dyDescent="0.2">
      <c r="A97" s="93" t="s">
        <v>37</v>
      </c>
      <c r="B97" s="93"/>
      <c r="C97" s="93"/>
      <c r="D97" s="19">
        <f>SUM(D91:D96)</f>
        <v>8.68</v>
      </c>
      <c r="E97" s="17"/>
      <c r="F97" s="17"/>
    </row>
    <row r="100" spans="1:6" x14ac:dyDescent="0.2">
      <c r="A100" s="103" t="s">
        <v>87</v>
      </c>
      <c r="B100" s="103"/>
      <c r="C100" s="103"/>
      <c r="D100" s="103"/>
    </row>
    <row r="101" spans="1:6" x14ac:dyDescent="0.2">
      <c r="A101" s="3"/>
    </row>
    <row r="102" spans="1:6" x14ac:dyDescent="0.2">
      <c r="A102" s="31" t="s">
        <v>54</v>
      </c>
      <c r="B102" s="102" t="s">
        <v>88</v>
      </c>
      <c r="C102" s="102"/>
      <c r="D102" s="31" t="s">
        <v>3</v>
      </c>
    </row>
    <row r="103" spans="1:6" x14ac:dyDescent="0.2">
      <c r="A103" s="33" t="s">
        <v>4</v>
      </c>
      <c r="B103" s="97" t="s">
        <v>89</v>
      </c>
      <c r="C103" s="98"/>
      <c r="D103" s="13">
        <f>((D26+D70+D82)/220)*22*0</f>
        <v>0</v>
      </c>
    </row>
    <row r="104" spans="1:6" x14ac:dyDescent="0.2">
      <c r="A104" s="93" t="s">
        <v>16</v>
      </c>
      <c r="B104" s="93"/>
      <c r="C104" s="93"/>
      <c r="D104" s="19">
        <f>SUM(D103)</f>
        <v>0</v>
      </c>
    </row>
    <row r="107" spans="1:6" x14ac:dyDescent="0.2">
      <c r="A107" s="103" t="s">
        <v>55</v>
      </c>
      <c r="B107" s="103"/>
      <c r="C107" s="103"/>
      <c r="D107" s="103"/>
    </row>
    <row r="108" spans="1:6" x14ac:dyDescent="0.2">
      <c r="A108" s="3"/>
    </row>
    <row r="109" spans="1:6" x14ac:dyDescent="0.2">
      <c r="A109" s="31">
        <v>4</v>
      </c>
      <c r="B109" s="93" t="s">
        <v>56</v>
      </c>
      <c r="C109" s="93"/>
      <c r="D109" s="31" t="s">
        <v>3</v>
      </c>
    </row>
    <row r="110" spans="1:6" x14ac:dyDescent="0.2">
      <c r="A110" s="33" t="s">
        <v>53</v>
      </c>
      <c r="B110" s="94" t="s">
        <v>80</v>
      </c>
      <c r="C110" s="94"/>
      <c r="D110" s="14">
        <f>D97</f>
        <v>8.68</v>
      </c>
    </row>
    <row r="111" spans="1:6" x14ac:dyDescent="0.2">
      <c r="A111" s="33" t="s">
        <v>54</v>
      </c>
      <c r="B111" s="94" t="s">
        <v>88</v>
      </c>
      <c r="C111" s="94"/>
      <c r="D111" s="14">
        <f>D104</f>
        <v>0</v>
      </c>
    </row>
    <row r="112" spans="1:6" x14ac:dyDescent="0.2">
      <c r="A112" s="93" t="s">
        <v>16</v>
      </c>
      <c r="B112" s="93"/>
      <c r="C112" s="93"/>
      <c r="D112" s="19">
        <f>SUM(D110:D111)</f>
        <v>8.68</v>
      </c>
    </row>
    <row r="115" spans="1:4" x14ac:dyDescent="0.2">
      <c r="A115" s="96" t="s">
        <v>57</v>
      </c>
      <c r="B115" s="96"/>
      <c r="C115" s="96"/>
      <c r="D115" s="96"/>
    </row>
    <row r="117" spans="1:4" x14ac:dyDescent="0.2">
      <c r="A117" s="31">
        <v>5</v>
      </c>
      <c r="B117" s="99" t="s">
        <v>58</v>
      </c>
      <c r="C117" s="99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210.78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3" t="s">
        <v>8</v>
      </c>
      <c r="B120" s="30" t="s">
        <v>61</v>
      </c>
      <c r="C120" s="30"/>
      <c r="D120" s="13"/>
    </row>
    <row r="121" spans="1:4" x14ac:dyDescent="0.2">
      <c r="A121" s="33" t="s">
        <v>10</v>
      </c>
      <c r="B121" s="30" t="s">
        <v>106</v>
      </c>
      <c r="C121" s="30"/>
      <c r="D121" s="13"/>
    </row>
    <row r="122" spans="1:4" x14ac:dyDescent="0.2">
      <c r="A122" s="93" t="s">
        <v>37</v>
      </c>
      <c r="B122" s="93"/>
      <c r="C122" s="93"/>
      <c r="D122" s="20">
        <f>SUM(D118:D121)</f>
        <v>210.78</v>
      </c>
    </row>
    <row r="125" spans="1:4" x14ac:dyDescent="0.2">
      <c r="A125" s="96" t="s">
        <v>62</v>
      </c>
      <c r="B125" s="96"/>
      <c r="C125" s="96"/>
      <c r="D125" s="96"/>
    </row>
    <row r="127" spans="1:4" x14ac:dyDescent="0.2">
      <c r="A127" s="31">
        <v>6</v>
      </c>
      <c r="B127" s="32" t="s">
        <v>63</v>
      </c>
      <c r="C127" s="31" t="s">
        <v>26</v>
      </c>
      <c r="D127" s="31" t="s">
        <v>3</v>
      </c>
    </row>
    <row r="128" spans="1:4" x14ac:dyDescent="0.2">
      <c r="A128" s="33" t="s">
        <v>4</v>
      </c>
      <c r="B128" s="30" t="s">
        <v>64</v>
      </c>
      <c r="C128" s="9">
        <v>0.05</v>
      </c>
      <c r="D128" s="14">
        <f>D148*C128</f>
        <v>89.915142045454559</v>
      </c>
    </row>
    <row r="129" spans="1:4" x14ac:dyDescent="0.2">
      <c r="A129" s="33" t="s">
        <v>6</v>
      </c>
      <c r="B129" s="30" t="s">
        <v>65</v>
      </c>
      <c r="C129" s="9">
        <v>0.06</v>
      </c>
      <c r="D129" s="13">
        <f>(D148+D128)*C129</f>
        <v>113.29307897727273</v>
      </c>
    </row>
    <row r="130" spans="1:4" x14ac:dyDescent="0.2">
      <c r="A130" s="33" t="s">
        <v>8</v>
      </c>
      <c r="B130" s="30" t="s">
        <v>66</v>
      </c>
      <c r="C130" s="12">
        <f>SUM(C131:C136)</f>
        <v>8.6499999999999994E-2</v>
      </c>
      <c r="D130" s="13">
        <f>(D148+D128+D129)*C130/(1-C130)</f>
        <v>189.52458331374086</v>
      </c>
    </row>
    <row r="131" spans="1:4" x14ac:dyDescent="0.2">
      <c r="A131" s="33"/>
      <c r="B131" s="30" t="s">
        <v>67</v>
      </c>
      <c r="C131" s="9"/>
      <c r="D131" s="14">
        <f>$D$150*C131</f>
        <v>0</v>
      </c>
    </row>
    <row r="132" spans="1:4" x14ac:dyDescent="0.2">
      <c r="A132" s="33"/>
      <c r="B132" s="30" t="s">
        <v>97</v>
      </c>
      <c r="C132" s="9">
        <v>6.4999999999999997E-3</v>
      </c>
      <c r="D132" s="14">
        <f t="shared" ref="D132:D136" si="3">$D$150*C132</f>
        <v>14.241731694096133</v>
      </c>
    </row>
    <row r="133" spans="1:4" x14ac:dyDescent="0.2">
      <c r="A133" s="33"/>
      <c r="B133" s="30" t="s">
        <v>98</v>
      </c>
      <c r="C133" s="9">
        <v>0.03</v>
      </c>
      <c r="D133" s="14">
        <f t="shared" si="3"/>
        <v>65.731069357366763</v>
      </c>
    </row>
    <row r="134" spans="1:4" x14ac:dyDescent="0.2">
      <c r="A134" s="33"/>
      <c r="B134" s="30" t="s">
        <v>68</v>
      </c>
      <c r="C134" s="33"/>
      <c r="D134" s="14">
        <f t="shared" si="3"/>
        <v>0</v>
      </c>
    </row>
    <row r="135" spans="1:4" x14ac:dyDescent="0.2">
      <c r="A135" s="33"/>
      <c r="B135" s="30" t="s">
        <v>69</v>
      </c>
      <c r="C135" s="9"/>
      <c r="D135" s="14">
        <f t="shared" si="3"/>
        <v>0</v>
      </c>
    </row>
    <row r="136" spans="1:4" x14ac:dyDescent="0.2">
      <c r="A136" s="33"/>
      <c r="B136" s="30" t="s">
        <v>99</v>
      </c>
      <c r="C136" s="9">
        <v>0.05</v>
      </c>
      <c r="D136" s="14">
        <f t="shared" si="3"/>
        <v>109.55178226227795</v>
      </c>
    </row>
    <row r="137" spans="1:4" ht="13.5" x14ac:dyDescent="0.2">
      <c r="A137" s="100" t="s">
        <v>37</v>
      </c>
      <c r="B137" s="101"/>
      <c r="C137" s="21">
        <f>(1+C129)*(1+C128)/(1-C130)-1</f>
        <v>0.21839080459770144</v>
      </c>
      <c r="D137" s="19">
        <f>SUM(D128:D130)</f>
        <v>392.73280433646812</v>
      </c>
    </row>
    <row r="140" spans="1:4" x14ac:dyDescent="0.2">
      <c r="A140" s="96" t="s">
        <v>70</v>
      </c>
      <c r="B140" s="96"/>
      <c r="C140" s="96"/>
      <c r="D140" s="96"/>
    </row>
    <row r="142" spans="1:4" x14ac:dyDescent="0.2">
      <c r="A142" s="31"/>
      <c r="B142" s="93" t="s">
        <v>71</v>
      </c>
      <c r="C142" s="93"/>
      <c r="D142" s="31" t="s">
        <v>3</v>
      </c>
    </row>
    <row r="143" spans="1:4" x14ac:dyDescent="0.2">
      <c r="A143" s="31" t="s">
        <v>4</v>
      </c>
      <c r="B143" s="94" t="s">
        <v>1</v>
      </c>
      <c r="C143" s="94"/>
      <c r="D143" s="22">
        <f>D26</f>
        <v>750.63068181818187</v>
      </c>
    </row>
    <row r="144" spans="1:4" x14ac:dyDescent="0.2">
      <c r="A144" s="31" t="s">
        <v>6</v>
      </c>
      <c r="B144" s="94" t="s">
        <v>17</v>
      </c>
      <c r="C144" s="94"/>
      <c r="D144" s="22">
        <f>D70</f>
        <v>828.21215909090904</v>
      </c>
    </row>
    <row r="145" spans="1:4" x14ac:dyDescent="0.2">
      <c r="A145" s="31" t="s">
        <v>8</v>
      </c>
      <c r="B145" s="94" t="s">
        <v>45</v>
      </c>
      <c r="C145" s="94"/>
      <c r="D145" s="22">
        <f>D82</f>
        <v>0</v>
      </c>
    </row>
    <row r="146" spans="1:4" x14ac:dyDescent="0.2">
      <c r="A146" s="31" t="s">
        <v>10</v>
      </c>
      <c r="B146" s="94" t="s">
        <v>52</v>
      </c>
      <c r="C146" s="94"/>
      <c r="D146" s="22">
        <f>D112</f>
        <v>8.68</v>
      </c>
    </row>
    <row r="147" spans="1:4" x14ac:dyDescent="0.2">
      <c r="A147" s="31" t="s">
        <v>12</v>
      </c>
      <c r="B147" s="94" t="s">
        <v>57</v>
      </c>
      <c r="C147" s="94"/>
      <c r="D147" s="22">
        <f>D122</f>
        <v>210.78</v>
      </c>
    </row>
    <row r="148" spans="1:4" x14ac:dyDescent="0.2">
      <c r="A148" s="93" t="s">
        <v>96</v>
      </c>
      <c r="B148" s="93"/>
      <c r="C148" s="93"/>
      <c r="D148" s="23">
        <f>SUM(D143:D147)</f>
        <v>1798.3028409090909</v>
      </c>
    </row>
    <row r="149" spans="1:4" x14ac:dyDescent="0.2">
      <c r="A149" s="31" t="s">
        <v>32</v>
      </c>
      <c r="B149" s="94" t="s">
        <v>72</v>
      </c>
      <c r="C149" s="94"/>
      <c r="D149" s="24">
        <f>D137</f>
        <v>392.73280433646812</v>
      </c>
    </row>
    <row r="150" spans="1:4" x14ac:dyDescent="0.2">
      <c r="A150" s="93" t="s">
        <v>73</v>
      </c>
      <c r="B150" s="93"/>
      <c r="C150" s="93"/>
      <c r="D150" s="23">
        <f>SUM(D148:D149)</f>
        <v>2191.035645245559</v>
      </c>
    </row>
  </sheetData>
  <mergeCells count="71">
    <mergeCell ref="B146:C146"/>
    <mergeCell ref="B147:C147"/>
    <mergeCell ref="A148:C148"/>
    <mergeCell ref="B149:C149"/>
    <mergeCell ref="A150:C150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C10:D10"/>
    <mergeCell ref="A1:D1"/>
    <mergeCell ref="A3:D3"/>
    <mergeCell ref="A5:B5"/>
    <mergeCell ref="A6:B6"/>
    <mergeCell ref="A8:D8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view="pageBreakPreview" topLeftCell="A64" zoomScaleNormal="115" zoomScaleSheetLayoutView="100" workbookViewId="0">
      <selection activeCell="E87" sqref="E87"/>
    </sheetView>
  </sheetViews>
  <sheetFormatPr defaultRowHeight="12.75" x14ac:dyDescent="0.2"/>
  <cols>
    <col min="1" max="1" width="5.7109375" style="1" customWidth="1"/>
    <col min="2" max="2" width="20.7109375" style="1" customWidth="1"/>
    <col min="3" max="7" width="15.7109375" style="1" customWidth="1"/>
    <col min="8" max="16384" width="9.140625" style="1"/>
  </cols>
  <sheetData>
    <row r="1" spans="1:7" x14ac:dyDescent="0.2">
      <c r="A1" s="38" t="s">
        <v>172</v>
      </c>
    </row>
    <row r="3" spans="1:7" x14ac:dyDescent="0.2">
      <c r="A3" s="109" t="s">
        <v>169</v>
      </c>
      <c r="B3" s="109"/>
      <c r="C3" s="109"/>
      <c r="D3" s="109"/>
      <c r="E3" s="109"/>
      <c r="F3" s="109"/>
      <c r="G3" s="109"/>
    </row>
    <row r="4" spans="1:7" s="45" customFormat="1" ht="25.5" x14ac:dyDescent="0.25">
      <c r="A4" s="57" t="s">
        <v>110</v>
      </c>
      <c r="B4" s="108" t="s">
        <v>111</v>
      </c>
      <c r="C4" s="108"/>
      <c r="D4" s="57" t="s">
        <v>112</v>
      </c>
      <c r="E4" s="57" t="s">
        <v>113</v>
      </c>
      <c r="F4" s="57" t="s">
        <v>114</v>
      </c>
      <c r="G4" s="57" t="s">
        <v>115</v>
      </c>
    </row>
    <row r="5" spans="1:7" s="43" customFormat="1" x14ac:dyDescent="0.2">
      <c r="A5" s="47">
        <v>1</v>
      </c>
      <c r="B5" s="110" t="s">
        <v>116</v>
      </c>
      <c r="C5" s="110"/>
      <c r="D5" s="48" t="s">
        <v>117</v>
      </c>
      <c r="E5" s="48">
        <v>2</v>
      </c>
      <c r="F5" s="49">
        <v>1.82</v>
      </c>
      <c r="G5" s="49">
        <f>E5*F5</f>
        <v>3.64</v>
      </c>
    </row>
    <row r="6" spans="1:7" s="43" customFormat="1" x14ac:dyDescent="0.2">
      <c r="A6" s="87">
        <v>2</v>
      </c>
      <c r="B6" s="110" t="s">
        <v>118</v>
      </c>
      <c r="C6" s="110"/>
      <c r="D6" s="48" t="s">
        <v>117</v>
      </c>
      <c r="E6" s="48">
        <v>2</v>
      </c>
      <c r="F6" s="49">
        <v>4.95</v>
      </c>
      <c r="G6" s="49">
        <f t="shared" ref="G6:G33" si="0">E6*F6</f>
        <v>9.9</v>
      </c>
    </row>
    <row r="7" spans="1:7" s="43" customFormat="1" x14ac:dyDescent="0.2">
      <c r="A7" s="87">
        <v>3</v>
      </c>
      <c r="B7" s="110" t="s">
        <v>195</v>
      </c>
      <c r="C7" s="110"/>
      <c r="D7" s="48" t="s">
        <v>117</v>
      </c>
      <c r="E7" s="48">
        <v>3</v>
      </c>
      <c r="F7" s="49">
        <v>6.97</v>
      </c>
      <c r="G7" s="49">
        <f t="shared" si="0"/>
        <v>20.91</v>
      </c>
    </row>
    <row r="8" spans="1:7" s="43" customFormat="1" x14ac:dyDescent="0.2">
      <c r="A8" s="87">
        <v>4</v>
      </c>
      <c r="B8" s="110" t="s">
        <v>196</v>
      </c>
      <c r="C8" s="110"/>
      <c r="D8" s="48" t="s">
        <v>117</v>
      </c>
      <c r="E8" s="48">
        <v>3</v>
      </c>
      <c r="F8" s="49">
        <v>7.91</v>
      </c>
      <c r="G8" s="49">
        <f t="shared" si="0"/>
        <v>23.73</v>
      </c>
    </row>
    <row r="9" spans="1:7" s="43" customFormat="1" x14ac:dyDescent="0.2">
      <c r="A9" s="87">
        <v>5</v>
      </c>
      <c r="B9" s="110" t="s">
        <v>119</v>
      </c>
      <c r="C9" s="110"/>
      <c r="D9" s="48" t="s">
        <v>117</v>
      </c>
      <c r="E9" s="48">
        <v>4</v>
      </c>
      <c r="F9" s="49">
        <v>7.33</v>
      </c>
      <c r="G9" s="49">
        <f t="shared" si="0"/>
        <v>29.32</v>
      </c>
    </row>
    <row r="10" spans="1:7" s="43" customFormat="1" x14ac:dyDescent="0.2">
      <c r="A10" s="87">
        <v>6</v>
      </c>
      <c r="B10" s="110" t="s">
        <v>120</v>
      </c>
      <c r="C10" s="110"/>
      <c r="D10" s="48" t="s">
        <v>121</v>
      </c>
      <c r="E10" s="48">
        <v>6</v>
      </c>
      <c r="F10" s="49">
        <v>1.3</v>
      </c>
      <c r="G10" s="49">
        <f t="shared" si="0"/>
        <v>7.8000000000000007</v>
      </c>
    </row>
    <row r="11" spans="1:7" s="43" customFormat="1" x14ac:dyDescent="0.2">
      <c r="A11" s="87">
        <v>7</v>
      </c>
      <c r="B11" s="110" t="s">
        <v>122</v>
      </c>
      <c r="C11" s="110"/>
      <c r="D11" s="48" t="s">
        <v>117</v>
      </c>
      <c r="E11" s="48">
        <v>1</v>
      </c>
      <c r="F11" s="49">
        <v>10.41</v>
      </c>
      <c r="G11" s="49">
        <f t="shared" si="0"/>
        <v>10.41</v>
      </c>
    </row>
    <row r="12" spans="1:7" s="43" customFormat="1" x14ac:dyDescent="0.2">
      <c r="A12" s="87">
        <v>8</v>
      </c>
      <c r="B12" s="110" t="s">
        <v>123</v>
      </c>
      <c r="C12" s="110"/>
      <c r="D12" s="48" t="s">
        <v>121</v>
      </c>
      <c r="E12" s="48">
        <v>2</v>
      </c>
      <c r="F12" s="49">
        <v>0.69</v>
      </c>
      <c r="G12" s="49">
        <f t="shared" si="0"/>
        <v>1.38</v>
      </c>
    </row>
    <row r="13" spans="1:7" s="43" customFormat="1" x14ac:dyDescent="0.2">
      <c r="A13" s="87">
        <v>9</v>
      </c>
      <c r="B13" s="110" t="s">
        <v>124</v>
      </c>
      <c r="C13" s="110"/>
      <c r="D13" s="48" t="s">
        <v>117</v>
      </c>
      <c r="E13" s="48">
        <v>0.5</v>
      </c>
      <c r="F13" s="49">
        <v>4.82</v>
      </c>
      <c r="G13" s="49">
        <f t="shared" si="0"/>
        <v>2.41</v>
      </c>
    </row>
    <row r="14" spans="1:7" s="43" customFormat="1" x14ac:dyDescent="0.2">
      <c r="A14" s="87">
        <v>10</v>
      </c>
      <c r="B14" s="110" t="s">
        <v>125</v>
      </c>
      <c r="C14" s="110"/>
      <c r="D14" s="48" t="s">
        <v>126</v>
      </c>
      <c r="E14" s="48">
        <v>1</v>
      </c>
      <c r="F14" s="49">
        <v>9.1300000000000008</v>
      </c>
      <c r="G14" s="49">
        <f t="shared" si="0"/>
        <v>9.1300000000000008</v>
      </c>
    </row>
    <row r="15" spans="1:7" s="43" customFormat="1" x14ac:dyDescent="0.2">
      <c r="A15" s="87">
        <v>11</v>
      </c>
      <c r="B15" s="110" t="s">
        <v>127</v>
      </c>
      <c r="C15" s="110"/>
      <c r="D15" s="48" t="s">
        <v>121</v>
      </c>
      <c r="E15" s="48">
        <v>2</v>
      </c>
      <c r="F15" s="49">
        <v>2</v>
      </c>
      <c r="G15" s="49">
        <f t="shared" si="0"/>
        <v>4</v>
      </c>
    </row>
    <row r="16" spans="1:7" s="43" customFormat="1" x14ac:dyDescent="0.2">
      <c r="A16" s="87">
        <v>12</v>
      </c>
      <c r="B16" s="110" t="s">
        <v>128</v>
      </c>
      <c r="C16" s="110"/>
      <c r="D16" s="48" t="s">
        <v>121</v>
      </c>
      <c r="E16" s="48">
        <v>1</v>
      </c>
      <c r="F16" s="49">
        <v>7.35</v>
      </c>
      <c r="G16" s="49">
        <f t="shared" si="0"/>
        <v>7.35</v>
      </c>
    </row>
    <row r="17" spans="1:7" s="43" customFormat="1" x14ac:dyDescent="0.2">
      <c r="A17" s="87">
        <v>13</v>
      </c>
      <c r="B17" s="110" t="s">
        <v>129</v>
      </c>
      <c r="C17" s="110"/>
      <c r="D17" s="48" t="s">
        <v>126</v>
      </c>
      <c r="E17" s="48">
        <v>1</v>
      </c>
      <c r="F17" s="49">
        <v>1.47</v>
      </c>
      <c r="G17" s="49">
        <f t="shared" si="0"/>
        <v>1.47</v>
      </c>
    </row>
    <row r="18" spans="1:7" s="43" customFormat="1" x14ac:dyDescent="0.2">
      <c r="A18" s="87">
        <v>14</v>
      </c>
      <c r="B18" s="110" t="s">
        <v>130</v>
      </c>
      <c r="C18" s="110"/>
      <c r="D18" s="48" t="s">
        <v>121</v>
      </c>
      <c r="E18" s="48">
        <v>3</v>
      </c>
      <c r="F18" s="49">
        <v>4.22</v>
      </c>
      <c r="G18" s="49">
        <f t="shared" si="0"/>
        <v>12.66</v>
      </c>
    </row>
    <row r="19" spans="1:7" s="43" customFormat="1" x14ac:dyDescent="0.2">
      <c r="A19" s="87">
        <v>15</v>
      </c>
      <c r="B19" s="110" t="s">
        <v>131</v>
      </c>
      <c r="C19" s="110"/>
      <c r="D19" s="48" t="s">
        <v>132</v>
      </c>
      <c r="E19" s="48">
        <v>32</v>
      </c>
      <c r="F19" s="49">
        <v>3.58</v>
      </c>
      <c r="G19" s="49">
        <f t="shared" si="0"/>
        <v>114.56</v>
      </c>
    </row>
    <row r="20" spans="1:7" s="43" customFormat="1" x14ac:dyDescent="0.2">
      <c r="A20" s="87">
        <v>16</v>
      </c>
      <c r="B20" s="110" t="s">
        <v>133</v>
      </c>
      <c r="C20" s="110"/>
      <c r="D20" s="48" t="s">
        <v>134</v>
      </c>
      <c r="E20" s="48">
        <v>3</v>
      </c>
      <c r="F20" s="49">
        <v>11.6</v>
      </c>
      <c r="G20" s="49">
        <f t="shared" si="0"/>
        <v>34.799999999999997</v>
      </c>
    </row>
    <row r="21" spans="1:7" s="43" customFormat="1" x14ac:dyDescent="0.2">
      <c r="A21" s="87">
        <v>17</v>
      </c>
      <c r="B21" s="110" t="s">
        <v>135</v>
      </c>
      <c r="C21" s="110"/>
      <c r="D21" s="48" t="s">
        <v>121</v>
      </c>
      <c r="E21" s="48">
        <v>1</v>
      </c>
      <c r="F21" s="49">
        <v>3.03</v>
      </c>
      <c r="G21" s="49">
        <f t="shared" si="0"/>
        <v>3.03</v>
      </c>
    </row>
    <row r="22" spans="1:7" s="43" customFormat="1" x14ac:dyDescent="0.2">
      <c r="A22" s="87">
        <v>18</v>
      </c>
      <c r="B22" s="110" t="s">
        <v>136</v>
      </c>
      <c r="C22" s="110"/>
      <c r="D22" s="48" t="s">
        <v>121</v>
      </c>
      <c r="E22" s="48">
        <v>1</v>
      </c>
      <c r="F22" s="49">
        <v>9.85</v>
      </c>
      <c r="G22" s="49">
        <f t="shared" si="0"/>
        <v>9.85</v>
      </c>
    </row>
    <row r="23" spans="1:7" s="43" customFormat="1" x14ac:dyDescent="0.2">
      <c r="A23" s="87">
        <v>19</v>
      </c>
      <c r="B23" s="110" t="s">
        <v>137</v>
      </c>
      <c r="C23" s="110"/>
      <c r="D23" s="48" t="s">
        <v>121</v>
      </c>
      <c r="E23" s="48">
        <v>1</v>
      </c>
      <c r="F23" s="49">
        <v>3.78</v>
      </c>
      <c r="G23" s="49">
        <f t="shared" si="0"/>
        <v>3.78</v>
      </c>
    </row>
    <row r="24" spans="1:7" s="43" customFormat="1" x14ac:dyDescent="0.2">
      <c r="A24" s="87">
        <v>20</v>
      </c>
      <c r="B24" s="110" t="s">
        <v>138</v>
      </c>
      <c r="C24" s="110"/>
      <c r="D24" s="48" t="s">
        <v>139</v>
      </c>
      <c r="E24" s="48">
        <v>2</v>
      </c>
      <c r="F24" s="49">
        <v>4.24</v>
      </c>
      <c r="G24" s="49">
        <f t="shared" si="0"/>
        <v>8.48</v>
      </c>
    </row>
    <row r="25" spans="1:7" s="43" customFormat="1" x14ac:dyDescent="0.2">
      <c r="A25" s="87">
        <v>21</v>
      </c>
      <c r="B25" s="110" t="s">
        <v>140</v>
      </c>
      <c r="C25" s="110"/>
      <c r="D25" s="48" t="s">
        <v>117</v>
      </c>
      <c r="E25" s="48">
        <v>4</v>
      </c>
      <c r="F25" s="49">
        <v>5.56</v>
      </c>
      <c r="G25" s="49">
        <f t="shared" si="0"/>
        <v>22.24</v>
      </c>
    </row>
    <row r="26" spans="1:7" s="43" customFormat="1" x14ac:dyDescent="0.2">
      <c r="A26" s="87">
        <v>22</v>
      </c>
      <c r="B26" s="110" t="s">
        <v>141</v>
      </c>
      <c r="C26" s="110"/>
      <c r="D26" s="48" t="s">
        <v>121</v>
      </c>
      <c r="E26" s="48">
        <v>8</v>
      </c>
      <c r="F26" s="49">
        <v>1.24</v>
      </c>
      <c r="G26" s="49">
        <f t="shared" si="0"/>
        <v>9.92</v>
      </c>
    </row>
    <row r="27" spans="1:7" s="43" customFormat="1" x14ac:dyDescent="0.2">
      <c r="A27" s="87">
        <v>23</v>
      </c>
      <c r="B27" s="110" t="s">
        <v>142</v>
      </c>
      <c r="C27" s="110"/>
      <c r="D27" s="48" t="s">
        <v>121</v>
      </c>
      <c r="E27" s="48">
        <v>4</v>
      </c>
      <c r="F27" s="49">
        <v>2.27</v>
      </c>
      <c r="G27" s="49">
        <f t="shared" si="0"/>
        <v>9.08</v>
      </c>
    </row>
    <row r="28" spans="1:7" s="43" customFormat="1" x14ac:dyDescent="0.2">
      <c r="A28" s="87">
        <v>24</v>
      </c>
      <c r="B28" s="110" t="s">
        <v>143</v>
      </c>
      <c r="C28" s="110"/>
      <c r="D28" s="48" t="s">
        <v>121</v>
      </c>
      <c r="E28" s="48">
        <v>30</v>
      </c>
      <c r="F28" s="49">
        <v>0.57999999999999996</v>
      </c>
      <c r="G28" s="49">
        <f t="shared" si="0"/>
        <v>17.399999999999999</v>
      </c>
    </row>
    <row r="29" spans="1:7" s="43" customFormat="1" x14ac:dyDescent="0.2">
      <c r="A29" s="87">
        <v>25</v>
      </c>
      <c r="B29" s="110" t="s">
        <v>144</v>
      </c>
      <c r="C29" s="110"/>
      <c r="D29" s="48" t="s">
        <v>121</v>
      </c>
      <c r="E29" s="48">
        <v>8</v>
      </c>
      <c r="F29" s="49">
        <v>5.16</v>
      </c>
      <c r="G29" s="49">
        <f t="shared" si="0"/>
        <v>41.28</v>
      </c>
    </row>
    <row r="30" spans="1:7" s="43" customFormat="1" x14ac:dyDescent="0.2">
      <c r="A30" s="87">
        <v>26</v>
      </c>
      <c r="B30" s="110" t="s">
        <v>145</v>
      </c>
      <c r="C30" s="110"/>
      <c r="D30" s="48" t="s">
        <v>121</v>
      </c>
      <c r="E30" s="48">
        <v>1</v>
      </c>
      <c r="F30" s="49">
        <v>3.07</v>
      </c>
      <c r="G30" s="49">
        <f t="shared" si="0"/>
        <v>3.07</v>
      </c>
    </row>
    <row r="31" spans="1:7" s="43" customFormat="1" x14ac:dyDescent="0.2">
      <c r="A31" s="87">
        <v>27</v>
      </c>
      <c r="B31" s="110" t="s">
        <v>146</v>
      </c>
      <c r="C31" s="110"/>
      <c r="D31" s="48" t="s">
        <v>139</v>
      </c>
      <c r="E31" s="48">
        <v>0.5</v>
      </c>
      <c r="F31" s="49">
        <v>20.239999999999998</v>
      </c>
      <c r="G31" s="49">
        <f t="shared" si="0"/>
        <v>10.119999999999999</v>
      </c>
    </row>
    <row r="32" spans="1:7" s="43" customFormat="1" x14ac:dyDescent="0.2">
      <c r="A32" s="87">
        <v>28</v>
      </c>
      <c r="B32" s="110" t="s">
        <v>147</v>
      </c>
      <c r="C32" s="110"/>
      <c r="D32" s="48" t="s">
        <v>121</v>
      </c>
      <c r="E32" s="48">
        <v>2</v>
      </c>
      <c r="F32" s="49">
        <v>3.69</v>
      </c>
      <c r="G32" s="49">
        <f t="shared" si="0"/>
        <v>7.38</v>
      </c>
    </row>
    <row r="33" spans="1:7" s="43" customFormat="1" x14ac:dyDescent="0.2">
      <c r="A33" s="87">
        <v>29</v>
      </c>
      <c r="B33" s="110" t="s">
        <v>148</v>
      </c>
      <c r="C33" s="110"/>
      <c r="D33" s="48" t="s">
        <v>121</v>
      </c>
      <c r="E33" s="48">
        <v>1</v>
      </c>
      <c r="F33" s="49">
        <v>9.39</v>
      </c>
      <c r="G33" s="49">
        <f t="shared" si="0"/>
        <v>9.39</v>
      </c>
    </row>
    <row r="34" spans="1:7" x14ac:dyDescent="0.2">
      <c r="D34" s="39" t="s">
        <v>149</v>
      </c>
      <c r="E34" s="40"/>
      <c r="F34" s="40"/>
      <c r="G34" s="54">
        <f>SUM(G5:G33)</f>
        <v>448.48999999999995</v>
      </c>
    </row>
    <row r="35" spans="1:7" x14ac:dyDescent="0.2">
      <c r="D35" s="55" t="s">
        <v>150</v>
      </c>
      <c r="E35" s="56">
        <f>servente!D6</f>
        <v>115</v>
      </c>
      <c r="F35" s="40" t="s">
        <v>151</v>
      </c>
      <c r="G35" s="53">
        <f>G34*E35</f>
        <v>51576.349999999991</v>
      </c>
    </row>
    <row r="36" spans="1:7" x14ac:dyDescent="0.2">
      <c r="D36" s="39" t="s">
        <v>107</v>
      </c>
      <c r="E36" s="40"/>
      <c r="F36" s="41">
        <v>0.21840000000000001</v>
      </c>
      <c r="G36" s="53">
        <f>ROUND(G35*F36,2)</f>
        <v>11264.27</v>
      </c>
    </row>
    <row r="37" spans="1:7" x14ac:dyDescent="0.2">
      <c r="D37" s="39" t="s">
        <v>152</v>
      </c>
      <c r="E37" s="40"/>
      <c r="F37" s="40"/>
      <c r="G37" s="54">
        <f>SUM(G35:G36)</f>
        <v>62840.619999999995</v>
      </c>
    </row>
    <row r="38" spans="1:7" x14ac:dyDescent="0.2">
      <c r="A38" s="109" t="s">
        <v>170</v>
      </c>
      <c r="B38" s="109"/>
      <c r="C38" s="109"/>
      <c r="D38" s="109"/>
      <c r="E38" s="109"/>
      <c r="F38" s="109"/>
      <c r="G38" s="109"/>
    </row>
    <row r="39" spans="1:7" s="45" customFormat="1" ht="25.5" x14ac:dyDescent="0.25">
      <c r="A39" s="57" t="s">
        <v>110</v>
      </c>
      <c r="B39" s="108" t="s">
        <v>111</v>
      </c>
      <c r="C39" s="108"/>
      <c r="D39" s="57" t="s">
        <v>112</v>
      </c>
      <c r="E39" s="57" t="s">
        <v>113</v>
      </c>
      <c r="F39" s="57" t="s">
        <v>114</v>
      </c>
      <c r="G39" s="57" t="s">
        <v>115</v>
      </c>
    </row>
    <row r="40" spans="1:7" x14ac:dyDescent="0.2">
      <c r="A40" s="87">
        <v>1</v>
      </c>
      <c r="B40" s="111" t="s">
        <v>116</v>
      </c>
      <c r="C40" s="111"/>
      <c r="D40" s="48" t="s">
        <v>117</v>
      </c>
      <c r="E40" s="48">
        <v>3</v>
      </c>
      <c r="F40" s="51">
        <v>1.82</v>
      </c>
      <c r="G40" s="51">
        <f t="shared" ref="G40:G68" si="1">E40*F40</f>
        <v>5.46</v>
      </c>
    </row>
    <row r="41" spans="1:7" x14ac:dyDescent="0.2">
      <c r="A41" s="87">
        <v>2</v>
      </c>
      <c r="B41" s="111" t="s">
        <v>118</v>
      </c>
      <c r="C41" s="111"/>
      <c r="D41" s="48" t="s">
        <v>117</v>
      </c>
      <c r="E41" s="48">
        <v>3</v>
      </c>
      <c r="F41" s="51">
        <v>4.95</v>
      </c>
      <c r="G41" s="51">
        <f t="shared" si="1"/>
        <v>14.850000000000001</v>
      </c>
    </row>
    <row r="42" spans="1:7" x14ac:dyDescent="0.2">
      <c r="A42" s="87">
        <v>3</v>
      </c>
      <c r="B42" s="110" t="s">
        <v>195</v>
      </c>
      <c r="C42" s="110"/>
      <c r="D42" s="48" t="s">
        <v>117</v>
      </c>
      <c r="E42" s="48">
        <v>4</v>
      </c>
      <c r="F42" s="49">
        <v>6.97</v>
      </c>
      <c r="G42" s="51">
        <f t="shared" si="1"/>
        <v>27.88</v>
      </c>
    </row>
    <row r="43" spans="1:7" x14ac:dyDescent="0.2">
      <c r="A43" s="87">
        <v>4</v>
      </c>
      <c r="B43" s="110" t="s">
        <v>196</v>
      </c>
      <c r="C43" s="110"/>
      <c r="D43" s="48" t="s">
        <v>117</v>
      </c>
      <c r="E43" s="48">
        <v>4</v>
      </c>
      <c r="F43" s="49">
        <v>7.91</v>
      </c>
      <c r="G43" s="51">
        <f t="shared" si="1"/>
        <v>31.64</v>
      </c>
    </row>
    <row r="44" spans="1:7" x14ac:dyDescent="0.2">
      <c r="A44" s="87">
        <v>5</v>
      </c>
      <c r="B44" s="111" t="s">
        <v>119</v>
      </c>
      <c r="C44" s="111"/>
      <c r="D44" s="48" t="s">
        <v>117</v>
      </c>
      <c r="E44" s="48">
        <v>5</v>
      </c>
      <c r="F44" s="51">
        <v>7.33</v>
      </c>
      <c r="G44" s="51">
        <f t="shared" si="1"/>
        <v>36.65</v>
      </c>
    </row>
    <row r="45" spans="1:7" x14ac:dyDescent="0.2">
      <c r="A45" s="87">
        <v>6</v>
      </c>
      <c r="B45" s="111" t="s">
        <v>120</v>
      </c>
      <c r="C45" s="111"/>
      <c r="D45" s="48" t="s">
        <v>121</v>
      </c>
      <c r="E45" s="48">
        <v>8</v>
      </c>
      <c r="F45" s="51">
        <v>1.3</v>
      </c>
      <c r="G45" s="51">
        <f t="shared" si="1"/>
        <v>10.4</v>
      </c>
    </row>
    <row r="46" spans="1:7" x14ac:dyDescent="0.2">
      <c r="A46" s="87">
        <v>7</v>
      </c>
      <c r="B46" s="111" t="s">
        <v>122</v>
      </c>
      <c r="C46" s="111"/>
      <c r="D46" s="48" t="s">
        <v>117</v>
      </c>
      <c r="E46" s="48">
        <v>2</v>
      </c>
      <c r="F46" s="51">
        <v>10.41</v>
      </c>
      <c r="G46" s="51">
        <f t="shared" si="1"/>
        <v>20.82</v>
      </c>
    </row>
    <row r="47" spans="1:7" x14ac:dyDescent="0.2">
      <c r="A47" s="87">
        <v>8</v>
      </c>
      <c r="B47" s="111" t="s">
        <v>123</v>
      </c>
      <c r="C47" s="111"/>
      <c r="D47" s="48" t="s">
        <v>121</v>
      </c>
      <c r="E47" s="48">
        <v>3</v>
      </c>
      <c r="F47" s="51">
        <v>0.69</v>
      </c>
      <c r="G47" s="51">
        <f t="shared" si="1"/>
        <v>2.0699999999999998</v>
      </c>
    </row>
    <row r="48" spans="1:7" x14ac:dyDescent="0.2">
      <c r="A48" s="87">
        <v>9</v>
      </c>
      <c r="B48" s="111" t="s">
        <v>124</v>
      </c>
      <c r="C48" s="111"/>
      <c r="D48" s="48" t="s">
        <v>117</v>
      </c>
      <c r="E48" s="48">
        <v>1</v>
      </c>
      <c r="F48" s="51">
        <v>4.82</v>
      </c>
      <c r="G48" s="51">
        <f t="shared" si="1"/>
        <v>4.82</v>
      </c>
    </row>
    <row r="49" spans="1:7" x14ac:dyDescent="0.2">
      <c r="A49" s="87">
        <v>10</v>
      </c>
      <c r="B49" s="111" t="s">
        <v>125</v>
      </c>
      <c r="C49" s="111"/>
      <c r="D49" s="48" t="s">
        <v>126</v>
      </c>
      <c r="E49" s="48">
        <v>2</v>
      </c>
      <c r="F49" s="51">
        <v>9.1300000000000008</v>
      </c>
      <c r="G49" s="51">
        <f t="shared" si="1"/>
        <v>18.260000000000002</v>
      </c>
    </row>
    <row r="50" spans="1:7" x14ac:dyDescent="0.2">
      <c r="A50" s="87">
        <v>11</v>
      </c>
      <c r="B50" s="111" t="s">
        <v>127</v>
      </c>
      <c r="C50" s="111"/>
      <c r="D50" s="48" t="s">
        <v>121</v>
      </c>
      <c r="E50" s="48">
        <v>3</v>
      </c>
      <c r="F50" s="51">
        <v>2</v>
      </c>
      <c r="G50" s="51">
        <f t="shared" si="1"/>
        <v>6</v>
      </c>
    </row>
    <row r="51" spans="1:7" x14ac:dyDescent="0.2">
      <c r="A51" s="87">
        <v>12</v>
      </c>
      <c r="B51" s="111" t="s">
        <v>128</v>
      </c>
      <c r="C51" s="111"/>
      <c r="D51" s="48" t="s">
        <v>121</v>
      </c>
      <c r="E51" s="48">
        <v>2</v>
      </c>
      <c r="F51" s="51">
        <v>7.35</v>
      </c>
      <c r="G51" s="51">
        <f t="shared" si="1"/>
        <v>14.7</v>
      </c>
    </row>
    <row r="52" spans="1:7" x14ac:dyDescent="0.2">
      <c r="A52" s="87">
        <v>13</v>
      </c>
      <c r="B52" s="111" t="s">
        <v>129</v>
      </c>
      <c r="C52" s="111"/>
      <c r="D52" s="48" t="s">
        <v>126</v>
      </c>
      <c r="E52" s="48">
        <v>2</v>
      </c>
      <c r="F52" s="51">
        <v>1.47</v>
      </c>
      <c r="G52" s="51">
        <f t="shared" si="1"/>
        <v>2.94</v>
      </c>
    </row>
    <row r="53" spans="1:7" x14ac:dyDescent="0.2">
      <c r="A53" s="87">
        <v>14</v>
      </c>
      <c r="B53" s="111" t="s">
        <v>130</v>
      </c>
      <c r="C53" s="111"/>
      <c r="D53" s="48" t="s">
        <v>121</v>
      </c>
      <c r="E53" s="48">
        <v>4</v>
      </c>
      <c r="F53" s="51">
        <v>4.22</v>
      </c>
      <c r="G53" s="51">
        <f t="shared" si="1"/>
        <v>16.88</v>
      </c>
    </row>
    <row r="54" spans="1:7" x14ac:dyDescent="0.2">
      <c r="A54" s="87">
        <v>15</v>
      </c>
      <c r="B54" s="111" t="s">
        <v>131</v>
      </c>
      <c r="C54" s="111"/>
      <c r="D54" s="48" t="s">
        <v>132</v>
      </c>
      <c r="E54" s="48">
        <v>40</v>
      </c>
      <c r="F54" s="51">
        <v>3.58</v>
      </c>
      <c r="G54" s="51">
        <f t="shared" si="1"/>
        <v>143.19999999999999</v>
      </c>
    </row>
    <row r="55" spans="1:7" x14ac:dyDescent="0.2">
      <c r="A55" s="87">
        <v>16</v>
      </c>
      <c r="B55" s="111" t="s">
        <v>133</v>
      </c>
      <c r="C55" s="111"/>
      <c r="D55" s="48" t="s">
        <v>134</v>
      </c>
      <c r="E55" s="48">
        <v>4</v>
      </c>
      <c r="F55" s="51">
        <v>11.6</v>
      </c>
      <c r="G55" s="51">
        <f t="shared" si="1"/>
        <v>46.4</v>
      </c>
    </row>
    <row r="56" spans="1:7" x14ac:dyDescent="0.2">
      <c r="A56" s="87">
        <v>17</v>
      </c>
      <c r="B56" s="111" t="s">
        <v>135</v>
      </c>
      <c r="C56" s="111"/>
      <c r="D56" s="48" t="s">
        <v>121</v>
      </c>
      <c r="E56" s="48">
        <v>2</v>
      </c>
      <c r="F56" s="51">
        <v>3.03</v>
      </c>
      <c r="G56" s="51">
        <f t="shared" si="1"/>
        <v>6.06</v>
      </c>
    </row>
    <row r="57" spans="1:7" x14ac:dyDescent="0.2">
      <c r="A57" s="87">
        <v>18</v>
      </c>
      <c r="B57" s="111" t="s">
        <v>136</v>
      </c>
      <c r="C57" s="111"/>
      <c r="D57" s="48" t="s">
        <v>121</v>
      </c>
      <c r="E57" s="48">
        <v>2</v>
      </c>
      <c r="F57" s="51">
        <v>9.85</v>
      </c>
      <c r="G57" s="51">
        <f t="shared" si="1"/>
        <v>19.7</v>
      </c>
    </row>
    <row r="58" spans="1:7" x14ac:dyDescent="0.2">
      <c r="A58" s="87">
        <v>19</v>
      </c>
      <c r="B58" s="111" t="s">
        <v>137</v>
      </c>
      <c r="C58" s="111"/>
      <c r="D58" s="48" t="s">
        <v>121</v>
      </c>
      <c r="E58" s="48">
        <v>2</v>
      </c>
      <c r="F58" s="51">
        <v>3.78</v>
      </c>
      <c r="G58" s="51">
        <f t="shared" si="1"/>
        <v>7.56</v>
      </c>
    </row>
    <row r="59" spans="1:7" x14ac:dyDescent="0.2">
      <c r="A59" s="87">
        <v>20</v>
      </c>
      <c r="B59" s="111" t="s">
        <v>138</v>
      </c>
      <c r="C59" s="111"/>
      <c r="D59" s="48" t="s">
        <v>139</v>
      </c>
      <c r="E59" s="48">
        <v>3</v>
      </c>
      <c r="F59" s="51">
        <v>4.24</v>
      </c>
      <c r="G59" s="51">
        <f t="shared" si="1"/>
        <v>12.72</v>
      </c>
    </row>
    <row r="60" spans="1:7" x14ac:dyDescent="0.2">
      <c r="A60" s="87">
        <v>21</v>
      </c>
      <c r="B60" s="111" t="s">
        <v>140</v>
      </c>
      <c r="C60" s="111"/>
      <c r="D60" s="48" t="s">
        <v>117</v>
      </c>
      <c r="E60" s="48">
        <v>5</v>
      </c>
      <c r="F60" s="51">
        <v>5.56</v>
      </c>
      <c r="G60" s="51">
        <f t="shared" si="1"/>
        <v>27.799999999999997</v>
      </c>
    </row>
    <row r="61" spans="1:7" x14ac:dyDescent="0.2">
      <c r="A61" s="87">
        <v>22</v>
      </c>
      <c r="B61" s="111" t="s">
        <v>141</v>
      </c>
      <c r="C61" s="111"/>
      <c r="D61" s="48" t="s">
        <v>121</v>
      </c>
      <c r="E61" s="48">
        <v>10</v>
      </c>
      <c r="F61" s="51">
        <v>1.24</v>
      </c>
      <c r="G61" s="51">
        <f t="shared" si="1"/>
        <v>12.4</v>
      </c>
    </row>
    <row r="62" spans="1:7" x14ac:dyDescent="0.2">
      <c r="A62" s="87">
        <v>23</v>
      </c>
      <c r="B62" s="111" t="s">
        <v>142</v>
      </c>
      <c r="C62" s="111"/>
      <c r="D62" s="48" t="s">
        <v>121</v>
      </c>
      <c r="E62" s="48">
        <v>5</v>
      </c>
      <c r="F62" s="51">
        <v>2.27</v>
      </c>
      <c r="G62" s="51">
        <f t="shared" si="1"/>
        <v>11.35</v>
      </c>
    </row>
    <row r="63" spans="1:7" x14ac:dyDescent="0.2">
      <c r="A63" s="87">
        <v>24</v>
      </c>
      <c r="B63" s="111" t="s">
        <v>143</v>
      </c>
      <c r="C63" s="111"/>
      <c r="D63" s="48" t="s">
        <v>121</v>
      </c>
      <c r="E63" s="48">
        <v>38</v>
      </c>
      <c r="F63" s="51">
        <v>0.57999999999999996</v>
      </c>
      <c r="G63" s="51">
        <f t="shared" si="1"/>
        <v>22.04</v>
      </c>
    </row>
    <row r="64" spans="1:7" x14ac:dyDescent="0.2">
      <c r="A64" s="87">
        <v>25</v>
      </c>
      <c r="B64" s="111" t="s">
        <v>144</v>
      </c>
      <c r="C64" s="111"/>
      <c r="D64" s="48" t="s">
        <v>121</v>
      </c>
      <c r="E64" s="48">
        <v>10</v>
      </c>
      <c r="F64" s="51">
        <v>5.16</v>
      </c>
      <c r="G64" s="51">
        <f t="shared" si="1"/>
        <v>51.6</v>
      </c>
    </row>
    <row r="65" spans="1:7" x14ac:dyDescent="0.2">
      <c r="A65" s="87">
        <v>26</v>
      </c>
      <c r="B65" s="111" t="s">
        <v>145</v>
      </c>
      <c r="C65" s="111"/>
      <c r="D65" s="48" t="s">
        <v>121</v>
      </c>
      <c r="E65" s="48">
        <v>2</v>
      </c>
      <c r="F65" s="51">
        <v>3.07</v>
      </c>
      <c r="G65" s="51">
        <f t="shared" si="1"/>
        <v>6.14</v>
      </c>
    </row>
    <row r="66" spans="1:7" x14ac:dyDescent="0.2">
      <c r="A66" s="87">
        <v>27</v>
      </c>
      <c r="B66" s="111" t="s">
        <v>146</v>
      </c>
      <c r="C66" s="111"/>
      <c r="D66" s="48" t="s">
        <v>139</v>
      </c>
      <c r="E66" s="48">
        <v>1</v>
      </c>
      <c r="F66" s="51">
        <v>20.239999999999998</v>
      </c>
      <c r="G66" s="51">
        <f t="shared" si="1"/>
        <v>20.239999999999998</v>
      </c>
    </row>
    <row r="67" spans="1:7" x14ac:dyDescent="0.2">
      <c r="A67" s="87">
        <v>28</v>
      </c>
      <c r="B67" s="111" t="s">
        <v>147</v>
      </c>
      <c r="C67" s="111"/>
      <c r="D67" s="48" t="s">
        <v>121</v>
      </c>
      <c r="E67" s="48">
        <v>3</v>
      </c>
      <c r="F67" s="51">
        <v>3.69</v>
      </c>
      <c r="G67" s="51">
        <f t="shared" si="1"/>
        <v>11.07</v>
      </c>
    </row>
    <row r="68" spans="1:7" x14ac:dyDescent="0.2">
      <c r="A68" s="87">
        <v>29</v>
      </c>
      <c r="B68" s="111" t="s">
        <v>148</v>
      </c>
      <c r="C68" s="111"/>
      <c r="D68" s="48" t="s">
        <v>121</v>
      </c>
      <c r="E68" s="48">
        <v>2</v>
      </c>
      <c r="F68" s="51">
        <v>9.39</v>
      </c>
      <c r="G68" s="51">
        <f t="shared" si="1"/>
        <v>18.78</v>
      </c>
    </row>
    <row r="69" spans="1:7" x14ac:dyDescent="0.2">
      <c r="D69" s="39" t="s">
        <v>149</v>
      </c>
      <c r="E69" s="40"/>
      <c r="F69" s="40"/>
      <c r="G69" s="54">
        <f>SUM(G40:G68)</f>
        <v>630.42999999999995</v>
      </c>
    </row>
    <row r="70" spans="1:7" x14ac:dyDescent="0.2">
      <c r="D70" s="55" t="s">
        <v>150</v>
      </c>
      <c r="E70" s="56">
        <f>servente!D6</f>
        <v>115</v>
      </c>
      <c r="F70" s="40" t="s">
        <v>151</v>
      </c>
      <c r="G70" s="53">
        <f>G69*E70</f>
        <v>72499.45</v>
      </c>
    </row>
    <row r="71" spans="1:7" x14ac:dyDescent="0.2">
      <c r="D71" s="39" t="s">
        <v>107</v>
      </c>
      <c r="E71" s="40"/>
      <c r="F71" s="41">
        <v>0.21840000000000001</v>
      </c>
      <c r="G71" s="53">
        <f>ROUND(G70*F71,2)</f>
        <v>15833.88</v>
      </c>
    </row>
    <row r="72" spans="1:7" x14ac:dyDescent="0.2">
      <c r="D72" s="39" t="s">
        <v>152</v>
      </c>
      <c r="E72" s="40"/>
      <c r="F72" s="40"/>
      <c r="G72" s="54">
        <f>SUM(G70:G71)</f>
        <v>88333.33</v>
      </c>
    </row>
    <row r="73" spans="1:7" x14ac:dyDescent="0.2">
      <c r="A73" s="109" t="s">
        <v>171</v>
      </c>
      <c r="B73" s="109"/>
      <c r="C73" s="109"/>
      <c r="D73" s="109"/>
      <c r="E73" s="109"/>
      <c r="F73" s="109"/>
      <c r="G73" s="109"/>
    </row>
    <row r="74" spans="1:7" s="45" customFormat="1" ht="25.5" x14ac:dyDescent="0.25">
      <c r="A74" s="57" t="s">
        <v>110</v>
      </c>
      <c r="B74" s="108" t="s">
        <v>111</v>
      </c>
      <c r="C74" s="108"/>
      <c r="D74" s="57" t="s">
        <v>112</v>
      </c>
      <c r="E74" s="57" t="s">
        <v>113</v>
      </c>
      <c r="F74" s="57" t="s">
        <v>114</v>
      </c>
      <c r="G74" s="57" t="s">
        <v>115</v>
      </c>
    </row>
    <row r="75" spans="1:7" x14ac:dyDescent="0.2">
      <c r="A75" s="50">
        <v>30</v>
      </c>
      <c r="B75" s="111" t="s">
        <v>153</v>
      </c>
      <c r="C75" s="111"/>
      <c r="D75" s="48" t="s">
        <v>121</v>
      </c>
      <c r="E75" s="48">
        <v>1</v>
      </c>
      <c r="F75" s="51">
        <v>9.16</v>
      </c>
      <c r="G75" s="51">
        <f t="shared" ref="G75:G85" si="2">E75*F75</f>
        <v>9.16</v>
      </c>
    </row>
    <row r="76" spans="1:7" x14ac:dyDescent="0.2">
      <c r="A76" s="88">
        <v>31</v>
      </c>
      <c r="B76" s="111" t="s">
        <v>154</v>
      </c>
      <c r="C76" s="111"/>
      <c r="D76" s="48" t="s">
        <v>121</v>
      </c>
      <c r="E76" s="48">
        <v>2</v>
      </c>
      <c r="F76" s="51">
        <v>15.03</v>
      </c>
      <c r="G76" s="51">
        <f t="shared" si="2"/>
        <v>30.06</v>
      </c>
    </row>
    <row r="77" spans="1:7" x14ac:dyDescent="0.2">
      <c r="A77" s="88">
        <v>32</v>
      </c>
      <c r="B77" s="111" t="s">
        <v>155</v>
      </c>
      <c r="C77" s="111"/>
      <c r="D77" s="48" t="s">
        <v>121</v>
      </c>
      <c r="E77" s="48">
        <v>3</v>
      </c>
      <c r="F77" s="51">
        <v>6.78</v>
      </c>
      <c r="G77" s="51">
        <f t="shared" si="2"/>
        <v>20.34</v>
      </c>
    </row>
    <row r="78" spans="1:7" x14ac:dyDescent="0.2">
      <c r="A78" s="88">
        <v>33</v>
      </c>
      <c r="B78" s="111" t="s">
        <v>156</v>
      </c>
      <c r="C78" s="111"/>
      <c r="D78" s="48" t="s">
        <v>121</v>
      </c>
      <c r="E78" s="48">
        <v>3</v>
      </c>
      <c r="F78" s="51">
        <v>9.15</v>
      </c>
      <c r="G78" s="51">
        <f t="shared" si="2"/>
        <v>27.450000000000003</v>
      </c>
    </row>
    <row r="79" spans="1:7" x14ac:dyDescent="0.2">
      <c r="A79" s="88">
        <v>34</v>
      </c>
      <c r="B79" s="111" t="s">
        <v>157</v>
      </c>
      <c r="C79" s="111"/>
      <c r="D79" s="48" t="s">
        <v>121</v>
      </c>
      <c r="E79" s="48">
        <v>3</v>
      </c>
      <c r="F79" s="51">
        <v>15.36</v>
      </c>
      <c r="G79" s="51">
        <f t="shared" si="2"/>
        <v>46.08</v>
      </c>
    </row>
    <row r="80" spans="1:7" x14ac:dyDescent="0.2">
      <c r="A80" s="88">
        <v>35</v>
      </c>
      <c r="B80" s="111" t="s">
        <v>158</v>
      </c>
      <c r="C80" s="111"/>
      <c r="D80" s="48" t="s">
        <v>121</v>
      </c>
      <c r="E80" s="48">
        <v>2</v>
      </c>
      <c r="F80" s="51">
        <v>10.07</v>
      </c>
      <c r="G80" s="51">
        <f t="shared" si="2"/>
        <v>20.14</v>
      </c>
    </row>
    <row r="81" spans="1:7" x14ac:dyDescent="0.2">
      <c r="A81" s="88">
        <v>36</v>
      </c>
      <c r="B81" s="111" t="s">
        <v>159</v>
      </c>
      <c r="C81" s="111"/>
      <c r="D81" s="48" t="s">
        <v>121</v>
      </c>
      <c r="E81" s="48">
        <v>3</v>
      </c>
      <c r="F81" s="51">
        <v>4.92</v>
      </c>
      <c r="G81" s="51">
        <f t="shared" si="2"/>
        <v>14.76</v>
      </c>
    </row>
    <row r="82" spans="1:7" x14ac:dyDescent="0.2">
      <c r="A82" s="88">
        <v>37</v>
      </c>
      <c r="B82" s="111" t="s">
        <v>160</v>
      </c>
      <c r="C82" s="111"/>
      <c r="D82" s="48" t="s">
        <v>121</v>
      </c>
      <c r="E82" s="48">
        <v>3</v>
      </c>
      <c r="F82" s="51">
        <v>10.62</v>
      </c>
      <c r="G82" s="51">
        <f t="shared" si="2"/>
        <v>31.86</v>
      </c>
    </row>
    <row r="83" spans="1:7" x14ac:dyDescent="0.2">
      <c r="A83" s="88">
        <v>38</v>
      </c>
      <c r="B83" s="111" t="s">
        <v>161</v>
      </c>
      <c r="C83" s="111"/>
      <c r="D83" s="48" t="s">
        <v>121</v>
      </c>
      <c r="E83" s="48">
        <v>2</v>
      </c>
      <c r="F83" s="51">
        <v>15.5</v>
      </c>
      <c r="G83" s="51">
        <f t="shared" si="2"/>
        <v>31</v>
      </c>
    </row>
    <row r="84" spans="1:7" x14ac:dyDescent="0.2">
      <c r="A84" s="88">
        <v>39</v>
      </c>
      <c r="B84" s="111" t="s">
        <v>162</v>
      </c>
      <c r="C84" s="111"/>
      <c r="D84" s="48" t="s">
        <v>121</v>
      </c>
      <c r="E84" s="48">
        <v>2</v>
      </c>
      <c r="F84" s="51">
        <v>8.75</v>
      </c>
      <c r="G84" s="51">
        <f t="shared" si="2"/>
        <v>17.5</v>
      </c>
    </row>
    <row r="85" spans="1:7" x14ac:dyDescent="0.2">
      <c r="A85" s="88">
        <v>40</v>
      </c>
      <c r="B85" s="111" t="s">
        <v>163</v>
      </c>
      <c r="C85" s="111"/>
      <c r="D85" s="48" t="s">
        <v>121</v>
      </c>
      <c r="E85" s="48">
        <v>2</v>
      </c>
      <c r="F85" s="51">
        <v>13</v>
      </c>
      <c r="G85" s="51">
        <f t="shared" si="2"/>
        <v>26</v>
      </c>
    </row>
    <row r="86" spans="1:7" x14ac:dyDescent="0.2">
      <c r="D86" s="39" t="s">
        <v>164</v>
      </c>
      <c r="E86" s="40"/>
      <c r="F86" s="40"/>
      <c r="G86" s="54">
        <f>SUM(G75:G85)</f>
        <v>274.35000000000002</v>
      </c>
    </row>
    <row r="87" spans="1:7" x14ac:dyDescent="0.2">
      <c r="D87" s="55" t="s">
        <v>150</v>
      </c>
      <c r="E87" s="56">
        <f>servente!D6</f>
        <v>115</v>
      </c>
      <c r="F87" s="40" t="s">
        <v>151</v>
      </c>
      <c r="G87" s="53">
        <f>G86*E87</f>
        <v>31550.250000000004</v>
      </c>
    </row>
    <row r="88" spans="1:7" x14ac:dyDescent="0.2">
      <c r="D88" s="39" t="s">
        <v>107</v>
      </c>
      <c r="E88" s="40"/>
      <c r="F88" s="41">
        <v>0.21840000000000001</v>
      </c>
      <c r="G88" s="53">
        <f>ROUND(G87*F88,2)</f>
        <v>6890.57</v>
      </c>
    </row>
    <row r="89" spans="1:7" x14ac:dyDescent="0.2">
      <c r="D89" s="39" t="s">
        <v>152</v>
      </c>
      <c r="E89" s="40"/>
      <c r="F89" s="40"/>
      <c r="G89" s="54">
        <f>SUM(G87:G88)</f>
        <v>38440.820000000007</v>
      </c>
    </row>
    <row r="90" spans="1:7" s="46" customFormat="1" ht="51" x14ac:dyDescent="0.2">
      <c r="A90" s="108" t="s">
        <v>165</v>
      </c>
      <c r="B90" s="108"/>
      <c r="C90" s="57" t="s">
        <v>166</v>
      </c>
      <c r="D90" s="57" t="s">
        <v>167</v>
      </c>
      <c r="E90" s="57" t="s">
        <v>173</v>
      </c>
      <c r="F90" s="57" t="s">
        <v>174</v>
      </c>
      <c r="G90" s="57" t="s">
        <v>168</v>
      </c>
    </row>
    <row r="91" spans="1:7" x14ac:dyDescent="0.2">
      <c r="A91" s="39"/>
      <c r="B91" s="40" t="s">
        <v>197</v>
      </c>
      <c r="C91" s="52">
        <f>G37</f>
        <v>62840.619999999995</v>
      </c>
      <c r="D91" s="52">
        <f>C91*12</f>
        <v>754087.44</v>
      </c>
      <c r="E91" s="52">
        <f>G37</f>
        <v>62840.619999999995</v>
      </c>
      <c r="F91" s="52">
        <f>G72</f>
        <v>88333.33</v>
      </c>
      <c r="G91" s="53">
        <f>(E91*7)+(F91*5)</f>
        <v>881550.99</v>
      </c>
    </row>
    <row r="92" spans="1:7" x14ac:dyDescent="0.2">
      <c r="A92" s="58"/>
      <c r="B92" s="42" t="s">
        <v>198</v>
      </c>
      <c r="C92" s="59"/>
      <c r="D92" s="59">
        <f>G89</f>
        <v>38440.820000000007</v>
      </c>
      <c r="E92" s="59"/>
      <c r="F92" s="59"/>
      <c r="G92" s="60">
        <f>G89</f>
        <v>38440.820000000007</v>
      </c>
    </row>
    <row r="93" spans="1:7" x14ac:dyDescent="0.2">
      <c r="A93" s="61"/>
      <c r="B93" s="62" t="s">
        <v>109</v>
      </c>
      <c r="C93" s="63"/>
      <c r="D93" s="63">
        <f>SUM(D91:D92)</f>
        <v>792528.26</v>
      </c>
      <c r="E93" s="63"/>
      <c r="F93" s="63"/>
      <c r="G93" s="64">
        <f>SUM(G91:G92)</f>
        <v>919991.81</v>
      </c>
    </row>
  </sheetData>
  <mergeCells count="76">
    <mergeCell ref="B14:C14"/>
    <mergeCell ref="B4:C4"/>
    <mergeCell ref="B5:C5"/>
    <mergeCell ref="B6:C6"/>
    <mergeCell ref="B9:C9"/>
    <mergeCell ref="B10:C10"/>
    <mergeCell ref="B11:C11"/>
    <mergeCell ref="B12:C12"/>
    <mergeCell ref="B13:C13"/>
    <mergeCell ref="B7:C7"/>
    <mergeCell ref="B8:C8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9:C39"/>
    <mergeCell ref="B27:C27"/>
    <mergeCell ref="B28:C28"/>
    <mergeCell ref="B29:C29"/>
    <mergeCell ref="B30:C30"/>
    <mergeCell ref="B31:C31"/>
    <mergeCell ref="B53:C53"/>
    <mergeCell ref="B40:C40"/>
    <mergeCell ref="B41:C41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42:C42"/>
    <mergeCell ref="B43:C43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75:C75"/>
    <mergeCell ref="B76:C76"/>
    <mergeCell ref="B77:C77"/>
    <mergeCell ref="B78:C78"/>
    <mergeCell ref="B66:C66"/>
    <mergeCell ref="A90:B90"/>
    <mergeCell ref="A3:G3"/>
    <mergeCell ref="A38:G38"/>
    <mergeCell ref="A73:G73"/>
    <mergeCell ref="B32:C32"/>
    <mergeCell ref="B33:C33"/>
    <mergeCell ref="B67:C67"/>
    <mergeCell ref="B68:C68"/>
    <mergeCell ref="B84:C84"/>
    <mergeCell ref="B85:C85"/>
    <mergeCell ref="B79:C79"/>
    <mergeCell ref="B80:C80"/>
    <mergeCell ref="B81:C81"/>
    <mergeCell ref="B82:C82"/>
    <mergeCell ref="B83:C83"/>
    <mergeCell ref="B74:C74"/>
  </mergeCells>
  <pageMargins left="0.51181102362204722" right="0.51181102362204722" top="0.78740157480314965" bottom="0.78740157480314965" header="0.31496062992125984" footer="0.31496062992125984"/>
  <pageSetup paperSize="9" scale="87" fitToHeight="0" orientation="portrait" r:id="rId1"/>
  <rowBreaks count="2" manualBreakCount="2">
    <brk id="37" max="16383" man="1"/>
    <brk id="7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39"/>
  <sheetViews>
    <sheetView tabSelected="1" topLeftCell="A16" zoomScale="115" zoomScaleNormal="115" workbookViewId="0">
      <selection activeCell="A29" sqref="A29"/>
    </sheetView>
  </sheetViews>
  <sheetFormatPr defaultRowHeight="12.75" x14ac:dyDescent="0.25"/>
  <cols>
    <col min="1" max="1" width="5.7109375" style="4" customWidth="1"/>
    <col min="2" max="2" width="20.7109375" style="4" customWidth="1"/>
    <col min="3" max="3" width="15.7109375" style="4" customWidth="1"/>
    <col min="4" max="4" width="10.7109375" style="4" customWidth="1"/>
    <col min="5" max="6" width="15.7109375" style="4" customWidth="1"/>
    <col min="7" max="16384" width="9.140625" style="4"/>
  </cols>
  <sheetData>
    <row r="8" spans="1:6" x14ac:dyDescent="0.25">
      <c r="A8" s="112" t="s">
        <v>175</v>
      </c>
      <c r="B8" s="112"/>
      <c r="C8" s="112"/>
      <c r="D8" s="112"/>
      <c r="E8" s="112"/>
      <c r="F8" s="112"/>
    </row>
    <row r="10" spans="1:6" x14ac:dyDescent="0.25">
      <c r="A10" s="3" t="s">
        <v>184</v>
      </c>
    </row>
    <row r="11" spans="1:6" s="44" customFormat="1" ht="25.5" x14ac:dyDescent="0.25">
      <c r="A11" s="83" t="s">
        <v>176</v>
      </c>
      <c r="B11" s="83" t="s">
        <v>185</v>
      </c>
      <c r="C11" s="83" t="s">
        <v>183</v>
      </c>
      <c r="D11" s="83" t="s">
        <v>177</v>
      </c>
      <c r="E11" s="83" t="s">
        <v>178</v>
      </c>
      <c r="F11" s="83" t="s">
        <v>179</v>
      </c>
    </row>
    <row r="12" spans="1:6" x14ac:dyDescent="0.25">
      <c r="A12" s="84">
        <v>1</v>
      </c>
      <c r="B12" s="84" t="str">
        <f>servente!A6</f>
        <v>Servente de Limpeza</v>
      </c>
      <c r="C12" s="79">
        <f>servente!D150</f>
        <v>1996.4464498432599</v>
      </c>
      <c r="D12" s="85">
        <f>servente!D6</f>
        <v>115</v>
      </c>
      <c r="E12" s="79">
        <f>C12*D12</f>
        <v>229591.34173197488</v>
      </c>
      <c r="F12" s="79">
        <f>E12*12</f>
        <v>2755096.1007836987</v>
      </c>
    </row>
    <row r="13" spans="1:6" x14ac:dyDescent="0.25">
      <c r="C13" s="65"/>
      <c r="E13" s="65"/>
      <c r="F13" s="82">
        <f>SUM(F12)</f>
        <v>2755096.1007836987</v>
      </c>
    </row>
    <row r="15" spans="1:6" x14ac:dyDescent="0.25">
      <c r="A15" s="3" t="s">
        <v>182</v>
      </c>
    </row>
    <row r="16" spans="1:6" s="44" customFormat="1" ht="25.5" x14ac:dyDescent="0.25">
      <c r="A16" s="81" t="s">
        <v>176</v>
      </c>
      <c r="B16" s="81" t="s">
        <v>185</v>
      </c>
      <c r="C16" s="83" t="s">
        <v>201</v>
      </c>
      <c r="D16" s="83" t="s">
        <v>200</v>
      </c>
      <c r="E16" s="83" t="s">
        <v>204</v>
      </c>
      <c r="F16" s="83" t="s">
        <v>179</v>
      </c>
    </row>
    <row r="17" spans="1:6" x14ac:dyDescent="0.25">
      <c r="A17" s="67">
        <v>2</v>
      </c>
      <c r="B17" s="67" t="s">
        <v>199</v>
      </c>
      <c r="C17" s="79" t="s">
        <v>202</v>
      </c>
      <c r="D17" s="79">
        <v>7.25</v>
      </c>
      <c r="E17" s="89">
        <f>9678.19*4</f>
        <v>38712.76</v>
      </c>
      <c r="F17" s="79">
        <f>ROUND(D17*E17,2)</f>
        <v>280667.51</v>
      </c>
    </row>
    <row r="18" spans="1:6" ht="15.75" x14ac:dyDescent="0.25">
      <c r="A18" s="4" t="s">
        <v>205</v>
      </c>
      <c r="F18" s="80">
        <f>SUM(F17:F17)</f>
        <v>280667.51</v>
      </c>
    </row>
    <row r="20" spans="1:6" x14ac:dyDescent="0.25">
      <c r="A20" s="3" t="s">
        <v>186</v>
      </c>
    </row>
    <row r="21" spans="1:6" s="44" customFormat="1" ht="25.5" x14ac:dyDescent="0.25">
      <c r="A21" s="83" t="s">
        <v>176</v>
      </c>
      <c r="B21" s="83" t="s">
        <v>185</v>
      </c>
      <c r="C21" s="83" t="s">
        <v>183</v>
      </c>
      <c r="D21" s="83" t="s">
        <v>177</v>
      </c>
      <c r="E21" s="83" t="s">
        <v>178</v>
      </c>
      <c r="F21" s="83" t="s">
        <v>179</v>
      </c>
    </row>
    <row r="22" spans="1:6" ht="38.25" x14ac:dyDescent="0.25">
      <c r="A22" s="84">
        <v>3</v>
      </c>
      <c r="B22" s="86" t="str">
        <f>servente34dd!A6</f>
        <v>Servente de Limpeza - acréscimo temporário por 34 dias</v>
      </c>
      <c r="C22" s="79">
        <f>servente34dd!D150</f>
        <v>2334.5498981191222</v>
      </c>
      <c r="D22" s="85">
        <f>servente34dd!D6</f>
        <v>94</v>
      </c>
      <c r="E22" s="79">
        <f t="shared" ref="E22:E23" si="0">C22*D22</f>
        <v>219447.69042319749</v>
      </c>
      <c r="F22" s="79">
        <f>ROUND(E22*34/(365/12),2)</f>
        <v>245300.43</v>
      </c>
    </row>
    <row r="23" spans="1:6" ht="38.25" x14ac:dyDescent="0.25">
      <c r="A23" s="84">
        <v>4</v>
      </c>
      <c r="B23" s="86" t="str">
        <f>servente53dd!A6</f>
        <v>Servente de Limpeza - acréscimo temporário por 53 dias</v>
      </c>
      <c r="C23" s="79">
        <f>servente53dd!D150</f>
        <v>2191.035645245559</v>
      </c>
      <c r="D23" s="85">
        <f>servente53dd!D6</f>
        <v>10</v>
      </c>
      <c r="E23" s="79">
        <f t="shared" si="0"/>
        <v>21910.356452455591</v>
      </c>
      <c r="F23" s="79">
        <f>ROUND(E23*53/(365/12),2)</f>
        <v>38178.050000000003</v>
      </c>
    </row>
    <row r="24" spans="1:6" x14ac:dyDescent="0.25">
      <c r="F24" s="80">
        <f>SUM(F22:F23)</f>
        <v>283478.48</v>
      </c>
    </row>
    <row r="25" spans="1:6" x14ac:dyDescent="0.25">
      <c r="A25" s="3" t="s">
        <v>60</v>
      </c>
    </row>
    <row r="26" spans="1:6" s="66" customFormat="1" x14ac:dyDescent="0.25">
      <c r="A26" s="85" t="s">
        <v>176</v>
      </c>
      <c r="B26" s="78" t="s">
        <v>185</v>
      </c>
      <c r="C26" s="78"/>
      <c r="D26" s="78"/>
      <c r="E26" s="78"/>
      <c r="F26" s="85" t="s">
        <v>179</v>
      </c>
    </row>
    <row r="27" spans="1:6" x14ac:dyDescent="0.25">
      <c r="A27" s="84">
        <v>5</v>
      </c>
      <c r="B27" s="68" t="s">
        <v>187</v>
      </c>
      <c r="C27" s="68"/>
      <c r="D27" s="68"/>
      <c r="E27" s="68"/>
      <c r="F27" s="79">
        <f>materiais!D93</f>
        <v>792528.26</v>
      </c>
    </row>
    <row r="28" spans="1:6" x14ac:dyDescent="0.25">
      <c r="A28" s="84">
        <v>6</v>
      </c>
      <c r="B28" s="68" t="s">
        <v>188</v>
      </c>
      <c r="C28" s="68"/>
      <c r="D28" s="68"/>
      <c r="E28" s="68"/>
      <c r="F28" s="79">
        <f>materiais!G93</f>
        <v>919991.81</v>
      </c>
    </row>
    <row r="29" spans="1:6" x14ac:dyDescent="0.25">
      <c r="F29" s="80">
        <f>SUM(F27:F28)</f>
        <v>1712520.07</v>
      </c>
    </row>
    <row r="31" spans="1:6" x14ac:dyDescent="0.25">
      <c r="A31" s="112" t="s">
        <v>189</v>
      </c>
      <c r="B31" s="112"/>
      <c r="C31" s="112"/>
      <c r="D31" s="112"/>
      <c r="E31" s="112"/>
      <c r="F31" s="112"/>
    </row>
    <row r="32" spans="1:6" x14ac:dyDescent="0.25">
      <c r="A32" s="113" t="s">
        <v>180</v>
      </c>
      <c r="B32" s="114"/>
      <c r="C32" s="115"/>
      <c r="D32" s="113" t="s">
        <v>108</v>
      </c>
      <c r="E32" s="114"/>
      <c r="F32" s="115"/>
    </row>
    <row r="33" spans="1:6" x14ac:dyDescent="0.25">
      <c r="A33" s="67" t="s">
        <v>181</v>
      </c>
      <c r="B33" s="68"/>
      <c r="C33" s="69">
        <f>F13</f>
        <v>2755096.1007836987</v>
      </c>
      <c r="D33" s="67" t="s">
        <v>181</v>
      </c>
      <c r="E33" s="68"/>
      <c r="F33" s="69">
        <f>F13</f>
        <v>2755096.1007836987</v>
      </c>
    </row>
    <row r="34" spans="1:6" x14ac:dyDescent="0.25">
      <c r="A34" s="67" t="s">
        <v>182</v>
      </c>
      <c r="B34" s="68"/>
      <c r="C34" s="69">
        <f>F18</f>
        <v>280667.51</v>
      </c>
      <c r="D34" s="67" t="s">
        <v>182</v>
      </c>
      <c r="E34" s="68"/>
      <c r="F34" s="69">
        <f>F18</f>
        <v>280667.51</v>
      </c>
    </row>
    <row r="35" spans="1:6" x14ac:dyDescent="0.25">
      <c r="A35" s="67" t="s">
        <v>60</v>
      </c>
      <c r="B35" s="68"/>
      <c r="C35" s="69">
        <f>F27</f>
        <v>792528.26</v>
      </c>
      <c r="D35" s="67" t="s">
        <v>190</v>
      </c>
      <c r="E35" s="68"/>
      <c r="F35" s="69">
        <f>F24</f>
        <v>283478.48</v>
      </c>
    </row>
    <row r="36" spans="1:6" x14ac:dyDescent="0.25">
      <c r="A36" s="70"/>
      <c r="B36" s="71"/>
      <c r="C36" s="72"/>
      <c r="D36" s="67" t="s">
        <v>60</v>
      </c>
      <c r="E36" s="68"/>
      <c r="F36" s="69">
        <f>F28</f>
        <v>919991.81</v>
      </c>
    </row>
    <row r="37" spans="1:6" x14ac:dyDescent="0.25">
      <c r="A37" s="73"/>
      <c r="B37" s="74" t="s">
        <v>193</v>
      </c>
      <c r="C37" s="75">
        <f>SUM(C33:C36)</f>
        <v>3828291.8707836987</v>
      </c>
      <c r="D37" s="73"/>
      <c r="E37" s="74" t="s">
        <v>194</v>
      </c>
      <c r="F37" s="75">
        <f>SUM(F33:F36)</f>
        <v>4239233.900783699</v>
      </c>
    </row>
    <row r="39" spans="1:6" x14ac:dyDescent="0.25">
      <c r="A39" s="76" t="s">
        <v>191</v>
      </c>
      <c r="B39" s="77"/>
      <c r="C39" s="77"/>
      <c r="D39" s="77"/>
      <c r="E39" s="74" t="s">
        <v>192</v>
      </c>
      <c r="F39" s="75">
        <f>C37+F37</f>
        <v>8067525.7715673978</v>
      </c>
    </row>
  </sheetData>
  <mergeCells count="4">
    <mergeCell ref="A8:F8"/>
    <mergeCell ref="A31:F31"/>
    <mergeCell ref="A32:C32"/>
    <mergeCell ref="D32:F32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&amp;L&amp;"Times New Roman,Normal"Estimativa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servente</vt:lpstr>
      <vt:lpstr>servente34dd</vt:lpstr>
      <vt:lpstr>servente53dd</vt:lpstr>
      <vt:lpstr>materiais</vt:lpstr>
      <vt:lpstr>total</vt:lpstr>
      <vt:lpstr>materiais!Titulos_de_impressao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2023-04-27T13:15:07Z</cp:lastPrinted>
  <dcterms:created xsi:type="dcterms:W3CDTF">2019-01-29T18:54:26Z</dcterms:created>
  <dcterms:modified xsi:type="dcterms:W3CDTF">2023-06-15T19:25:14Z</dcterms:modified>
</cp:coreProperties>
</file>