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21" activeTab="41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r:id="rId26"/>
    <sheet name="Item27" sheetId="30" r:id="rId27"/>
    <sheet name="Item28" sheetId="31" r:id="rId28"/>
    <sheet name="Item29" sheetId="32" r:id="rId29"/>
    <sheet name="Item30" sheetId="33" r:id="rId30"/>
    <sheet name="Item31" sheetId="34" r:id="rId31"/>
    <sheet name="Item32" sheetId="35" r:id="rId32"/>
    <sheet name="Item33" sheetId="36" r:id="rId33"/>
    <sheet name="Item34" sheetId="37" r:id="rId34"/>
    <sheet name="Item35" sheetId="38" r:id="rId35"/>
    <sheet name="Item36" sheetId="39" r:id="rId36"/>
    <sheet name="Item37" sheetId="40" r:id="rId37"/>
    <sheet name="Item38" sheetId="41" r:id="rId38"/>
    <sheet name="Item39" sheetId="42" r:id="rId39"/>
    <sheet name="Item40" sheetId="43" state="hidden" r:id="rId40"/>
    <sheet name="Item41" sheetId="44" state="hidden" r:id="rId41"/>
    <sheet name="total" sheetId="23" r:id="rId42"/>
  </sheets>
  <definedNames>
    <definedName name="_xlnm.Print_Area" localSheetId="41">total!$A$1:$I$47</definedName>
    <definedName name="_xlnm.Print_Titles" localSheetId="41">total!$1:$2</definedName>
  </definedNames>
  <calcPr calcId="145621"/>
</workbook>
</file>

<file path=xl/calcChain.xml><?xml version="1.0" encoding="utf-8"?>
<calcChain xmlns="http://schemas.openxmlformats.org/spreadsheetml/2006/main">
  <c r="D3" i="42" l="1"/>
  <c r="D3" i="36"/>
  <c r="D3" i="28"/>
  <c r="D3" i="11"/>
  <c r="D3" i="40"/>
  <c r="D3" i="5"/>
  <c r="D3" i="39"/>
  <c r="D3" i="38"/>
  <c r="D3" i="1"/>
  <c r="D3" i="25"/>
  <c r="D3" i="14"/>
  <c r="D3" i="9"/>
  <c r="D3" i="4" l="1"/>
  <c r="C32" i="23"/>
  <c r="D32" i="23"/>
  <c r="G32" i="23"/>
  <c r="E32" i="23" s="1"/>
  <c r="C33" i="23"/>
  <c r="D33" i="23"/>
  <c r="G33" i="23"/>
  <c r="E33" i="23" s="1"/>
  <c r="C34" i="23"/>
  <c r="D34" i="23"/>
  <c r="G34" i="23"/>
  <c r="E34" i="23" s="1"/>
  <c r="C35" i="23"/>
  <c r="D35" i="23"/>
  <c r="G35" i="23"/>
  <c r="E35" i="23" s="1"/>
  <c r="C36" i="23"/>
  <c r="D36" i="23"/>
  <c r="G36" i="23"/>
  <c r="E36" i="23" s="1"/>
  <c r="C37" i="23"/>
  <c r="D37" i="23"/>
  <c r="G37" i="23"/>
  <c r="E37" i="23" s="1"/>
  <c r="C38" i="23"/>
  <c r="D38" i="23"/>
  <c r="G38" i="23"/>
  <c r="E38" i="23" s="1"/>
  <c r="C39" i="23"/>
  <c r="D39" i="23"/>
  <c r="G39" i="23"/>
  <c r="E39" i="23" s="1"/>
  <c r="C40" i="23"/>
  <c r="D40" i="23"/>
  <c r="G40" i="23"/>
  <c r="E40" i="23" s="1"/>
  <c r="C41" i="23"/>
  <c r="D41" i="23"/>
  <c r="G41" i="23"/>
  <c r="E41" i="23" s="1"/>
  <c r="B41" i="23"/>
  <c r="B40" i="23"/>
  <c r="B39" i="23"/>
  <c r="B38" i="23"/>
  <c r="B37" i="23"/>
  <c r="B36" i="23"/>
  <c r="B35" i="23"/>
  <c r="B34" i="23"/>
  <c r="B33" i="23"/>
  <c r="B32" i="23"/>
  <c r="C31" i="23"/>
  <c r="D31" i="23"/>
  <c r="G31" i="23"/>
  <c r="E31" i="23" s="1"/>
  <c r="G30" i="23"/>
  <c r="E30" i="23" s="1"/>
  <c r="D30" i="23"/>
  <c r="C30" i="23"/>
  <c r="B31" i="23"/>
  <c r="B30" i="23"/>
  <c r="F20" i="44"/>
  <c r="D20" i="44"/>
  <c r="B20" i="44"/>
  <c r="I17" i="44"/>
  <c r="I16" i="44"/>
  <c r="I15" i="44"/>
  <c r="I14" i="44"/>
  <c r="I13" i="44"/>
  <c r="I12" i="44"/>
  <c r="F3" i="44"/>
  <c r="H20" i="44" s="1"/>
  <c r="G20" i="44" s="1"/>
  <c r="F20" i="43"/>
  <c r="D20" i="43"/>
  <c r="B20" i="43"/>
  <c r="A20" i="43" s="1"/>
  <c r="C20" i="43" s="1"/>
  <c r="I17" i="43"/>
  <c r="I16" i="43"/>
  <c r="I15" i="43"/>
  <c r="F3" i="43"/>
  <c r="H20" i="43" s="1"/>
  <c r="G20" i="43" s="1"/>
  <c r="F20" i="42"/>
  <c r="D20" i="42"/>
  <c r="B20" i="42"/>
  <c r="A20" i="42" s="1"/>
  <c r="C20" i="42" s="1"/>
  <c r="I7" i="42" s="1"/>
  <c r="I17" i="42"/>
  <c r="I16" i="42"/>
  <c r="I15" i="42"/>
  <c r="I14" i="42"/>
  <c r="I13" i="42"/>
  <c r="I12" i="42"/>
  <c r="I11" i="42"/>
  <c r="I10" i="42"/>
  <c r="I9" i="42"/>
  <c r="I8" i="42"/>
  <c r="F3" i="42"/>
  <c r="H20" i="42" s="1"/>
  <c r="G20" i="42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I8" i="41"/>
  <c r="I7" i="41"/>
  <c r="F3" i="41"/>
  <c r="H20" i="41" s="1"/>
  <c r="G20" i="41" s="1"/>
  <c r="F20" i="40"/>
  <c r="D20" i="40"/>
  <c r="B20" i="40"/>
  <c r="A20" i="40" s="1"/>
  <c r="C20" i="40" s="1"/>
  <c r="I17" i="40"/>
  <c r="I16" i="40"/>
  <c r="I15" i="40"/>
  <c r="I14" i="40"/>
  <c r="I13" i="40"/>
  <c r="I12" i="40"/>
  <c r="I11" i="40"/>
  <c r="F3" i="40"/>
  <c r="H20" i="40" s="1"/>
  <c r="G20" i="40" s="1"/>
  <c r="F20" i="39"/>
  <c r="D20" i="39"/>
  <c r="B20" i="39"/>
  <c r="C20" i="39" s="1"/>
  <c r="I6" i="39" s="1"/>
  <c r="A20" i="39"/>
  <c r="I17" i="39"/>
  <c r="I16" i="39"/>
  <c r="I15" i="39"/>
  <c r="I14" i="39"/>
  <c r="I13" i="39"/>
  <c r="I12" i="39"/>
  <c r="I11" i="39"/>
  <c r="I10" i="39"/>
  <c r="I9" i="39"/>
  <c r="I8" i="39"/>
  <c r="F3" i="39"/>
  <c r="H20" i="39" s="1"/>
  <c r="G20" i="39" s="1"/>
  <c r="F20" i="38"/>
  <c r="D20" i="38"/>
  <c r="B20" i="38"/>
  <c r="I17" i="38"/>
  <c r="I16" i="38"/>
  <c r="I15" i="38"/>
  <c r="I14" i="38"/>
  <c r="I11" i="38"/>
  <c r="I8" i="38"/>
  <c r="F3" i="38"/>
  <c r="H20" i="38" s="1"/>
  <c r="G20" i="38" s="1"/>
  <c r="F20" i="37"/>
  <c r="D20" i="37"/>
  <c r="B20" i="37"/>
  <c r="I17" i="37"/>
  <c r="I16" i="37"/>
  <c r="I15" i="37"/>
  <c r="I14" i="37"/>
  <c r="I13" i="37"/>
  <c r="I12" i="37"/>
  <c r="I11" i="37"/>
  <c r="I10" i="37"/>
  <c r="I9" i="37"/>
  <c r="I8" i="37"/>
  <c r="F3" i="37"/>
  <c r="H20" i="37" s="1"/>
  <c r="G20" i="37" s="1"/>
  <c r="F20" i="36"/>
  <c r="D20" i="36"/>
  <c r="B20" i="36"/>
  <c r="A20" i="36" s="1"/>
  <c r="C20" i="36" s="1"/>
  <c r="I17" i="36"/>
  <c r="I16" i="36"/>
  <c r="I15" i="36"/>
  <c r="I14" i="36"/>
  <c r="I13" i="36"/>
  <c r="I12" i="36"/>
  <c r="I11" i="36"/>
  <c r="I10" i="36"/>
  <c r="I9" i="36"/>
  <c r="I8" i="36"/>
  <c r="F3" i="36"/>
  <c r="H20" i="36" s="1"/>
  <c r="G20" i="36" s="1"/>
  <c r="F20" i="35"/>
  <c r="D20" i="35"/>
  <c r="B20" i="35"/>
  <c r="A20" i="35" s="1"/>
  <c r="C20" i="35" s="1"/>
  <c r="I17" i="35"/>
  <c r="I16" i="35"/>
  <c r="I15" i="35"/>
  <c r="I14" i="35"/>
  <c r="I13" i="35"/>
  <c r="I12" i="35"/>
  <c r="F3" i="35"/>
  <c r="H20" i="35" s="1"/>
  <c r="G20" i="35" s="1"/>
  <c r="F20" i="34"/>
  <c r="D20" i="34"/>
  <c r="B20" i="34"/>
  <c r="A20" i="34" s="1"/>
  <c r="C20" i="34" s="1"/>
  <c r="I17" i="34"/>
  <c r="I16" i="34"/>
  <c r="I15" i="34"/>
  <c r="I14" i="34"/>
  <c r="I13" i="34"/>
  <c r="I12" i="34"/>
  <c r="I11" i="34"/>
  <c r="F3" i="34"/>
  <c r="H20" i="34" s="1"/>
  <c r="G20" i="34" s="1"/>
  <c r="F20" i="33"/>
  <c r="D20" i="33"/>
  <c r="B20" i="33"/>
  <c r="A20" i="33" s="1"/>
  <c r="I17" i="33"/>
  <c r="I16" i="33"/>
  <c r="I15" i="33"/>
  <c r="I14" i="33"/>
  <c r="I13" i="33"/>
  <c r="I12" i="33"/>
  <c r="I11" i="33"/>
  <c r="I10" i="33"/>
  <c r="F3" i="33"/>
  <c r="H20" i="33" s="1"/>
  <c r="G20" i="33" s="1"/>
  <c r="F20" i="32"/>
  <c r="D20" i="32"/>
  <c r="B20" i="32"/>
  <c r="A20" i="32" s="1"/>
  <c r="C20" i="32" s="1"/>
  <c r="I6" i="32" s="1"/>
  <c r="I17" i="32"/>
  <c r="I16" i="32"/>
  <c r="I15" i="32"/>
  <c r="I14" i="32"/>
  <c r="I13" i="32"/>
  <c r="I12" i="32"/>
  <c r="I11" i="32"/>
  <c r="I10" i="32"/>
  <c r="I9" i="32"/>
  <c r="I8" i="32"/>
  <c r="F3" i="32"/>
  <c r="H20" i="32" s="1"/>
  <c r="G20" i="32" s="1"/>
  <c r="F20" i="31"/>
  <c r="D20" i="31"/>
  <c r="B20" i="31"/>
  <c r="A20" i="31" s="1"/>
  <c r="C20" i="31" s="1"/>
  <c r="I17" i="31"/>
  <c r="I16" i="31"/>
  <c r="I15" i="31"/>
  <c r="I14" i="31"/>
  <c r="I13" i="31"/>
  <c r="I12" i="31"/>
  <c r="I11" i="31"/>
  <c r="I10" i="31"/>
  <c r="F3" i="31"/>
  <c r="H20" i="31" s="1"/>
  <c r="G20" i="31" s="1"/>
  <c r="A20" i="38" l="1"/>
  <c r="C20" i="38" s="1"/>
  <c r="C20" i="33"/>
  <c r="I7" i="32"/>
  <c r="A20" i="37"/>
  <c r="C20" i="37" s="1"/>
  <c r="C20" i="41"/>
  <c r="I6" i="33"/>
  <c r="I4" i="33"/>
  <c r="I9" i="33"/>
  <c r="I3" i="33"/>
  <c r="I8" i="33"/>
  <c r="I7" i="33"/>
  <c r="I5" i="33"/>
  <c r="I9" i="40"/>
  <c r="I3" i="40"/>
  <c r="I8" i="40"/>
  <c r="I7" i="40"/>
  <c r="I6" i="40"/>
  <c r="I5" i="40"/>
  <c r="I10" i="40"/>
  <c r="I4" i="40"/>
  <c r="I6" i="35"/>
  <c r="I5" i="35"/>
  <c r="I10" i="35"/>
  <c r="I4" i="35"/>
  <c r="I9" i="35"/>
  <c r="I3" i="35"/>
  <c r="E20" i="35" s="1"/>
  <c r="I8" i="35"/>
  <c r="I7" i="35"/>
  <c r="I11" i="35"/>
  <c r="I9" i="34"/>
  <c r="I3" i="34"/>
  <c r="I8" i="34"/>
  <c r="I7" i="34"/>
  <c r="I6" i="34"/>
  <c r="I5" i="34"/>
  <c r="I10" i="34"/>
  <c r="I4" i="34"/>
  <c r="I3" i="42"/>
  <c r="I6" i="42"/>
  <c r="I5" i="42"/>
  <c r="I4" i="42"/>
  <c r="I4" i="31"/>
  <c r="I9" i="31"/>
  <c r="I3" i="31"/>
  <c r="E20" i="31" s="1"/>
  <c r="I7" i="31"/>
  <c r="I6" i="31"/>
  <c r="I5" i="31"/>
  <c r="I8" i="31"/>
  <c r="I3" i="36"/>
  <c r="E20" i="36" s="1"/>
  <c r="I7" i="36"/>
  <c r="I6" i="36"/>
  <c r="I5" i="36"/>
  <c r="I4" i="36"/>
  <c r="I3" i="32"/>
  <c r="I5" i="32"/>
  <c r="I4" i="32"/>
  <c r="E20" i="32" s="1"/>
  <c r="I12" i="43"/>
  <c r="I6" i="43"/>
  <c r="I11" i="43"/>
  <c r="I5" i="43"/>
  <c r="I10" i="43"/>
  <c r="I4" i="43"/>
  <c r="E20" i="43" s="1"/>
  <c r="I9" i="43"/>
  <c r="I3" i="43"/>
  <c r="I14" i="43"/>
  <c r="I8" i="43"/>
  <c r="I13" i="43"/>
  <c r="I7" i="43"/>
  <c r="I10" i="38"/>
  <c r="I7" i="39"/>
  <c r="E20" i="40"/>
  <c r="E3" i="40" s="1"/>
  <c r="H39" i="23" s="1"/>
  <c r="I39" i="23" s="1"/>
  <c r="E3" i="41"/>
  <c r="H40" i="23" s="1"/>
  <c r="I40" i="23" s="1"/>
  <c r="E20" i="42"/>
  <c r="H22" i="42" s="1"/>
  <c r="H23" i="42" s="1"/>
  <c r="I12" i="38"/>
  <c r="I3" i="39"/>
  <c r="I3" i="41"/>
  <c r="A20" i="44"/>
  <c r="C20" i="44" s="1"/>
  <c r="E20" i="33"/>
  <c r="H22" i="33" s="1"/>
  <c r="H23" i="33" s="1"/>
  <c r="I13" i="38"/>
  <c r="I4" i="39"/>
  <c r="E20" i="41"/>
  <c r="I5" i="39"/>
  <c r="I5" i="41" l="1"/>
  <c r="I6" i="41"/>
  <c r="I4" i="41"/>
  <c r="H22" i="41"/>
  <c r="H23" i="41" s="1"/>
  <c r="E20" i="39"/>
  <c r="H22" i="39" s="1"/>
  <c r="H23" i="39" s="1"/>
  <c r="I9" i="38"/>
  <c r="I6" i="38"/>
  <c r="I7" i="38"/>
  <c r="I3" i="38"/>
  <c r="I5" i="38"/>
  <c r="I4" i="38"/>
  <c r="E20" i="38" s="1"/>
  <c r="I6" i="37"/>
  <c r="I7" i="37"/>
  <c r="I3" i="37"/>
  <c r="E3" i="37"/>
  <c r="H36" i="23" s="1"/>
  <c r="I36" i="23" s="1"/>
  <c r="H22" i="37"/>
  <c r="H23" i="37" s="1"/>
  <c r="E20" i="37"/>
  <c r="I4" i="37"/>
  <c r="I5" i="37"/>
  <c r="E20" i="34"/>
  <c r="E3" i="39"/>
  <c r="H38" i="23" s="1"/>
  <c r="I38" i="23" s="1"/>
  <c r="H22" i="38"/>
  <c r="H23" i="38" s="1"/>
  <c r="E3" i="38"/>
  <c r="H37" i="23" s="1"/>
  <c r="I37" i="23" s="1"/>
  <c r="E3" i="43"/>
  <c r="H22" i="43"/>
  <c r="H23" i="43" s="1"/>
  <c r="E3" i="32"/>
  <c r="H31" i="23" s="1"/>
  <c r="I31" i="23" s="1"/>
  <c r="H22" i="32"/>
  <c r="H23" i="32" s="1"/>
  <c r="E3" i="31"/>
  <c r="H30" i="23" s="1"/>
  <c r="I30" i="23" s="1"/>
  <c r="H22" i="31"/>
  <c r="H23" i="31" s="1"/>
  <c r="H22" i="35"/>
  <c r="H23" i="35" s="1"/>
  <c r="E3" i="35"/>
  <c r="H34" i="23" s="1"/>
  <c r="I34" i="23" s="1"/>
  <c r="H22" i="36"/>
  <c r="H23" i="36" s="1"/>
  <c r="E3" i="36"/>
  <c r="H35" i="23" s="1"/>
  <c r="I35" i="23" s="1"/>
  <c r="E3" i="34"/>
  <c r="H33" i="23" s="1"/>
  <c r="I33" i="23" s="1"/>
  <c r="H22" i="34"/>
  <c r="H23" i="34" s="1"/>
  <c r="I9" i="44"/>
  <c r="I3" i="44"/>
  <c r="I8" i="44"/>
  <c r="I7" i="44"/>
  <c r="I6" i="44"/>
  <c r="E20" i="44" s="1"/>
  <c r="I11" i="44"/>
  <c r="I5" i="44"/>
  <c r="I10" i="44"/>
  <c r="I4" i="44"/>
  <c r="E3" i="33"/>
  <c r="H32" i="23" s="1"/>
  <c r="I32" i="23" s="1"/>
  <c r="H22" i="40"/>
  <c r="H23" i="40" s="1"/>
  <c r="E3" i="42"/>
  <c r="H41" i="23" s="1"/>
  <c r="I41" i="23" s="1"/>
  <c r="C23" i="23"/>
  <c r="D23" i="23"/>
  <c r="G23" i="23"/>
  <c r="E23" i="23" s="1"/>
  <c r="C24" i="23"/>
  <c r="D24" i="23"/>
  <c r="G24" i="23"/>
  <c r="E24" i="23" s="1"/>
  <c r="C25" i="23"/>
  <c r="D25" i="23"/>
  <c r="G25" i="23"/>
  <c r="E25" i="23" s="1"/>
  <c r="C26" i="23"/>
  <c r="D26" i="23"/>
  <c r="G26" i="23"/>
  <c r="E26" i="23" s="1"/>
  <c r="C27" i="23"/>
  <c r="D27" i="23"/>
  <c r="G27" i="23"/>
  <c r="E27" i="23" s="1"/>
  <c r="C28" i="23"/>
  <c r="D28" i="23"/>
  <c r="G28" i="23"/>
  <c r="E28" i="23" s="1"/>
  <c r="C29" i="23"/>
  <c r="D29" i="23"/>
  <c r="G29" i="23"/>
  <c r="E29" i="23" s="1"/>
  <c r="B29" i="23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H22" i="44" l="1"/>
  <c r="H23" i="44" s="1"/>
  <c r="E3" i="44"/>
  <c r="C20" i="24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G45" i="23"/>
  <c r="C4" i="23"/>
  <c r="D4" i="23"/>
  <c r="G4" i="23"/>
  <c r="E4" i="23" s="1"/>
  <c r="C5" i="23"/>
  <c r="D5" i="23"/>
  <c r="G5" i="23"/>
  <c r="E5" i="23" s="1"/>
  <c r="C6" i="23"/>
  <c r="D6" i="23"/>
  <c r="G6" i="23"/>
  <c r="E6" i="23" s="1"/>
  <c r="C7" i="23"/>
  <c r="D7" i="23"/>
  <c r="G7" i="23"/>
  <c r="E7" i="23" s="1"/>
  <c r="C8" i="23"/>
  <c r="D8" i="23"/>
  <c r="G8" i="23"/>
  <c r="E8" i="23" s="1"/>
  <c r="C9" i="23"/>
  <c r="D9" i="23"/>
  <c r="G9" i="23"/>
  <c r="E9" i="23" s="1"/>
  <c r="C10" i="23"/>
  <c r="D10" i="23"/>
  <c r="G10" i="23"/>
  <c r="E10" i="23" s="1"/>
  <c r="C11" i="23"/>
  <c r="D11" i="23"/>
  <c r="G11" i="23"/>
  <c r="E11" i="23" s="1"/>
  <c r="C12" i="23"/>
  <c r="D12" i="23"/>
  <c r="G12" i="23"/>
  <c r="E12" i="23" s="1"/>
  <c r="C13" i="23"/>
  <c r="D13" i="23"/>
  <c r="G13" i="23"/>
  <c r="E13" i="23" s="1"/>
  <c r="C14" i="23"/>
  <c r="D14" i="23"/>
  <c r="G14" i="23"/>
  <c r="E14" i="23" s="1"/>
  <c r="C15" i="23"/>
  <c r="D15" i="23"/>
  <c r="G15" i="23"/>
  <c r="E15" i="23" s="1"/>
  <c r="C16" i="23"/>
  <c r="D16" i="23"/>
  <c r="G16" i="23"/>
  <c r="E16" i="23" s="1"/>
  <c r="C17" i="23"/>
  <c r="D17" i="23"/>
  <c r="G17" i="23"/>
  <c r="E17" i="23" s="1"/>
  <c r="C18" i="23"/>
  <c r="D18" i="23"/>
  <c r="G18" i="23"/>
  <c r="E18" i="23" s="1"/>
  <c r="C19" i="23"/>
  <c r="D19" i="23"/>
  <c r="G19" i="23"/>
  <c r="E19" i="23" s="1"/>
  <c r="C20" i="23"/>
  <c r="D20" i="23"/>
  <c r="G20" i="23"/>
  <c r="E20" i="23" s="1"/>
  <c r="C21" i="23"/>
  <c r="D21" i="23"/>
  <c r="G21" i="23"/>
  <c r="E21" i="23" s="1"/>
  <c r="C22" i="23"/>
  <c r="D22" i="23"/>
  <c r="G22" i="23"/>
  <c r="E22" i="23" s="1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G3" i="23"/>
  <c r="E3" i="23" s="1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I8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E3" i="28" s="1"/>
  <c r="H27" i="23" s="1"/>
  <c r="I27" i="23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12" i="9" s="1"/>
  <c r="C20" i="6"/>
  <c r="I8" i="6" s="1"/>
  <c r="A20" i="7"/>
  <c r="C20" i="7" s="1"/>
  <c r="I16" i="7" s="1"/>
  <c r="A20" i="8"/>
  <c r="C20" i="8" s="1"/>
  <c r="I4" i="8" s="1"/>
  <c r="H22" i="28"/>
  <c r="H23" i="2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13" i="9"/>
  <c r="I9" i="9"/>
  <c r="I15" i="9"/>
  <c r="I15" i="7"/>
  <c r="I10" i="9"/>
  <c r="I17" i="7"/>
  <c r="I5" i="9"/>
  <c r="I11" i="9"/>
  <c r="I17" i="9"/>
  <c r="I6" i="9"/>
  <c r="I15" i="6"/>
  <c r="I3" i="6"/>
  <c r="I14" i="6"/>
  <c r="I17" i="6"/>
  <c r="I16" i="6"/>
  <c r="I12" i="6"/>
  <c r="I6" i="6"/>
  <c r="I5" i="6"/>
  <c r="I12" i="5"/>
  <c r="I17" i="5"/>
  <c r="I11" i="5"/>
  <c r="I16" i="5"/>
  <c r="I8" i="5"/>
  <c r="I13" i="5"/>
  <c r="I15" i="5"/>
  <c r="I14" i="5"/>
  <c r="A20" i="4"/>
  <c r="C20" i="4" s="1"/>
  <c r="C20" i="1"/>
  <c r="I6" i="16" l="1"/>
  <c r="E20" i="14"/>
  <c r="E3" i="14" s="1"/>
  <c r="H14" i="23" s="1"/>
  <c r="I14" i="23" s="1"/>
  <c r="I3" i="9"/>
  <c r="I7" i="9"/>
  <c r="I7" i="6"/>
  <c r="E20" i="24"/>
  <c r="E3" i="24" s="1"/>
  <c r="H23" i="23" s="1"/>
  <c r="I23" i="23" s="1"/>
  <c r="I8" i="20"/>
  <c r="I3" i="20"/>
  <c r="I7" i="20"/>
  <c r="I6" i="20"/>
  <c r="I4" i="20"/>
  <c r="I10" i="20"/>
  <c r="I9" i="20"/>
  <c r="I4" i="18"/>
  <c r="E20" i="16"/>
  <c r="H22" i="16" s="1"/>
  <c r="H23" i="16" s="1"/>
  <c r="I4" i="16"/>
  <c r="I3" i="16"/>
  <c r="I5" i="16"/>
  <c r="I7" i="16"/>
  <c r="I10" i="12"/>
  <c r="I12" i="12"/>
  <c r="I4" i="12"/>
  <c r="I8" i="12"/>
  <c r="I6" i="12"/>
  <c r="I7" i="12"/>
  <c r="I3" i="12"/>
  <c r="E20" i="12" s="1"/>
  <c r="I5" i="12"/>
  <c r="I6" i="8"/>
  <c r="I5" i="8"/>
  <c r="E20" i="8" s="1"/>
  <c r="H22" i="8" s="1"/>
  <c r="H23" i="8" s="1"/>
  <c r="I3" i="8"/>
  <c r="I11" i="6"/>
  <c r="E20" i="6" s="1"/>
  <c r="H22" i="6" s="1"/>
  <c r="H23" i="6" s="1"/>
  <c r="I9" i="6"/>
  <c r="I4" i="6"/>
  <c r="I13" i="6"/>
  <c r="I10" i="6"/>
  <c r="I3" i="5"/>
  <c r="I10" i="5"/>
  <c r="I4" i="5"/>
  <c r="I9" i="5"/>
  <c r="I7" i="5"/>
  <c r="I5" i="5"/>
  <c r="E20" i="30"/>
  <c r="E3" i="30" s="1"/>
  <c r="H29" i="23" s="1"/>
  <c r="I29" i="23" s="1"/>
  <c r="E20" i="29"/>
  <c r="H22" i="29" s="1"/>
  <c r="H23" i="29" s="1"/>
  <c r="E3" i="26"/>
  <c r="H25" i="23" s="1"/>
  <c r="I25" i="23" s="1"/>
  <c r="E20" i="25"/>
  <c r="H22" i="25" s="1"/>
  <c r="H23" i="25" s="1"/>
  <c r="E20" i="22"/>
  <c r="H22" i="22" s="1"/>
  <c r="H23" i="22" s="1"/>
  <c r="I11" i="22"/>
  <c r="I12" i="22"/>
  <c r="I9" i="22"/>
  <c r="I6" i="22"/>
  <c r="I5" i="22"/>
  <c r="I8" i="22"/>
  <c r="I4" i="22"/>
  <c r="I7" i="22"/>
  <c r="E20" i="18"/>
  <c r="H22" i="18" s="1"/>
  <c r="H23" i="18" s="1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6" i="23" s="1"/>
  <c r="I26" i="23" s="1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H22" i="24" l="1"/>
  <c r="H23" i="24" s="1"/>
  <c r="E20" i="20"/>
  <c r="E3" i="20" s="1"/>
  <c r="H20" i="23" s="1"/>
  <c r="I20" i="23" s="1"/>
  <c r="H22" i="20"/>
  <c r="H23" i="20" s="1"/>
  <c r="E3" i="16"/>
  <c r="H16" i="23" s="1"/>
  <c r="I16" i="23" s="1"/>
  <c r="H22" i="12"/>
  <c r="H23" i="12" s="1"/>
  <c r="E3" i="12"/>
  <c r="H12" i="23" s="1"/>
  <c r="I12" i="23" s="1"/>
  <c r="E3" i="8"/>
  <c r="H8" i="23" s="1"/>
  <c r="I8" i="23" s="1"/>
  <c r="E3" i="6"/>
  <c r="H6" i="23" s="1"/>
  <c r="I6" i="23" s="1"/>
  <c r="E20" i="5"/>
  <c r="E3" i="5" s="1"/>
  <c r="H5" i="23" s="1"/>
  <c r="I5" i="23" s="1"/>
  <c r="H22" i="30"/>
  <c r="H23" i="30" s="1"/>
  <c r="E3" i="29"/>
  <c r="H28" i="23" s="1"/>
  <c r="I28" i="23" s="1"/>
  <c r="H50" i="23" s="1"/>
  <c r="E3" i="25"/>
  <c r="H24" i="23" s="1"/>
  <c r="I24" i="23" s="1"/>
  <c r="E3" i="22"/>
  <c r="H22" i="23" s="1"/>
  <c r="I22" i="23" s="1"/>
  <c r="E20" i="21"/>
  <c r="H22" i="21" s="1"/>
  <c r="H23" i="21" s="1"/>
  <c r="E20" i="19"/>
  <c r="H22" i="19" s="1"/>
  <c r="H23" i="19" s="1"/>
  <c r="E3" i="18"/>
  <c r="H18" i="23" s="1"/>
  <c r="I18" i="23" s="1"/>
  <c r="E20" i="15"/>
  <c r="H22" i="15" s="1"/>
  <c r="H23" i="15" s="1"/>
  <c r="E20" i="13"/>
  <c r="E3" i="13" s="1"/>
  <c r="H13" i="23" s="1"/>
  <c r="I13" i="23" s="1"/>
  <c r="E20" i="11"/>
  <c r="H22" i="11" s="1"/>
  <c r="H23" i="11" s="1"/>
  <c r="E20" i="10"/>
  <c r="H22" i="10" s="1"/>
  <c r="H23" i="10" s="1"/>
  <c r="E3" i="9"/>
  <c r="H9" i="23" s="1"/>
  <c r="I9" i="23" s="1"/>
  <c r="E20" i="7"/>
  <c r="E20" i="4"/>
  <c r="E3" i="4" s="1"/>
  <c r="H4" i="23" s="1"/>
  <c r="I4" i="23" s="1"/>
  <c r="E20" i="17"/>
  <c r="E20" i="1"/>
  <c r="E3" i="21" l="1"/>
  <c r="H21" i="23" s="1"/>
  <c r="I21" i="23" s="1"/>
  <c r="E3" i="19"/>
  <c r="H19" i="23" s="1"/>
  <c r="I19" i="23" s="1"/>
  <c r="E3" i="15"/>
  <c r="H15" i="23" s="1"/>
  <c r="I15" i="23" s="1"/>
  <c r="H22" i="13"/>
  <c r="H23" i="13" s="1"/>
  <c r="E3" i="10"/>
  <c r="H10" i="23" s="1"/>
  <c r="I10" i="23" s="1"/>
  <c r="H49" i="23" s="1"/>
  <c r="H22" i="5"/>
  <c r="H23" i="5" s="1"/>
  <c r="H22" i="4"/>
  <c r="H23" i="4" s="1"/>
  <c r="E3" i="11"/>
  <c r="H11" i="23" s="1"/>
  <c r="I11" i="23" s="1"/>
  <c r="H22" i="7"/>
  <c r="H23" i="7" s="1"/>
  <c r="E3" i="7"/>
  <c r="H7" i="23" s="1"/>
  <c r="I7" i="23" s="1"/>
  <c r="H22" i="17"/>
  <c r="H23" i="17" s="1"/>
  <c r="E3" i="17"/>
  <c r="H17" i="23" s="1"/>
  <c r="I17" i="23" s="1"/>
  <c r="E3" i="1"/>
  <c r="H3" i="23" s="1"/>
  <c r="I3" i="23" s="1"/>
  <c r="H22" i="1"/>
  <c r="H23" i="1" s="1"/>
  <c r="H48" i="23" l="1"/>
  <c r="H47" i="23"/>
  <c r="H43" i="23"/>
</calcChain>
</file>

<file path=xl/sharedStrings.xml><?xml version="1.0" encoding="utf-8"?>
<sst xmlns="http://schemas.openxmlformats.org/spreadsheetml/2006/main" count="1387" uniqueCount="155">
  <si>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</si>
  <si>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</si>
  <si>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</si>
  <si>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</si>
  <si>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</si>
  <si>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</si>
  <si>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</si>
  <si>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</si>
  <si>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</si>
  <si>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</si>
  <si>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</si>
  <si>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</si>
  <si>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</si>
  <si>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</si>
  <si>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</si>
  <si>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</si>
  <si>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</si>
  <si>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</si>
  <si>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</si>
  <si>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</si>
  <si>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</si>
  <si>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</si>
  <si>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</si>
  <si>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</si>
  <si>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</si>
  <si>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</si>
  <si>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</si>
  <si>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</si>
  <si>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</si>
  <si>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</si>
  <si>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</si>
  <si>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</si>
  <si>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</si>
  <si>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</si>
  <si>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n/a</t>
  </si>
  <si>
    <t>TELEVISOR LED, com as seguintes características:
• Diagonal entre 30 a 32 polegadas;
• Conversor digital integrado;
• Cor preta;
• Fonte bivolt 110-220 V;
•     Conexões:
 Mínimo de 1 (uma) entrada HDMI;
 Mínimo de 1 (uma) entrada USB 2.0 ou superior com capacidade de reprodução de áudio, vídeo e musicas em alta resolução direto de dispositivo USB (Pen Drive);
 Mínimo de 1(uma) entrada de áudio/vídeo;
 Mínimo de uma entrada RF para TV aberta.
• Controle remoto munido das pilhas necessárias para o primeiro uso;
• Acompanhado de base para uso em mesa;
• Manual em português;
• Garantia de, no mínimo, 360 dias.</t>
  </si>
  <si>
    <t>SMART TV LED, com as seguintes características:
• Diagonal entre 55 a 60 polegadas;
• Cor preta;
• Resolução de imagem mínima Full HD;
• Conversor digital integrado;
• Fonte bivolt 110-220 V;
• Conexões:
 Mínimo de 2 (duas) entradas HDMI;
 Mínimo de 1 (uma) entrada USB 2.0 ou superior com capacidade de reprodução de áudio, vídeo e musicas em alta resolução direto de dispositivo USB (Pen Drive);
 Mínimo de 1 (uma) entrada de áudio/vídeo;
 Mínimo de uma entrada RF para TV aberta;
 Mínimo de uma entrada Ethernet (LAN);
 Wi-fi integrado;
• Controle remoto munido das pilhas necessárias;
• Alimentação bivolt: 110 – 220 V/60hz;
• Acompanhado de base para uso em mesa;
• Menu em Português;
• Garantia de, no mínimo, 360 dias.</t>
  </si>
  <si>
    <t>APARELHO TELEFÔNICO IP Fixo – tipo 1, com as seguintes características:
• Terminal de comunicação IP composto por telefone, monofone, e acessórios para seu pleno funcionamento.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fixo.
• Possuir duas portas switch fast ethernet integradas internas, permitindo a conexão de um computador diretamente ao telefone IP fixo, nas velocidades de 10/100 Mbps, autosensing. Não será aceito o uso de adaptadores internos ou externos para as portas fast ethernet.
• Suportar PoE (Power over Ethernet) conforme a classificação do padrão IEEE 802.3af (calss1), suportando alimentação direta via interface ethernet.
• A porta do telefone IP deverá suportar mecanismo de qualidade de serviço e tronco de VLAN padrão 802.1q e 802.1p. Desta forma, o tráfego de dados e de voz utilizarão VLANs distintas.
• Certificado/homologado pela ANATEL.
• Possuir no mínimo os codecs G.711 e G.729.
• Permitir busca de configuração em servidores comuns por meio de protocolos padrão.
• Suportar o protocolo Session Initiation Protocol (SIP), não serão aceitos equipamentos híbridos com telefonia analógica ou que necessitem de adaptadores externos para o funcionamento.
• Possuir recurso de viva-voz bidirecional com cancelamento de eco.
• Permitir o ajuste de toque de chamada.
• Deve possuir ajuste de volume para fone, campainha e fone de ouvido.
• Deve possuir display de cristal líquido (LCD) monocromático, com iluminação de fundo, com resolução mínima de 128 x 32 pixels. Este display deve prover informações de data e hora, correio e voz, ícone de chamadas perdidas, detalhes da chamada durante uma ligação, histórico de chamadas efetuadas e recebidas e configurações do aparelho.
• Suportar o idioma Português (Brasil).
• Possuir recurso de geração de supressão de silêncio.
• A compressão dos canais de voz deve ser realizada no próprio aparelho.
• Permitir que se efetue transferência de chamadas internas e externas. O usuário poderá optar pela transferência de uma chamada recebida para um número interno ou externo.
• Possuir recurso que indique a existência de “chamada em espera”, informando ao usuário que há uma chamada entrante durante uma conversação.
• Permitir a rediscagem do último número discado.
• Possuir a tecla mute.
• Possuir recurso de discagem rápida para números pré-configurados pelo usuário.
• Suportar desvio automático de chamada para voicemail ou outro destino pré-configurado.
• Suportar conferência e captura de chamadas.
• Possuir fonte de energia compatível e do mesmo fabricante do telefone IP. A fonte deve operar na faixa de 110 Vac a 240 Vac, com chaveamento automático (conversão automática), frequência de 50-60 Hz e tomada padrão brasileiro.
• Garantia mínima de 36 (trinta e seis) meses.
• Referência: CISCO SIP PHONE 3905</t>
  </si>
  <si>
    <t>SUPORTE PARA TV LED TIPO PEDESTAL DE PISO, com as seguintes características:
• Com regulagem de altura da TV;
• Compatível com TVs de 32 a 65 polegadas;
• Cor predominante preta ou grafite;
• Passagem interna para fiação;
• Com no mínimo uma bandeja de apoio para DVD e Notebook;
• Dimensões da bandeja (500mm x 290mm) (LxP). Admite-se variação de 100 mm na largura e de 100 mm na profundidade;
• Compatível com os seguintes padrões de furação VESA 200x100, 200x200, 200x300, 300x200, 300x300, 400x200, 400x300, 400x400, 600x200 ou 600x400mm (HxV);
• Parafusos para fixação da TV;
• Fabricado em aço carbono com acabamento em pintura eletrostática;
• Rodízio (rodas) para locomoção com trava;
• Mínimo de uma prateleira;
• Carga mínima suportada da TV: 45 kg ou superior;
• Carga mínima sobre a bandeja: 5 kg ou superior;
• Manual de instrução de português.
• Garantia de, no mínimo, 90 dias.</t>
  </si>
  <si>
    <t>CAFETEIRA, com as seguintes especificações:
• Jarra em aço inox;
• Filtro permanente removível;
• Capacidade mínima de 1 litro;
• Indicador do nível de água;
• Alimentação elétrica: 127V ou bivolt;
• Garantia de, no mínimo, 360 dias.</t>
  </si>
  <si>
    <t>CAFETEIRA, com as seguintes especificações:
• Jarra em aço inox;
• Filtro permanente removível;
• Capacidade mínima de 1 litro;
• Indicador do nível de água;
• Alimentação elétrica: 220V ou bivolt;
• Garantia de, no mínimo, 360 dias.</t>
  </si>
  <si>
    <t>FORNO DE MICRO-ONDAS, com as seguintes especificações:
• Capacidade (câmara do alimento) entre 30 e 35 litros;
• Voltagem: 127V;
• Prato giratório removível;
• Display e menu com funções em português;
• Trava de segurança.
• Selo Procel A.
• Garantia de, no mínimo, 360 dias.</t>
  </si>
  <si>
    <t>FORNO DE MICRO-ONDAS, com as seguintes especificações:
• Capacidade (câmara do alimento) entre 30 e 35 litros;
• Voltagem: 220V;
• Prato giratório removível;
• Display e menu com funções em português;
• Trava de segurança.
• Selo Procel A.
• Garantia de, no mínimo, 360 dias.</t>
  </si>
  <si>
    <t>REFRIGERADOR, com as seguintes especificações:
• Tipo frigobar;
• Volume interno total: 75 a 95 litros;
• Selo Procel Classe A;
• Tensão elétrica: 127V;
• Degelo automático ou bandeja de degelo;
• Prateleiras removíveis;
• Portas reversíveis;
• Controle de temperatura;
• Cor branca.
• Garantia de, no mínimo, 360 dias.</t>
  </si>
  <si>
    <t>REFRIGERADOR, com as seguintes especificações:
• Tipo frigobar;
• Volume interno total: 75 a 95 litros;
• Selo Procel Classe A;
• Tensão elétrica: 220V;
• Degelo automático ou bandeja de degelo;
• Prateleiras removíveis;
• Portas reversíveis;
• Controle de temperatura;
• Cor branca.
• Garantia de, no mínimo, 360 dias.</t>
  </si>
  <si>
    <t>BEBEDOURO DE COLUNA, com as seguintes especificações:
• Tipo garrafão;
• Selo de conformidade Inmetro;
• Acomodação para garrafão de 10 e 20 litros;
• Capacidade de fornecimento de água gelada: 0,90 l/h ou superior;
• Tensão elétrica: 127V ou bivolt;
• Gabinete com laterais confeccionadas em aço carbono galvanizado, chapa eletrozincada ou inox;
• Pingadeira com tampo removível;
• Acionamento para água gelada e natural;
• Gás refrigerante ecológico;
• Cor branca ou inox;
• Em conformidade com a norma ABNT NBR 16236:2013 (Versão corrigida) ou mais recente.
• Garantia de, no mínimo, 360 dias.</t>
  </si>
  <si>
    <t>BEBEDOURO DE COLUNA, com as seguintes especificações:
• Tipo garrafão;
• Selo de conformidade Inmetro;
• Acomodação para garrafão de 10 e 20 litros;
• Capacidade de fornecimento de água gelada: 0,90 l/h ou superior;
• Tensão elétrica: 220V ou bivolt;
• Gabinete com laterais confeccionadas em aço carbono galvanizado, chapa eletrozincada ou inox;
• Pingadeira com tampo removível;
• Acionamento para água gelada e natural;
• Gás refrigerante ecológico;
• Cor branca ou inox;
• Em conformidade com a norma ABNT NBR 16236:2013 (Versão corrigida) ou mais recente.
• Garantia de, no mínimo, 360 dias.</t>
  </si>
  <si>
    <t>BEBEDOURO DE COLUNA TIPO PRESSÃO, com as seguintes especificações:
• Certificado pelo Inmetro;
• Tensão Elétrica 127V;
• Gabinete com laterais confeccionada em aço;
• Com 2 (duas)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ecológico;
• Em conformidade com a norma ABNT NBR 16236:2013 (Versão corrigida) ou mais recente.
• Garantia de, no mínimo, 360 dias.</t>
  </si>
  <si>
    <t>BEBEDOURO DE COLUNA TIPO PRESSÃO, com as seguintes especificações:
• Certificado pelo Inmetro;
• Tensão Elétrica 220V;
• Gabinete com laterais confeccionada em aço;
• Com 2 (duas)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ecológico;
• Em conformidade com a norma ABNT NBR 16236:2013 (Versão corrigida) ou mais recente. 
• Garantia de, no mínimo, 360 dias.</t>
  </si>
  <si>
    <t>VENTILADOR DE COLUNA, com as seguintes especificações:
• Grade de metal;
• Diâmetro da grade: 65 cm, admitida variação de ± 5 cm;
• Tensão: bivolt;
• Coluna regulável, com altura mínima de 1,5m na posição distendida;
• Mecanismo oscilante e controle de velocidade.
• Garantia de, no mínimo, 360 dias.</t>
  </si>
  <si>
    <t>REFRIGERADOR, com as seguintes especificações:
• Volume interno total: mínimo de 340 litros;
• Selo Procel Classe A;
• Tensão elétrica: 127V;
• Frost free;
• Prateleiras removíveis;
• Portas reversíveis;
• Controle de temperatura;
• Fluído refrigerante ecológico;
• Cor branca.
• Garantia de, no mínimo, 360 dias.</t>
  </si>
  <si>
    <t>REFRIGERADOR, com as seguintes especificações:
• Volume interno total: mínimo de 340 litros;
• Selo Procel Classe A;
• Tensão elétrica: 220V;
• Frost free;
• Prateleiras removíveis;
• Portas reversíveis;
• Controle de temperatura;
• Fluído refrigerante ecológico;
• Cor branca.
• Garantia de, no mínimo, 360 dias.</t>
  </si>
  <si>
    <t>FREEZER VERTICAL FROST FREE, com as seguintes especificações:
• Capacidade: mínimo de 200 litros;
• Selo Procel classe A;
• Fluído refrigerante ecológico;
• Com gavetas removíveis;
• Controle de temperatura;
• Tensão elétrica: 127V;
• Cor branca.
• Garantia de, no mínimo, 360 dias.</t>
  </si>
  <si>
    <t>FREEZER VERTICAL FROST FREE, com as seguintes especificações:
• Capacidade: mínimo de 200 litros;
• Selo Procel classe A;
• Fluído refrigerante ecológico;
• Com gavetas removíveis;
• Controle de temperatura;
• Tensão elétrica: 220V;
• Cor branca.
• Garantia de, no mínimo, 360 dias.</t>
  </si>
  <si>
    <t>VENTILADOR DE PAREDE, com as seguintes especificações:
• Grade de metal;
• Diâmetro da grade: 100 cm, admitida variação de ± 5 cm;
• Rotação mínima: 1000 r.p.m.
• Tensão: bivolt ou 110 volts;
• Regulagem de inclinação;
• Garantia de, no mínimo, 360 dias.</t>
  </si>
  <si>
    <t>VENTILADOR DE PAREDE, com as seguintes especificações:
• Grade de metal;
• Diâmetro da grade: 100 cm, admitida variação de ± 5 cm;
• Rotação mínima: 1000 r.p.m.
• Tensão: bivolt ou 220 volts;
• Regulagem de inclinação;
• Garantia de, no mínimo, 360 dias.</t>
  </si>
  <si>
    <t>CAFETEIRA ELÉTRICA INDUSTRIAL, com as seguintes características;
• Depósito em aço inox;
• Capacidade para 20 litros de café pronto;
• Termostato regulável na faixa de 20º C a 120º C.
• Tensão elétrica: 220V;
• Potência mínima de aquecimento: 4000 W;
• Acompanha coador de pano;
• Garantia de, no mínimo, 90 dias.</t>
  </si>
  <si>
    <t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127 V
• Garantia de, no mínimo, 180 dias.</t>
  </si>
  <si>
    <t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220 V
• Garantia de, no mínimo, 180 dias.</t>
  </si>
  <si>
    <t>PROJETOR DE VIDEO LASER 6000 lúmens.
• Tipo do display: Poly-silicon TFT matriz ativa
Resolução nativa: 1920 x 1200 pixels WUXGA
• Modo de projeção: Frontal, Frontal/Teto, Traseiro, Traseiro/Teto.
• Painel LCD: 0,67" (D10 com C2Fine™).
• Número de pixels: 2.304.000 pixels (1920x1200) x 3
• Brilho em cores - Saída de luz colorida: 6.000 lumens (ISSO 21118 padrão)
• Brilho em branco - Saída de luz branca: 6.000 lumens
• Razão de aspecto: 16:10
• Resolução nativa: 1920x1200 (WUXGA)
• Alcance do Throw-Ratio: 1,35–2,2
• Dimensões da imagem: 48” (1,22m) a 470” (7,11m)
• Correção de Keystone: Vertical: ±30 graus; Horizontal: ±30 graus.
• Razão de contraste: até 2.500.000:1 com modo dinâmico de cores, modo normal de fonte de luz e modo wide zoom
• Alcance de mudança da lente: Vertical: ±50 graus; Horizontal: ±20 graus.
• Processamento de cor: 10 bits
• Reprodução de cor: até 1,07 bilhão de cores
• Tipo de laser: laser diodo
• Potencia de saída da fonte de luz: até 104,5W
• Comprimento de onda: 449 a 491nm
• Duração da fonte de luz laser: Normal: 20.000 horas; Silencioso: 20.000 horas; Estendido: 30.000 horas
• Lente de projeção standard: F=1.5 a 1.7
• Distância focal: 20.0 a 31.8 mm
• Interfaces:
                    HDBaseT x1
HDMI x2
Analógico: D-sub 15 pin x1
Controle I/O: RS-232C (D-sub 9 pin)
USB-I/O: Tipo A x1; Tipo B x1
LAN RJ45 x1
Wireless LAN (acessório opcional) USB Tipo A x1
Entrada de Áudio (stereo): x2
Saída de Áudio (stereo): x1
                     Ruído do ventilador: 37dB (Modo Normal), 25dB (Modo ECO)0
• Energia:
Voltagem: 100 – 240VAC ±10%, 50/60Hz
Voltagem nominal: 100 – 240VAC
Frequência nominal: 50/60Hz
Consumo de energia:
Normal: 353W
Silencioso: 254W
Standby em Rede 2,0W
• Acessório:
Suporte articulado para montagem em mastro fixo no teto (ceiling-mount) conforme
modelo/fabricante.
Equipamento especificado: Epson, Panasonic, Christie ou equivalente técnico.
• Garantia de, no mínimo, 180 dias.</t>
  </si>
  <si>
    <t>Vídeo Wall Controlador 2X2, 4K, 4 Telas, USB, HDMI
Resolução:
• Entrada suporta: 3840 x 2160 com 30Hz;
• Saída Suporta: 1920 x 1080 com 30Hz .
Funcionalidades :
• Suporta até 4 Telas diferentes, permite várias combinações de exibição no display;
• Indicador luminoso de funcionamento: LED vermelho para ligado e LED verde significa conexão bem-sucedida com o monitor;
• Botão que altera o modo de exibição no painel. Mudança também pode ser feita pelo controle remoto;
• Botão no painel para seleção rápida da fonte de sinal HDMI (entrada/saída);
• Botão no painel para reset rápido e redefinição do controlador de vídeo Wall;
• Porta RS232, para conexão de porta serial do controlador Uso pelo fabricante;
• Leitor de cartão SD, para atualização da entrada da fonte de sinal;
• Entradas 2 USB 2.0, para conexão de periféricos como Pendrives HDs externos teclado, mouse e outros;
• Entrada R/L para fone de ouvido (3,5mm), saída estéreo de áudio analógico;
• Acesso para fibra óptica, porta para saída de áudio digital estéreo;
• Recepção de sinal infravermelho, para uso do controle remoto (IR);
• Sistema “plug and play”, sem a necessidade de instalação de software adicional.</t>
  </si>
  <si>
    <t>PURIFICADOR DE ÁGUA, com as seguintes características:
• Tensão Elétrica: 127 volts;
• Fornecimento de água em, no mínimo, 02 (duas) temperaturas: natural e gelada;
• Refrigeração feita por compressor;
• Para uso fixado na parede ou em bancada;
• Que possibilite fácil substituição do refil pelo próprio usuário, sem a necessidade de ferramentas (sistema “girou trocou”, “troca fácil”, apenas um botão ou similar);
• Elemento filtrante com capacidade de redução de cloro livre, retenção de partículas Classe C ou superior, e eliminação de odores e sabores presentes na água;
• Capacidade de fornecimento de água gelada de, no mínimo, 0,5 L/H, conforme norma ABNT NBR 16236/2013 Versão corrigida ou mais recente;
• Ligado na água da rede;
• Fluido refrigerante ecológico;
• Vida útil do filtro de, no mínimo 06 (seis) meses;
• Selo Inmetro;
• Cor branca, cinza, prata ou preta;
• Garantia de, no mínimo, 06 meses.</t>
  </si>
  <si>
    <t>PURIFICADOR DE ÁGUA, com as seguintes características:
• Tensão Elétrica: 220 volts;
• Fornecimento de água em, no mínimo, 02 (duas) temperaturas: natural e gelada;
• Refrigeração feita por compressor;
• Para uso fixado na parede ou em bancada;
• Que possibilite fácil substituição do refil pelo próprio usuário, sem a necessidade de ferramentas (sistema “girou trocou”, “troca fácil”, apenas um botão ou similar);
• Elemento filtrante com capacidade de redução de cloro livre, retenção de partículas Classe C ou superior, e eliminação de odores e sabores presentes na água;
• Capacidade de fornecimento de água gelada de, no mínimo, 0,5 L/H, conforme norma ABNT NBR 16236/2013 Versão corrigida ou mais recente;
• Ligado na água da rede;
• Fluido refrigerante ecológico;
• Vida útil do filtro de, no mínimo 06 (seis) meses;
• Selo Inmetro;
• Cor branca, cinza, prata ou preta;
• Garantia de, no mínimo, 06 meses.</t>
  </si>
  <si>
    <t>REFIL para Purificador de Água, com as seguintes características:
• Compatível com purificadores de água indicados nos itens 27 e 28;
• Com capacidade de redução de cloro livre, retenção de partículas Classe C ou superior e eliminação de odores e sabores presentes na água;
• Que possibilite fácil substituição pelo próprio usuário, sem a necessidade de ferramentas (sistema “girou trocou”, “troca fácil”, apenas um botão ou similar);
• Vida útil de, no mínimo, 06 (seis) meses;
• Garantia de,  no mínimo, 30 dias.</t>
  </si>
  <si>
    <t>MULTÍMETRO DIGITAL
• Conformidade com a IEC1010;
• Medição de Tensão DC de 200mV, 2V, 20V, 200V, 600V;
• Medição de Tensão AC: Faixas: 200V, 600V;
• Medição de Corrente DC: Faixas: 200µA, 2mA, 20mA, 200mA, 10A;
• Medição de Resistência: Faixas: 200Ω , 2kΩ , 20kΩ , 200kΩ , 20MΩ; 
• Alimentação: 01 (uma) bateria 9V.
• Garantia de, no mínimo, 180 dias.</t>
  </si>
  <si>
    <t>ANTENA INTERNA PARA TV DIGITAL, com as seguintes características:
• Cabo de no mínimo 2,5 metros.
• Capta sinais UHF/HDTV
• Conector F macho
• Cor preta 
• Garantia, de no mínimo, 30 dias.</t>
  </si>
  <si>
    <t>REFIL para Purificador de Água, com as seguintes características:
• Compatível com purificador de água Marca Top Life, modelo: Platinum New.
• Com capacidade de redução de cloro livre, retenção de partículas Classe C ou superior e eliminação de odores e sabores presentes na água;
• Que possibilite fácil substituição pelo próprio usuário, sem a necessidade de ferramentas (sistema “girou trocou”, “troca fácil”, apenas um botão ou similar);
• Vida útil de, no mínimo, 06 (seis) meses;
• Garantia de, no mínimo, 30 dias.</t>
  </si>
  <si>
    <t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36 (trinta e seis) meses.
• Referência: CISCO UC PHONE CP-7821</t>
  </si>
  <si>
    <t>SMARTV com as seguintes características:
• Diagonal 40 polegadas;
• Conversor digital integrado;
• Cor preta;
• Borda infinita;
• Fonte bivolt 110-220 V;
•     Conexões:
 Mínimo de 2 (duas) entradas HDMI;
 Conectividade Wi-Fi;
 Mínimo de 1 (uma) entrada USB 2.0 ou superior com capacidade de reprodução de áudio, vídeo e musicas em alta resolução direto de dispositivo USB (Pen Drive);
 Mínimo de 1 (uma) entrada de áudio/vídeo;
 Mínimo de uma entrada RF para TV aberta;
 Mínimo de 1 (uma) entrada ethernet.
• Controle remoto munido das pilhas necessárias para o primeiro uso;
• Acompanhado de base para uso em mesa;
• Manual em português;
• Garantia de, no mínimo, 360 dias.</t>
  </si>
  <si>
    <t>AMAZON</t>
  </si>
  <si>
    <t>LEROY MERLIN</t>
  </si>
  <si>
    <t>CARREFOUR</t>
  </si>
  <si>
    <t>AMERICANAS</t>
  </si>
  <si>
    <t>MAGAZINE LUIZA</t>
  </si>
  <si>
    <t>CASAS BAHIA</t>
  </si>
  <si>
    <t>NOVO MUNDO</t>
  </si>
  <si>
    <t>LOJA MUNDI</t>
  </si>
  <si>
    <t>MULTI COMPANY</t>
  </si>
  <si>
    <t>TI MIX</t>
  </si>
  <si>
    <t>CENTRAL SUPORTES</t>
  </si>
  <si>
    <t>MIXTOU</t>
  </si>
  <si>
    <t>LOJA ESTUDIUS</t>
  </si>
  <si>
    <t>PEDESTAL TV</t>
  </si>
  <si>
    <t xml:space="preserve">LOJA DO MECÂNICO </t>
  </si>
  <si>
    <t>LE BISCUIT</t>
  </si>
  <si>
    <t xml:space="preserve">PREÇOLANDIA </t>
  </si>
  <si>
    <t>ISMAFER</t>
  </si>
  <si>
    <t>TAQI</t>
  </si>
  <si>
    <t>PHILCO</t>
  </si>
  <si>
    <t>DUTRA MÁQUINAS</t>
  </si>
  <si>
    <t>PANASONIC</t>
  </si>
  <si>
    <t>GBARBOSA</t>
  </si>
  <si>
    <t>CONTINENTAL</t>
  </si>
  <si>
    <t>BRASTEMP</t>
  </si>
  <si>
    <t>CASA DO PICA-PAU</t>
  </si>
  <si>
    <t>FERREIRA COSTA</t>
  </si>
  <si>
    <t>LEVEROS</t>
  </si>
  <si>
    <t>KABUM</t>
  </si>
  <si>
    <t>ELETROLUX</t>
  </si>
  <si>
    <t>GAZIN</t>
  </si>
  <si>
    <t>OCEANO B2B</t>
  </si>
  <si>
    <t>BRUSTOLIN</t>
  </si>
  <si>
    <t xml:space="preserve">LIBELL </t>
  </si>
  <si>
    <t>NORTE REFRIGERAÇÃO</t>
  </si>
  <si>
    <t>FRIGELAR</t>
  </si>
  <si>
    <t>AGUA VIDA PURIFICADORES</t>
  </si>
  <si>
    <t>LIBELL ELETRODOMÉSTICOS</t>
  </si>
  <si>
    <t>SHOPPING MATRIZ</t>
  </si>
  <si>
    <t>LIBELL</t>
  </si>
  <si>
    <t>LOJA DO BEBEDOURO</t>
  </si>
  <si>
    <t>ÁGUA PURA BEM ESTAR</t>
  </si>
  <si>
    <t>LF MÁQUINAS E FERRAMENTAS</t>
  </si>
  <si>
    <t>HIPERFER</t>
  </si>
  <si>
    <t>VENTISILVA</t>
  </si>
  <si>
    <t>COMERCIAL SALLA</t>
  </si>
  <si>
    <t xml:space="preserve">AMERICANAS </t>
  </si>
  <si>
    <t xml:space="preserve">CASAS BAHIA </t>
  </si>
  <si>
    <t>PONTO FRIO</t>
  </si>
  <si>
    <t>CONSUL</t>
  </si>
  <si>
    <t>LOJA COLOMBO</t>
  </si>
  <si>
    <t>FERPAM</t>
  </si>
  <si>
    <t xml:space="preserve">ELASTOBOR </t>
  </si>
  <si>
    <t>CONSTELAÇÃO</t>
  </si>
  <si>
    <t xml:space="preserve">CASA DO SOLDADOR </t>
  </si>
  <si>
    <t>REFRISOL</t>
  </si>
  <si>
    <t>ULTRAFEU</t>
  </si>
  <si>
    <t>ALCAMAR</t>
  </si>
  <si>
    <t>TOP MAXI</t>
  </si>
  <si>
    <t xml:space="preserve">MAGAZINE LUIZA </t>
  </si>
  <si>
    <t>CHEFSTOCK</t>
  </si>
  <si>
    <t xml:space="preserve">LOJAS TEMPERARE </t>
  </si>
  <si>
    <t>GLOBAL PROJETORES</t>
  </si>
  <si>
    <t>HTCLICK</t>
  </si>
  <si>
    <t>IFONTECH</t>
  </si>
  <si>
    <t>RMS COMMERCE</t>
  </si>
  <si>
    <t>CIRILO CABOS</t>
  </si>
  <si>
    <t xml:space="preserve">EXTRA </t>
  </si>
  <si>
    <t>SHOPTIME</t>
  </si>
  <si>
    <t>LOJAS AFUBRA</t>
  </si>
  <si>
    <t>RAMSONS</t>
  </si>
  <si>
    <t>AZZAX</t>
  </si>
  <si>
    <t>LOJA DO MECÂNICO</t>
  </si>
  <si>
    <t>DIMENSIONAL</t>
  </si>
  <si>
    <t xml:space="preserve">KALUNGA </t>
  </si>
  <si>
    <t xml:space="preserve">FERREIRA COSTA </t>
  </si>
  <si>
    <t>INTELBRAS</t>
  </si>
  <si>
    <t xml:space="preserve">MG MATERIAIS ELÉTRICOS </t>
  </si>
  <si>
    <t>PRIME TATUAPÉ</t>
  </si>
  <si>
    <t>HDF SHOP</t>
  </si>
  <si>
    <t>TIMIX</t>
  </si>
  <si>
    <t>SOLUÇÃO CABOS</t>
  </si>
  <si>
    <t>TECHINN</t>
  </si>
  <si>
    <t>quantidade total</t>
  </si>
  <si>
    <t>quantidade
TRE-BA</t>
  </si>
  <si>
    <t>quantidade
SESDEC Gov/RO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</si>
</sst>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8" formatCode="0;\-0;\-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8" fillId="2" borderId="5" xfId="0" applyFont="1" applyFill="1" applyBorder="1"/>
    <xf numFmtId="0" fontId="8" fillId="2" borderId="8" xfId="0" applyFont="1" applyFill="1" applyBorder="1" applyAlignment="1">
      <alignment horizontal="right"/>
    </xf>
    <xf numFmtId="168" fontId="2" fillId="0" borderId="1" xfId="0" applyNumberFormat="1" applyFont="1" applyBorder="1" applyAlignment="1">
      <alignment horizontal="center" vertical="top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</v>
      </c>
      <c r="B3" s="32" t="s">
        <v>35</v>
      </c>
      <c r="C3" s="34" t="s">
        <v>7</v>
      </c>
      <c r="D3" s="34">
        <f>(120+20)*0.75</f>
        <v>105</v>
      </c>
      <c r="E3" s="35">
        <f>IF(C20&lt;=25%,D20,MIN(E20:F20))</f>
        <v>1015.33</v>
      </c>
      <c r="F3" s="35">
        <f>MIN(H3:H17)</f>
        <v>939.06</v>
      </c>
      <c r="G3" s="5" t="s">
        <v>69</v>
      </c>
      <c r="H3" s="16">
        <v>1059.72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70</v>
      </c>
      <c r="H4" s="16">
        <v>999.9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71</v>
      </c>
      <c r="H5" s="16">
        <v>998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72</v>
      </c>
      <c r="H6" s="16">
        <v>1079.96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73</v>
      </c>
      <c r="H7" s="16">
        <v>939.06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55.908487012259634</v>
      </c>
      <c r="B20" s="8">
        <f>COUNT(H3:H17)</f>
        <v>5</v>
      </c>
      <c r="C20" s="9">
        <f>IF(B20&lt;2,"n/a",(A20/D20))</f>
        <v>5.5064350518806329E-2</v>
      </c>
      <c r="D20" s="10">
        <f>IFERROR(ROUND(AVERAGE(H3:H17),2),"")</f>
        <v>1015.33</v>
      </c>
      <c r="E20" s="15" t="str">
        <f>IFERROR(ROUND(IF(B20&lt;2,"n/a",(IF(C20&lt;=25%,"n/a",AVERAGE(I3:I17)))),2),"n/a")</f>
        <v>n/a</v>
      </c>
      <c r="F20" s="10">
        <f>IFERROR(ROUND(MEDIAN(H3:H17),2),"")</f>
        <v>999.9</v>
      </c>
      <c r="G20" s="11" t="str">
        <f>IFERROR(INDEX(G3:G17,MATCH(H20,H3:H17,0)),"")</f>
        <v>MAGAZINE LUIZA</v>
      </c>
      <c r="H20" s="12">
        <f>F3</f>
        <v>939.06</v>
      </c>
    </row>
    <row r="22" spans="1:9" x14ac:dyDescent="0.25">
      <c r="G22" s="13" t="s">
        <v>20</v>
      </c>
      <c r="H22" s="14">
        <f>IF(C20&lt;=25%,D20,MIN(E20:F20))</f>
        <v>1015.33</v>
      </c>
    </row>
    <row r="23" spans="1:9" x14ac:dyDescent="0.25">
      <c r="G23" s="13" t="s">
        <v>6</v>
      </c>
      <c r="H23" s="14">
        <f>ROUND(H22,2)*D3</f>
        <v>106609.65000000001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10</v>
      </c>
      <c r="B3" s="32" t="s">
        <v>44</v>
      </c>
      <c r="C3" s="34" t="s">
        <v>7</v>
      </c>
      <c r="D3" s="34">
        <v>40</v>
      </c>
      <c r="E3" s="35">
        <f>IF(C20&lt;=25%,D20,MIN(E20:F20))</f>
        <v>1327.29</v>
      </c>
      <c r="F3" s="35">
        <f>MIN(H3:H17)</f>
        <v>1059</v>
      </c>
      <c r="G3" s="5" t="s">
        <v>98</v>
      </c>
      <c r="H3" s="16">
        <v>1399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70</v>
      </c>
      <c r="H4" s="16">
        <v>1595.39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99</v>
      </c>
      <c r="H5" s="16">
        <v>1059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73</v>
      </c>
      <c r="H6" s="16">
        <v>1159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69</v>
      </c>
      <c r="H7" s="16">
        <v>1424.05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216.03441848464769</v>
      </c>
      <c r="B20" s="8">
        <f>COUNT(H3:H17)</f>
        <v>5</v>
      </c>
      <c r="C20" s="9">
        <f>IF(B20&lt;2,"n/a",(A20/D20))</f>
        <v>0.16276353960675338</v>
      </c>
      <c r="D20" s="10">
        <f>IFERROR(ROUND(AVERAGE(H3:H17),2),"")</f>
        <v>1327.29</v>
      </c>
      <c r="E20" s="15" t="str">
        <f>IFERROR(ROUND(IF(B20&lt;2,"n/a",(IF(C20&lt;=25%,"n/a",AVERAGE(I3:I17)))),2),"n/a")</f>
        <v>n/a</v>
      </c>
      <c r="F20" s="10">
        <f>IFERROR(ROUND(MEDIAN(H3:H17),2),"")</f>
        <v>1399</v>
      </c>
      <c r="G20" s="11" t="str">
        <f>IFERROR(INDEX(G3:G17,MATCH(H20,H3:H17,0)),"")</f>
        <v>GAZIN</v>
      </c>
      <c r="H20" s="12">
        <f>F3</f>
        <v>1059</v>
      </c>
    </row>
    <row r="22" spans="1:9" x14ac:dyDescent="0.25">
      <c r="G22" s="13" t="s">
        <v>20</v>
      </c>
      <c r="H22" s="14">
        <f>IF(C20&lt;=25%,D20,MIN(E20:F20))</f>
        <v>1327.29</v>
      </c>
    </row>
    <row r="23" spans="1:9" x14ac:dyDescent="0.25">
      <c r="G23" s="13" t="s">
        <v>6</v>
      </c>
      <c r="H23" s="14">
        <f>ROUND(H22,2)*D3</f>
        <v>53091.6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11</v>
      </c>
      <c r="B3" s="32" t="s">
        <v>45</v>
      </c>
      <c r="C3" s="34" t="s">
        <v>7</v>
      </c>
      <c r="D3" s="34">
        <v>50</v>
      </c>
      <c r="E3" s="35">
        <f>IF(C20&lt;=25%,D20,MIN(E20:F20))</f>
        <v>791.12</v>
      </c>
      <c r="F3" s="35">
        <f>MIN(H3:H17)</f>
        <v>719</v>
      </c>
      <c r="G3" s="5" t="s">
        <v>100</v>
      </c>
      <c r="H3" s="16">
        <v>729.9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101</v>
      </c>
      <c r="H4" s="16">
        <v>812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102</v>
      </c>
      <c r="H5" s="16">
        <v>796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103</v>
      </c>
      <c r="H6" s="16">
        <v>898.7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74</v>
      </c>
      <c r="H7" s="16">
        <v>719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72.426562806749317</v>
      </c>
      <c r="B20" s="8">
        <f>COUNT(H3:H17)</f>
        <v>5</v>
      </c>
      <c r="C20" s="9">
        <f>IF(B20&lt;2,"n/a",(A20/D20))</f>
        <v>9.1549401869184588E-2</v>
      </c>
      <c r="D20" s="10">
        <f>IFERROR(ROUND(AVERAGE(H3:H17),2),"")</f>
        <v>791.12</v>
      </c>
      <c r="E20" s="15" t="str">
        <f>IFERROR(ROUND(IF(B20&lt;2,"n/a",(IF(C20&lt;=25%,"n/a",AVERAGE(I3:I17)))),2),"n/a")</f>
        <v>n/a</v>
      </c>
      <c r="F20" s="10">
        <f>IFERROR(ROUND(MEDIAN(H3:H17),2),"")</f>
        <v>796</v>
      </c>
      <c r="G20" s="11" t="str">
        <f>IFERROR(INDEX(G3:G17,MATCH(H20,H3:H17,0)),"")</f>
        <v>CASAS BAHIA</v>
      </c>
      <c r="H20" s="12">
        <f>F3</f>
        <v>719</v>
      </c>
    </row>
    <row r="22" spans="1:9" x14ac:dyDescent="0.25">
      <c r="G22" s="13" t="s">
        <v>20</v>
      </c>
      <c r="H22" s="14">
        <f>IF(C20&lt;=25%,D20,MIN(E20:F20))</f>
        <v>791.12</v>
      </c>
    </row>
    <row r="23" spans="1:9" x14ac:dyDescent="0.25">
      <c r="G23" s="13" t="s">
        <v>6</v>
      </c>
      <c r="H23" s="14">
        <f>ROUND(H22,2)*D3</f>
        <v>39556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12</v>
      </c>
      <c r="B3" s="32" t="s">
        <v>46</v>
      </c>
      <c r="C3" s="34" t="s">
        <v>7</v>
      </c>
      <c r="D3" s="34">
        <f>20+50</f>
        <v>70</v>
      </c>
      <c r="E3" s="35">
        <f>IF(C20&lt;=25%,D20,MIN(E20:F20))</f>
        <v>707.47</v>
      </c>
      <c r="F3" s="35">
        <f>MIN(H3:H17)</f>
        <v>649</v>
      </c>
      <c r="G3" s="5" t="s">
        <v>73</v>
      </c>
      <c r="H3" s="16">
        <v>664.99</v>
      </c>
      <c r="I3" s="17">
        <f>IF(H3="","",(IF($C$20&lt;25%,"n/a",IF(H3&lt;=($D$20+$A$20),H3,"Descartado"))))</f>
        <v>664.99</v>
      </c>
    </row>
    <row r="4" spans="1:9" x14ac:dyDescent="0.25">
      <c r="A4" s="36"/>
      <c r="B4" s="33"/>
      <c r="C4" s="34"/>
      <c r="D4" s="34"/>
      <c r="E4" s="35"/>
      <c r="F4" s="35"/>
      <c r="G4" s="5" t="s">
        <v>104</v>
      </c>
      <c r="H4" s="16">
        <v>649</v>
      </c>
      <c r="I4" s="17">
        <f t="shared" ref="I4:I17" si="0">IF(H4="","",(IF($C$20&lt;25%,"n/a",IF(H4&lt;=($D$20+$A$20),H4,"Descartado"))))</f>
        <v>649</v>
      </c>
    </row>
    <row r="5" spans="1:9" x14ac:dyDescent="0.25">
      <c r="A5" s="36"/>
      <c r="B5" s="33"/>
      <c r="C5" s="34"/>
      <c r="D5" s="34"/>
      <c r="E5" s="35"/>
      <c r="F5" s="35"/>
      <c r="G5" s="5" t="s">
        <v>83</v>
      </c>
      <c r="H5" s="16">
        <v>719.9</v>
      </c>
      <c r="I5" s="17">
        <f t="shared" si="0"/>
        <v>719.9</v>
      </c>
    </row>
    <row r="6" spans="1:9" x14ac:dyDescent="0.25">
      <c r="A6" s="36"/>
      <c r="B6" s="33"/>
      <c r="C6" s="34"/>
      <c r="D6" s="34"/>
      <c r="E6" s="35"/>
      <c r="F6" s="35"/>
      <c r="G6" s="5" t="s">
        <v>105</v>
      </c>
      <c r="H6" s="16">
        <v>1199</v>
      </c>
      <c r="I6" s="17" t="str">
        <f t="shared" si="0"/>
        <v>Descartado</v>
      </c>
    </row>
    <row r="7" spans="1:9" x14ac:dyDescent="0.25">
      <c r="A7" s="36"/>
      <c r="B7" s="33"/>
      <c r="C7" s="34"/>
      <c r="D7" s="34"/>
      <c r="E7" s="35"/>
      <c r="F7" s="35"/>
      <c r="G7" s="5" t="s">
        <v>106</v>
      </c>
      <c r="H7" s="16">
        <v>796</v>
      </c>
      <c r="I7" s="17">
        <f t="shared" si="0"/>
        <v>796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227.20848558097467</v>
      </c>
      <c r="B20" s="8">
        <f>COUNT(H3:H17)</f>
        <v>5</v>
      </c>
      <c r="C20" s="9">
        <f>IF(B20&lt;2,"n/a",(A20/D20))</f>
        <v>0.28197334952589376</v>
      </c>
      <c r="D20" s="10">
        <f>IFERROR(ROUND(AVERAGE(H3:H17),2),"")</f>
        <v>805.78</v>
      </c>
      <c r="E20" s="15">
        <f>IFERROR(ROUND(IF(B20&lt;2,"n/a",(IF(C20&lt;=25%,"n/a",AVERAGE(I3:I17)))),2),"n/a")</f>
        <v>707.47</v>
      </c>
      <c r="F20" s="10">
        <f>IFERROR(ROUND(MEDIAN(H3:H17),2),"")</f>
        <v>719.9</v>
      </c>
      <c r="G20" s="11" t="str">
        <f>IFERROR(INDEX(G3:G17,MATCH(H20,H3:H17,0)),"")</f>
        <v>FRIGELAR</v>
      </c>
      <c r="H20" s="12">
        <f>F3</f>
        <v>649</v>
      </c>
    </row>
    <row r="22" spans="1:9" x14ac:dyDescent="0.25">
      <c r="G22" s="13" t="s">
        <v>20</v>
      </c>
      <c r="H22" s="14">
        <f>IF(C20&lt;=25%,D20,MIN(E20:F20))</f>
        <v>707.47</v>
      </c>
    </row>
    <row r="23" spans="1:9" x14ac:dyDescent="0.25">
      <c r="G23" s="13" t="s">
        <v>6</v>
      </c>
      <c r="H23" s="14">
        <f>ROUND(H22,2)*D3</f>
        <v>49522.9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13</v>
      </c>
      <c r="B3" s="32" t="s">
        <v>47</v>
      </c>
      <c r="C3" s="34" t="s">
        <v>7</v>
      </c>
      <c r="D3" s="34">
        <v>20</v>
      </c>
      <c r="E3" s="35">
        <f>IF(C20&lt;=25%,D20,MIN(E20:F20))</f>
        <v>1087.8900000000001</v>
      </c>
      <c r="F3" s="35">
        <f>MIN(H3:H17)</f>
        <v>859</v>
      </c>
      <c r="G3" s="5" t="s">
        <v>107</v>
      </c>
      <c r="H3" s="16">
        <v>1059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101</v>
      </c>
      <c r="H4" s="16">
        <v>982.77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108</v>
      </c>
      <c r="H5" s="16">
        <v>859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109</v>
      </c>
      <c r="H6" s="16">
        <v>1115.9100000000001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110</v>
      </c>
      <c r="H7" s="16">
        <v>1422.75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210.47079281933591</v>
      </c>
      <c r="B20" s="8">
        <f>COUNT(H3:H17)</f>
        <v>5</v>
      </c>
      <c r="C20" s="9">
        <f>IF(B20&lt;2,"n/a",(A20/D20))</f>
        <v>0.19346697995140674</v>
      </c>
      <c r="D20" s="10">
        <f>IFERROR(ROUND(AVERAGE(H3:H17),2),"")</f>
        <v>1087.8900000000001</v>
      </c>
      <c r="E20" s="15" t="str">
        <f>IFERROR(ROUND(IF(B20&lt;2,"n/a",(IF(C20&lt;=25%,"n/a",AVERAGE(I3:I17)))),2),"n/a")</f>
        <v>n/a</v>
      </c>
      <c r="F20" s="10">
        <f>IFERROR(ROUND(MEDIAN(H3:H17),2),"")</f>
        <v>1059</v>
      </c>
      <c r="G20" s="11" t="str">
        <f>IFERROR(INDEX(G3:G17,MATCH(H20,H3:H17,0)),"")</f>
        <v>LIBELL</v>
      </c>
      <c r="H20" s="12">
        <f>F3</f>
        <v>859</v>
      </c>
    </row>
    <row r="22" spans="1:9" x14ac:dyDescent="0.25">
      <c r="G22" s="13" t="s">
        <v>20</v>
      </c>
      <c r="H22" s="14">
        <f>IF(C20&lt;=25%,D20,MIN(E20:F20))</f>
        <v>1087.8900000000001</v>
      </c>
    </row>
    <row r="23" spans="1:9" x14ac:dyDescent="0.25">
      <c r="G23" s="13" t="s">
        <v>6</v>
      </c>
      <c r="H23" s="14">
        <f>ROUND(H22,2)*D3</f>
        <v>21757.800000000003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14</v>
      </c>
      <c r="B3" s="32" t="s">
        <v>48</v>
      </c>
      <c r="C3" s="34" t="s">
        <v>7</v>
      </c>
      <c r="D3" s="34">
        <v>20</v>
      </c>
      <c r="E3" s="35">
        <f>IF(C20&lt;=25%,D20,MIN(E20:F20))</f>
        <v>979.98</v>
      </c>
      <c r="F3" s="35">
        <f>MIN(H3:H17)</f>
        <v>849</v>
      </c>
      <c r="G3" s="5" t="s">
        <v>83</v>
      </c>
      <c r="H3" s="16">
        <v>879.9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108</v>
      </c>
      <c r="H4" s="16">
        <v>859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109</v>
      </c>
      <c r="H5" s="16">
        <v>1115.9100000000001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104</v>
      </c>
      <c r="H6" s="16">
        <v>1196.0999999999999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69</v>
      </c>
      <c r="H7" s="16">
        <v>849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163.54872857958892</v>
      </c>
      <c r="B20" s="8">
        <f>COUNT(H3:H17)</f>
        <v>5</v>
      </c>
      <c r="C20" s="9">
        <f>IF(B20&lt;2,"n/a",(A20/D20))</f>
        <v>0.16688986364985911</v>
      </c>
      <c r="D20" s="10">
        <f>IFERROR(ROUND(AVERAGE(H3:H17),2),"")</f>
        <v>979.98</v>
      </c>
      <c r="E20" s="15" t="str">
        <f>IFERROR(ROUND(IF(B20&lt;2,"n/a",(IF(C20&lt;=25%,"n/a",AVERAGE(I3:I17)))),2),"n/a")</f>
        <v>n/a</v>
      </c>
      <c r="F20" s="10">
        <f>IFERROR(ROUND(MEDIAN(H3:H17),2),"")</f>
        <v>879.9</v>
      </c>
      <c r="G20" s="11" t="str">
        <f>IFERROR(INDEX(G3:G17,MATCH(H20,H3:H17,0)),"")</f>
        <v>AMAZON</v>
      </c>
      <c r="H20" s="12">
        <f>F3</f>
        <v>849</v>
      </c>
    </row>
    <row r="22" spans="1:9" x14ac:dyDescent="0.25">
      <c r="G22" s="13" t="s">
        <v>20</v>
      </c>
      <c r="H22" s="14">
        <f>IF(C20&lt;=25%,D20,MIN(E20:F20))</f>
        <v>979.98</v>
      </c>
    </row>
    <row r="23" spans="1:9" x14ac:dyDescent="0.25">
      <c r="G23" s="13" t="s">
        <v>6</v>
      </c>
      <c r="H23" s="14">
        <f>ROUND(H22,2)*D3</f>
        <v>19599.599999999999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15</v>
      </c>
      <c r="B3" s="32" t="s">
        <v>49</v>
      </c>
      <c r="C3" s="34" t="s">
        <v>7</v>
      </c>
      <c r="D3" s="34">
        <v>100</v>
      </c>
      <c r="E3" s="35">
        <f>IF(C20&lt;=25%,D20,MIN(E20:F20))</f>
        <v>506.02</v>
      </c>
      <c r="F3" s="35">
        <f>MIN(H3:H17)</f>
        <v>332</v>
      </c>
      <c r="G3" s="5" t="s">
        <v>69</v>
      </c>
      <c r="H3" s="16">
        <v>368.56</v>
      </c>
      <c r="I3" s="17">
        <f>IF(H3="","",(IF($C$20&lt;25%,"n/a",IF(H3&lt;=($D$20+$A$20),H3,"Descartado"))))</f>
        <v>368.56</v>
      </c>
    </row>
    <row r="4" spans="1:9" x14ac:dyDescent="0.25">
      <c r="A4" s="36"/>
      <c r="B4" s="33"/>
      <c r="C4" s="34"/>
      <c r="D4" s="34"/>
      <c r="E4" s="35"/>
      <c r="F4" s="35"/>
      <c r="G4" s="5" t="s">
        <v>111</v>
      </c>
      <c r="H4" s="16">
        <v>499</v>
      </c>
      <c r="I4" s="17">
        <f t="shared" ref="I4:I17" si="0">IF(H4="","",(IF($C$20&lt;25%,"n/a",IF(H4&lt;=($D$20+$A$20),H4,"Descartado"))))</f>
        <v>499</v>
      </c>
    </row>
    <row r="5" spans="1:9" x14ac:dyDescent="0.25">
      <c r="A5" s="36"/>
      <c r="B5" s="33"/>
      <c r="C5" s="34"/>
      <c r="D5" s="34"/>
      <c r="E5" s="35"/>
      <c r="F5" s="35"/>
      <c r="G5" s="5" t="s">
        <v>112</v>
      </c>
      <c r="H5" s="16">
        <v>332</v>
      </c>
      <c r="I5" s="17">
        <f t="shared" si="0"/>
        <v>332</v>
      </c>
    </row>
    <row r="6" spans="1:9" x14ac:dyDescent="0.25">
      <c r="A6" s="36"/>
      <c r="B6" s="33"/>
      <c r="C6" s="34"/>
      <c r="D6" s="34"/>
      <c r="E6" s="35"/>
      <c r="F6" s="35"/>
      <c r="G6" s="5" t="s">
        <v>113</v>
      </c>
      <c r="H6" s="16">
        <v>871.94</v>
      </c>
      <c r="I6" s="17" t="str">
        <f t="shared" si="0"/>
        <v>Descartado</v>
      </c>
    </row>
    <row r="7" spans="1:9" x14ac:dyDescent="0.25">
      <c r="A7" s="36"/>
      <c r="B7" s="33"/>
      <c r="C7" s="34"/>
      <c r="D7" s="34"/>
      <c r="E7" s="35"/>
      <c r="F7" s="35"/>
      <c r="G7" s="5" t="s">
        <v>70</v>
      </c>
      <c r="H7" s="16">
        <v>699</v>
      </c>
      <c r="I7" s="17">
        <f t="shared" si="0"/>
        <v>699</v>
      </c>
    </row>
    <row r="8" spans="1:9" x14ac:dyDescent="0.25">
      <c r="A8" s="36"/>
      <c r="B8" s="33"/>
      <c r="C8" s="34"/>
      <c r="D8" s="34"/>
      <c r="E8" s="35"/>
      <c r="F8" s="35"/>
      <c r="G8" s="5" t="s">
        <v>114</v>
      </c>
      <c r="H8" s="16">
        <v>631.54999999999995</v>
      </c>
      <c r="I8" s="17">
        <f t="shared" si="0"/>
        <v>631.54999999999995</v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206.78807474481363</v>
      </c>
      <c r="B20" s="8">
        <f>COUNT(H3:H17)</f>
        <v>6</v>
      </c>
      <c r="C20" s="9">
        <f>IF(B20&lt;2,"n/a",(A20/D20))</f>
        <v>0.36469916711312611</v>
      </c>
      <c r="D20" s="10">
        <f>IFERROR(ROUND(AVERAGE(H3:H17),2),"")</f>
        <v>567.01</v>
      </c>
      <c r="E20" s="15">
        <f>IFERROR(ROUND(IF(B20&lt;2,"n/a",(IF(C20&lt;=25%,"n/a",AVERAGE(I3:I17)))),2),"n/a")</f>
        <v>506.02</v>
      </c>
      <c r="F20" s="10">
        <f>IFERROR(ROUND(MEDIAN(H3:H17),2),"")</f>
        <v>565.28</v>
      </c>
      <c r="G20" s="11" t="str">
        <f>IFERROR(INDEX(G3:G17,MATCH(H20,H3:H17,0)),"")</f>
        <v>HIPERFER</v>
      </c>
      <c r="H20" s="12">
        <f>F3</f>
        <v>332</v>
      </c>
    </row>
    <row r="22" spans="1:9" x14ac:dyDescent="0.25">
      <c r="G22" s="13" t="s">
        <v>20</v>
      </c>
      <c r="H22" s="14">
        <f>IF(C20&lt;=25%,D20,MIN(E20:F20))</f>
        <v>506.02</v>
      </c>
    </row>
    <row r="23" spans="1:9" x14ac:dyDescent="0.25">
      <c r="G23" s="13" t="s">
        <v>6</v>
      </c>
      <c r="H23" s="14">
        <f>ROUND(H22,2)*D3</f>
        <v>50602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16</v>
      </c>
      <c r="B3" s="32" t="s">
        <v>50</v>
      </c>
      <c r="C3" s="34" t="s">
        <v>7</v>
      </c>
      <c r="D3" s="34">
        <v>5</v>
      </c>
      <c r="E3" s="35">
        <f>IF(C20&lt;=25%,D20,MIN(E20:F20))</f>
        <v>2873.64</v>
      </c>
      <c r="F3" s="35">
        <f>MIN(H3:H17)</f>
        <v>2462.2399999999998</v>
      </c>
      <c r="G3" s="5" t="s">
        <v>115</v>
      </c>
      <c r="H3" s="16">
        <v>3101.4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70</v>
      </c>
      <c r="H4" s="16">
        <v>2548.3000000000002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71</v>
      </c>
      <c r="H5" s="16">
        <v>2462.2399999999998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116</v>
      </c>
      <c r="H6" s="16">
        <v>3064.9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117</v>
      </c>
      <c r="H7" s="16">
        <v>3446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 t="s">
        <v>69</v>
      </c>
      <c r="H8" s="16">
        <v>2619</v>
      </c>
      <c r="I8" s="17" t="str">
        <f t="shared" si="0"/>
        <v>n/a</v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388.84150498628378</v>
      </c>
      <c r="B20" s="8">
        <f>COUNT(H3:H17)</f>
        <v>6</v>
      </c>
      <c r="C20" s="9">
        <f>IF(B20&lt;2,"n/a",(A20/D20))</f>
        <v>0.13531322816577018</v>
      </c>
      <c r="D20" s="10">
        <f>IFERROR(ROUND(AVERAGE(H3:H17),2),"")</f>
        <v>2873.64</v>
      </c>
      <c r="E20" s="15" t="str">
        <f>IFERROR(ROUND(IF(B20&lt;2,"n/a",(IF(C20&lt;=25%,"n/a",AVERAGE(I3:I17)))),2),"n/a")</f>
        <v>n/a</v>
      </c>
      <c r="F20" s="10">
        <f>IFERROR(ROUND(MEDIAN(H3:H17),2),"")</f>
        <v>2841.95</v>
      </c>
      <c r="G20" s="11" t="str">
        <f>IFERROR(INDEX(G3:G17,MATCH(H20,H3:H17,0)),"")</f>
        <v>CARREFOUR</v>
      </c>
      <c r="H20" s="12">
        <f>F3</f>
        <v>2462.2399999999998</v>
      </c>
    </row>
    <row r="22" spans="1:9" x14ac:dyDescent="0.25">
      <c r="G22" s="13" t="s">
        <v>20</v>
      </c>
      <c r="H22" s="14">
        <f>IF(C20&lt;=25%,D20,MIN(E20:F20))</f>
        <v>2873.64</v>
      </c>
    </row>
    <row r="23" spans="1:9" x14ac:dyDescent="0.25">
      <c r="G23" s="13" t="s">
        <v>6</v>
      </c>
      <c r="H23" s="14">
        <f>ROUND(H22,2)*D3</f>
        <v>14368.199999999999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17</v>
      </c>
      <c r="B3" s="32" t="s">
        <v>51</v>
      </c>
      <c r="C3" s="34" t="s">
        <v>7</v>
      </c>
      <c r="D3" s="34">
        <v>2</v>
      </c>
      <c r="E3" s="35">
        <f>IF(C20&lt;=25%,D20,MIN(E20:F20))</f>
        <v>2693.42</v>
      </c>
      <c r="F3" s="35">
        <f>MIN(H3:H17)</f>
        <v>2521.0300000000002</v>
      </c>
      <c r="G3" s="5" t="s">
        <v>73</v>
      </c>
      <c r="H3" s="16">
        <v>2789.07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74</v>
      </c>
      <c r="H4" s="16">
        <v>2521.0300000000002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93</v>
      </c>
      <c r="H5" s="16">
        <v>2949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69</v>
      </c>
      <c r="H6" s="16">
        <v>2619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104</v>
      </c>
      <c r="H7" s="16">
        <v>2589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173.65932439693523</v>
      </c>
      <c r="B20" s="8">
        <f>COUNT(H3:H17)</f>
        <v>5</v>
      </c>
      <c r="C20" s="9">
        <f>IF(B20&lt;2,"n/a",(A20/D20))</f>
        <v>6.4475397226179065E-2</v>
      </c>
      <c r="D20" s="10">
        <f>IFERROR(ROUND(AVERAGE(H3:H17),2),"")</f>
        <v>2693.42</v>
      </c>
      <c r="E20" s="15" t="str">
        <f>IFERROR(ROUND(IF(B20&lt;2,"n/a",(IF(C20&lt;=25%,"n/a",AVERAGE(I3:I17)))),2),"n/a")</f>
        <v>n/a</v>
      </c>
      <c r="F20" s="10">
        <f>IFERROR(ROUND(MEDIAN(H3:H17),2),"")</f>
        <v>2619</v>
      </c>
      <c r="G20" s="11" t="str">
        <f>IFERROR(INDEX(G3:G17,MATCH(H20,H3:H17,0)),"")</f>
        <v>CASAS BAHIA</v>
      </c>
      <c r="H20" s="12">
        <f>F3</f>
        <v>2521.0300000000002</v>
      </c>
    </row>
    <row r="22" spans="1:9" x14ac:dyDescent="0.25">
      <c r="G22" s="13" t="s">
        <v>20</v>
      </c>
      <c r="H22" s="14">
        <f>IF(C20&lt;=25%,D20,MIN(E20:F20))</f>
        <v>2693.42</v>
      </c>
    </row>
    <row r="23" spans="1:9" x14ac:dyDescent="0.25">
      <c r="G23" s="13" t="s">
        <v>6</v>
      </c>
      <c r="H23" s="14">
        <f>ROUND(H22,2)*D3</f>
        <v>5386.84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18</v>
      </c>
      <c r="B3" s="32" t="s">
        <v>52</v>
      </c>
      <c r="C3" s="34" t="s">
        <v>7</v>
      </c>
      <c r="D3" s="34">
        <v>3</v>
      </c>
      <c r="E3" s="35">
        <f>IF(C20&lt;=25%,D20,MIN(E20:F20))</f>
        <v>2795.47</v>
      </c>
      <c r="F3" s="35">
        <f>MIN(H3:H17)</f>
        <v>2609.1</v>
      </c>
      <c r="G3" s="5" t="s">
        <v>118</v>
      </c>
      <c r="H3" s="16">
        <v>2611.5500000000002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104</v>
      </c>
      <c r="H4" s="16">
        <v>3289.5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73</v>
      </c>
      <c r="H5" s="16">
        <v>2788.2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117</v>
      </c>
      <c r="H6" s="16">
        <v>2609.1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119</v>
      </c>
      <c r="H7" s="16">
        <v>2679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285.58890822299099</v>
      </c>
      <c r="B20" s="8">
        <f>COUNT(H3:H17)</f>
        <v>5</v>
      </c>
      <c r="C20" s="9">
        <f>IF(B20&lt;2,"n/a",(A20/D20))</f>
        <v>0.10216132107409166</v>
      </c>
      <c r="D20" s="10">
        <f>IFERROR(ROUND(AVERAGE(H3:H17),2),"")</f>
        <v>2795.47</v>
      </c>
      <c r="E20" s="15" t="str">
        <f>IFERROR(ROUND(IF(B20&lt;2,"n/a",(IF(C20&lt;=25%,"n/a",AVERAGE(I3:I17)))),2),"n/a")</f>
        <v>n/a</v>
      </c>
      <c r="F20" s="10">
        <f>IFERROR(ROUND(MEDIAN(H3:H17),2),"")</f>
        <v>2679</v>
      </c>
      <c r="G20" s="11" t="str">
        <f>IFERROR(INDEX(G3:G17,MATCH(H20,H3:H17,0)),"")</f>
        <v>PONTO FRIO</v>
      </c>
      <c r="H20" s="12">
        <f>F3</f>
        <v>2609.1</v>
      </c>
    </row>
    <row r="22" spans="1:9" x14ac:dyDescent="0.25">
      <c r="G22" s="13" t="s">
        <v>20</v>
      </c>
      <c r="H22" s="14">
        <f>IF(C20&lt;=25%,D20,MIN(E20:F20))</f>
        <v>2795.47</v>
      </c>
    </row>
    <row r="23" spans="1:9" x14ac:dyDescent="0.25">
      <c r="G23" s="13" t="s">
        <v>6</v>
      </c>
      <c r="H23" s="14">
        <f>ROUND(H22,2)*D3</f>
        <v>8386.41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19</v>
      </c>
      <c r="B3" s="32" t="s">
        <v>53</v>
      </c>
      <c r="C3" s="34" t="s">
        <v>7</v>
      </c>
      <c r="D3" s="34">
        <v>3</v>
      </c>
      <c r="E3" s="35">
        <f>IF(C20&lt;=25%,D20,MIN(E20:F20))</f>
        <v>3120.55</v>
      </c>
      <c r="F3" s="35">
        <f>MIN(H3:H17)</f>
        <v>2611.5500000000002</v>
      </c>
      <c r="G3" s="5" t="s">
        <v>69</v>
      </c>
      <c r="H3" s="16">
        <v>2816.1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117</v>
      </c>
      <c r="H4" s="16">
        <v>3476.05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118</v>
      </c>
      <c r="H5" s="16">
        <v>2611.5500000000002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93</v>
      </c>
      <c r="H6" s="16">
        <v>3499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74</v>
      </c>
      <c r="H7" s="16">
        <v>3200.03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396.13524373627547</v>
      </c>
      <c r="B20" s="8">
        <f>COUNT(H3:H17)</f>
        <v>5</v>
      </c>
      <c r="C20" s="9">
        <f>IF(B20&lt;2,"n/a",(A20/D20))</f>
        <v>0.12694404631756434</v>
      </c>
      <c r="D20" s="10">
        <f>IFERROR(ROUND(AVERAGE(H3:H17),2),"")</f>
        <v>3120.55</v>
      </c>
      <c r="E20" s="15" t="str">
        <f>IFERROR(ROUND(IF(B20&lt;2,"n/a",(IF(C20&lt;=25%,"n/a",AVERAGE(I3:I17)))),2),"n/a")</f>
        <v>n/a</v>
      </c>
      <c r="F20" s="10">
        <f>IFERROR(ROUND(MEDIAN(H3:H17),2),"")</f>
        <v>3200.03</v>
      </c>
      <c r="G20" s="11" t="str">
        <f>IFERROR(INDEX(G3:G17,MATCH(H20,H3:H17,0)),"")</f>
        <v>CONSUL</v>
      </c>
      <c r="H20" s="12">
        <f>F3</f>
        <v>2611.5500000000002</v>
      </c>
    </row>
    <row r="22" spans="1:9" x14ac:dyDescent="0.25">
      <c r="G22" s="13" t="s">
        <v>20</v>
      </c>
      <c r="H22" s="14">
        <f>IF(C20&lt;=25%,D20,MIN(E20:F20))</f>
        <v>3120.55</v>
      </c>
    </row>
    <row r="23" spans="1:9" x14ac:dyDescent="0.25">
      <c r="G23" s="13" t="s">
        <v>6</v>
      </c>
      <c r="H23" s="14">
        <f>ROUND(H22,2)*D3</f>
        <v>9361.6500000000015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2</v>
      </c>
      <c r="B3" s="32" t="s">
        <v>36</v>
      </c>
      <c r="C3" s="34" t="s">
        <v>7</v>
      </c>
      <c r="D3" s="34">
        <f>8+20</f>
        <v>28</v>
      </c>
      <c r="E3" s="35">
        <f>IF(C20&lt;=25%,D20,MIN(E20:F20))</f>
        <v>2590.6</v>
      </c>
      <c r="F3" s="35">
        <f>MIN(H3:H17)</f>
        <v>2184.0500000000002</v>
      </c>
      <c r="G3" s="5" t="s">
        <v>74</v>
      </c>
      <c r="H3" s="16">
        <v>2184.0500000000002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75</v>
      </c>
      <c r="H4" s="16">
        <v>2184.0500000000002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73</v>
      </c>
      <c r="H5" s="16">
        <v>2537.06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72</v>
      </c>
      <c r="H6" s="16">
        <v>3418.86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69</v>
      </c>
      <c r="H7" s="16">
        <v>2629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505.20330663011379</v>
      </c>
      <c r="B20" s="8">
        <f>COUNT(H3:H17)</f>
        <v>5</v>
      </c>
      <c r="C20" s="9">
        <f>IF(B20&lt;2,"n/a",(A20/D20))</f>
        <v>0.19501401475724303</v>
      </c>
      <c r="D20" s="10">
        <f>IFERROR(ROUND(AVERAGE(H3:H17),2),"")</f>
        <v>2590.6</v>
      </c>
      <c r="E20" s="15" t="str">
        <f>IFERROR(ROUND(IF(B20&lt;2,"n/a",(IF(C20&lt;=25%,"n/a",AVERAGE(I3:I17)))),2),"n/a")</f>
        <v>n/a</v>
      </c>
      <c r="F20" s="10">
        <f>IFERROR(ROUND(MEDIAN(H3:H17),2),"")</f>
        <v>2537.06</v>
      </c>
      <c r="G20" s="11" t="str">
        <f>IFERROR(INDEX(G3:G17,MATCH(H20,H3:H17,0)),"")</f>
        <v>CASAS BAHIA</v>
      </c>
      <c r="H20" s="12">
        <f>F3</f>
        <v>2184.0500000000002</v>
      </c>
    </row>
    <row r="22" spans="1:9" x14ac:dyDescent="0.25">
      <c r="G22" s="13" t="s">
        <v>20</v>
      </c>
      <c r="H22" s="14">
        <f>IF(C20&lt;=25%,D20,MIN(E20:F20))</f>
        <v>2590.6</v>
      </c>
    </row>
    <row r="23" spans="1:9" x14ac:dyDescent="0.25">
      <c r="G23" s="13" t="s">
        <v>6</v>
      </c>
      <c r="H23" s="14">
        <f>ROUND(H22,2)*D3</f>
        <v>72536.800000000003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20</v>
      </c>
      <c r="B3" s="32" t="s">
        <v>54</v>
      </c>
      <c r="C3" s="34" t="s">
        <v>7</v>
      </c>
      <c r="D3" s="34">
        <v>40</v>
      </c>
      <c r="E3" s="35">
        <f>IF(C20&lt;=25%,D20,MIN(E20:F20))</f>
        <v>1633.46</v>
      </c>
      <c r="F3" s="35">
        <f>MIN(H3:H17)</f>
        <v>1597.9</v>
      </c>
      <c r="G3" s="5" t="s">
        <v>120</v>
      </c>
      <c r="H3" s="16">
        <v>1597.9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72</v>
      </c>
      <c r="H4" s="16">
        <v>1669.01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/>
      <c r="H5" s="16"/>
      <c r="I5" s="17" t="str">
        <f t="shared" si="0"/>
        <v/>
      </c>
    </row>
    <row r="6" spans="1:9" x14ac:dyDescent="0.25">
      <c r="A6" s="36"/>
      <c r="B6" s="33"/>
      <c r="C6" s="34"/>
      <c r="D6" s="34"/>
      <c r="E6" s="35"/>
      <c r="F6" s="35"/>
      <c r="G6" s="5"/>
      <c r="H6" s="16"/>
      <c r="I6" s="17" t="str">
        <f t="shared" si="0"/>
        <v/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50.282363210175326</v>
      </c>
      <c r="B20" s="8">
        <f>COUNT(H3:H17)</f>
        <v>2</v>
      </c>
      <c r="C20" s="9">
        <f>IF(B20&lt;2,"n/a",(A20/D20))</f>
        <v>3.0782733100397516E-2</v>
      </c>
      <c r="D20" s="10">
        <f>IFERROR(ROUND(AVERAGE(H3:H17),2),"")</f>
        <v>1633.46</v>
      </c>
      <c r="E20" s="15" t="str">
        <f>IFERROR(ROUND(IF(B20&lt;2,"n/a",(IF(C20&lt;=25%,"n/a",AVERAGE(I3:I17)))),2),"n/a")</f>
        <v>n/a</v>
      </c>
      <c r="F20" s="10">
        <f>IFERROR(ROUND(MEDIAN(H3:H17),2),"")</f>
        <v>1633.46</v>
      </c>
      <c r="G20" s="11" t="str">
        <f>IFERROR(INDEX(G3:G17,MATCH(H20,H3:H17,0)),"")</f>
        <v>FERPAM</v>
      </c>
      <c r="H20" s="12">
        <f>F3</f>
        <v>1597.9</v>
      </c>
    </row>
    <row r="22" spans="1:9" x14ac:dyDescent="0.25">
      <c r="G22" s="13" t="s">
        <v>20</v>
      </c>
      <c r="H22" s="14">
        <f>IF(C20&lt;=25%,D20,MIN(E20:F20))</f>
        <v>1633.46</v>
      </c>
    </row>
    <row r="23" spans="1:9" x14ac:dyDescent="0.25">
      <c r="G23" s="13" t="s">
        <v>6</v>
      </c>
      <c r="H23" s="14">
        <f>ROUND(H22,2)*D3</f>
        <v>65338.400000000001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21</v>
      </c>
      <c r="B3" s="32" t="s">
        <v>55</v>
      </c>
      <c r="C3" s="34" t="s">
        <v>7</v>
      </c>
      <c r="D3" s="34">
        <v>40</v>
      </c>
      <c r="E3" s="35">
        <f>IF(C20&lt;=25%,D20,MIN(E20:F20))</f>
        <v>1214.08</v>
      </c>
      <c r="F3" s="35">
        <f>MIN(H3:H17)</f>
        <v>998</v>
      </c>
      <c r="G3" s="5" t="s">
        <v>120</v>
      </c>
      <c r="H3" s="16">
        <v>1597.9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121</v>
      </c>
      <c r="H4" s="16">
        <v>1059.9000000000001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83</v>
      </c>
      <c r="H5" s="16">
        <v>1210.03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89</v>
      </c>
      <c r="H6" s="16">
        <v>998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122</v>
      </c>
      <c r="H7" s="16">
        <v>1288.1600000000001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 t="s">
        <v>123</v>
      </c>
      <c r="H8" s="16">
        <v>1130.49</v>
      </c>
      <c r="I8" s="17" t="str">
        <f t="shared" si="0"/>
        <v>n/a</v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214.60259467210565</v>
      </c>
      <c r="B20" s="8">
        <f>COUNT(H3:H17)</f>
        <v>6</v>
      </c>
      <c r="C20" s="9">
        <f>IF(B20&lt;2,"n/a",(A20/D20))</f>
        <v>0.17676149403013447</v>
      </c>
      <c r="D20" s="10">
        <f>IFERROR(ROUND(AVERAGE(H3:H17),2),"")</f>
        <v>1214.08</v>
      </c>
      <c r="E20" s="15" t="str">
        <f>IFERROR(ROUND(IF(B20&lt;2,"n/a",(IF(C20&lt;=25%,"n/a",AVERAGE(I3:I17)))),2),"n/a")</f>
        <v>n/a</v>
      </c>
      <c r="F20" s="10">
        <f>IFERROR(ROUND(MEDIAN(H3:H17),2),"")</f>
        <v>1170.26</v>
      </c>
      <c r="G20" s="11" t="str">
        <f>IFERROR(INDEX(G3:G17,MATCH(H20,H3:H17,0)),"")</f>
        <v>DUTRA MÁQUINAS</v>
      </c>
      <c r="H20" s="12">
        <f>F3</f>
        <v>998</v>
      </c>
    </row>
    <row r="22" spans="1:9" x14ac:dyDescent="0.25">
      <c r="G22" s="13" t="s">
        <v>20</v>
      </c>
      <c r="H22" s="14">
        <f>IF(C20&lt;=25%,D20,MIN(E20:F20))</f>
        <v>1214.08</v>
      </c>
    </row>
    <row r="23" spans="1:9" x14ac:dyDescent="0.25">
      <c r="G23" s="13" t="s">
        <v>6</v>
      </c>
      <c r="H23" s="14">
        <f>ROUND(H22,2)*D3</f>
        <v>48563.199999999997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22</v>
      </c>
      <c r="B3" s="32" t="s">
        <v>56</v>
      </c>
      <c r="C3" s="34" t="s">
        <v>7</v>
      </c>
      <c r="D3" s="34">
        <f>5+20</f>
        <v>25</v>
      </c>
      <c r="E3" s="35">
        <f>IF(C20&lt;=25%,D20,MIN(E20:F20))</f>
        <v>2220.91</v>
      </c>
      <c r="F3" s="35">
        <f>MIN(H3:H17)</f>
        <v>2065.5</v>
      </c>
      <c r="G3" s="5" t="s">
        <v>124</v>
      </c>
      <c r="H3" s="16">
        <v>2065.5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125</v>
      </c>
      <c r="H4" s="16">
        <v>2339.9899999999998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126</v>
      </c>
      <c r="H5" s="16">
        <v>2272.4299999999998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72</v>
      </c>
      <c r="H6" s="16">
        <v>2190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127</v>
      </c>
      <c r="H7" s="16">
        <v>2236.64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102.70039663993505</v>
      </c>
      <c r="B20" s="8">
        <f>COUNT(H3:H17)</f>
        <v>5</v>
      </c>
      <c r="C20" s="9">
        <f>IF(B20&lt;2,"n/a",(A20/D20))</f>
        <v>4.6242484675171468E-2</v>
      </c>
      <c r="D20" s="10">
        <f>IFERROR(ROUND(AVERAGE(H3:H17),2),"")</f>
        <v>2220.91</v>
      </c>
      <c r="E20" s="15" t="str">
        <f>IFERROR(ROUND(IF(B20&lt;2,"n/a",(IF(C20&lt;=25%,"n/a",AVERAGE(I3:I17)))),2),"n/a")</f>
        <v>n/a</v>
      </c>
      <c r="F20" s="10">
        <f>IFERROR(ROUND(MEDIAN(H3:H17),2),"")</f>
        <v>2236.64</v>
      </c>
      <c r="G20" s="11" t="str">
        <f>IFERROR(INDEX(G3:G17,MATCH(H20,H3:H17,0)),"")</f>
        <v>REFRISOL</v>
      </c>
      <c r="H20" s="12">
        <f>F3</f>
        <v>2065.5</v>
      </c>
    </row>
    <row r="22" spans="1:9" x14ac:dyDescent="0.25">
      <c r="G22" s="13" t="s">
        <v>20</v>
      </c>
      <c r="H22" s="14">
        <f>IF(C20&lt;=25%,D20,MIN(E20:F20))</f>
        <v>2220.91</v>
      </c>
    </row>
    <row r="23" spans="1:9" x14ac:dyDescent="0.25">
      <c r="G23" s="13" t="s">
        <v>6</v>
      </c>
      <c r="H23" s="14">
        <f>ROUND(H22,2)*D3</f>
        <v>55522.75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23</v>
      </c>
      <c r="B3" s="32" t="s">
        <v>57</v>
      </c>
      <c r="C3" s="34" t="s">
        <v>7</v>
      </c>
      <c r="D3" s="34">
        <v>4</v>
      </c>
      <c r="E3" s="35">
        <f>IF(C20&lt;=25%,D20,MIN(E20:F20))</f>
        <v>385.71</v>
      </c>
      <c r="F3" s="35">
        <f>MIN(H3:H17)</f>
        <v>312.02999999999997</v>
      </c>
      <c r="G3" s="5" t="s">
        <v>128</v>
      </c>
      <c r="H3" s="16">
        <v>312.02999999999997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74</v>
      </c>
      <c r="H4" s="16">
        <v>386.02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72</v>
      </c>
      <c r="H5" s="16">
        <v>369.12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126</v>
      </c>
      <c r="H6" s="16">
        <v>393.98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103</v>
      </c>
      <c r="H7" s="16">
        <v>467.4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55.780183757316273</v>
      </c>
      <c r="B20" s="8">
        <f>COUNT(H3:H17)</f>
        <v>5</v>
      </c>
      <c r="C20" s="9">
        <f>IF(B20&lt;2,"n/a",(A20/D20))</f>
        <v>0.14461689807709491</v>
      </c>
      <c r="D20" s="10">
        <f>IFERROR(ROUND(AVERAGE(H3:H17),2),"")</f>
        <v>385.71</v>
      </c>
      <c r="E20" s="15" t="str">
        <f>IFERROR(ROUND(IF(B20&lt;2,"n/a",(IF(C20&lt;=25%,"n/a",AVERAGE(I3:I17)))),2),"n/a")</f>
        <v>n/a</v>
      </c>
      <c r="F20" s="10">
        <f>IFERROR(ROUND(MEDIAN(H3:H17),2),"")</f>
        <v>386.02</v>
      </c>
      <c r="G20" s="11" t="str">
        <f>IFERROR(INDEX(G3:G17,MATCH(H20,H3:H17,0)),"")</f>
        <v xml:space="preserve">MAGAZINE LUIZA </v>
      </c>
      <c r="H20" s="12">
        <f>F3</f>
        <v>312.02999999999997</v>
      </c>
    </row>
    <row r="22" spans="1:9" x14ac:dyDescent="0.25">
      <c r="G22" s="13" t="s">
        <v>20</v>
      </c>
      <c r="H22" s="14">
        <f>IF(C20&lt;=25%,D20,MIN(E20:F20))</f>
        <v>385.71</v>
      </c>
    </row>
    <row r="23" spans="1:9" x14ac:dyDescent="0.25">
      <c r="G23" s="13" t="s">
        <v>6</v>
      </c>
      <c r="H23" s="14">
        <f>ROUND(H22,2)*D3</f>
        <v>1542.84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24</v>
      </c>
      <c r="B3" s="32" t="s">
        <v>58</v>
      </c>
      <c r="C3" s="34" t="s">
        <v>7</v>
      </c>
      <c r="D3" s="34">
        <v>4</v>
      </c>
      <c r="E3" s="35">
        <f>IF(C20&lt;=25%,D20,MIN(E20:F20))</f>
        <v>440.99</v>
      </c>
      <c r="F3" s="35">
        <f>MIN(H3:H17)</f>
        <v>408.27</v>
      </c>
      <c r="G3" s="5" t="s">
        <v>103</v>
      </c>
      <c r="H3" s="16">
        <v>467.4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129</v>
      </c>
      <c r="H4" s="16">
        <v>431.94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130</v>
      </c>
      <c r="H5" s="16">
        <v>408.27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126</v>
      </c>
      <c r="H6" s="16">
        <v>436.38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69</v>
      </c>
      <c r="H7" s="16">
        <v>460.95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23.820383498172312</v>
      </c>
      <c r="B20" s="8">
        <f>COUNT(H3:H17)</f>
        <v>5</v>
      </c>
      <c r="C20" s="9">
        <f>IF(B20&lt;2,"n/a",(A20/D20))</f>
        <v>5.4015699898347605E-2</v>
      </c>
      <c r="D20" s="10">
        <f>IFERROR(ROUND(AVERAGE(H3:H17),2),"")</f>
        <v>440.99</v>
      </c>
      <c r="E20" s="15" t="str">
        <f>IFERROR(ROUND(IF(B20&lt;2,"n/a",(IF(C20&lt;=25%,"n/a",AVERAGE(I3:I17)))),2),"n/a")</f>
        <v>n/a</v>
      </c>
      <c r="F20" s="10">
        <f>IFERROR(ROUND(MEDIAN(H3:H17),2),"")</f>
        <v>436.38</v>
      </c>
      <c r="G20" s="11" t="str">
        <f>IFERROR(INDEX(G3:G17,MATCH(H20,H3:H17,0)),"")</f>
        <v xml:space="preserve">LOJAS TEMPERARE </v>
      </c>
      <c r="H20" s="12">
        <f>F3</f>
        <v>408.27</v>
      </c>
    </row>
    <row r="22" spans="1:9" x14ac:dyDescent="0.25">
      <c r="G22" s="13" t="s">
        <v>20</v>
      </c>
      <c r="H22" s="14">
        <f>IF(C20&lt;=25%,D20,MIN(E20:F20))</f>
        <v>440.99</v>
      </c>
    </row>
    <row r="23" spans="1:9" x14ac:dyDescent="0.25">
      <c r="G23" s="13" t="s">
        <v>6</v>
      </c>
      <c r="H23" s="14">
        <f>ROUND(H22,2)*D3</f>
        <v>1763.96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25</v>
      </c>
      <c r="B3" s="32" t="s">
        <v>59</v>
      </c>
      <c r="C3" s="34" t="s">
        <v>7</v>
      </c>
      <c r="D3" s="34">
        <f>(5+100)-Item38!D3</f>
        <v>103</v>
      </c>
      <c r="E3" s="35">
        <f>IF(C20&lt;=25%,D20,MIN(E20:F20))</f>
        <v>33782.480000000003</v>
      </c>
      <c r="F3" s="35">
        <f>MIN(H3:H17)</f>
        <v>28990</v>
      </c>
      <c r="G3" s="5" t="s">
        <v>131</v>
      </c>
      <c r="H3" s="16">
        <v>37050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132</v>
      </c>
      <c r="H4" s="16">
        <v>28990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133</v>
      </c>
      <c r="H5" s="16">
        <v>34999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134</v>
      </c>
      <c r="H6" s="16">
        <v>34090.92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3426.3492546635302</v>
      </c>
      <c r="B20" s="8">
        <f>COUNT(H3:H17)</f>
        <v>4</v>
      </c>
      <c r="C20" s="9">
        <f>IF(B20&lt;2,"n/a",(A20/D20))</f>
        <v>0.10142385208734024</v>
      </c>
      <c r="D20" s="10">
        <f>IFERROR(ROUND(AVERAGE(H3:H17),2),"")</f>
        <v>33782.480000000003</v>
      </c>
      <c r="E20" s="15" t="str">
        <f>IFERROR(ROUND(IF(B20&lt;2,"n/a",(IF(C20&lt;=25%,"n/a",AVERAGE(I3:I17)))),2),"n/a")</f>
        <v>n/a</v>
      </c>
      <c r="F20" s="10">
        <f>IFERROR(ROUND(MEDIAN(H3:H17),2),"")</f>
        <v>34544.959999999999</v>
      </c>
      <c r="G20" s="11" t="str">
        <f>IFERROR(INDEX(G3:G17,MATCH(H20,H3:H17,0)),"")</f>
        <v>HTCLICK</v>
      </c>
      <c r="H20" s="12">
        <f>F3</f>
        <v>28990</v>
      </c>
    </row>
    <row r="22" spans="1:9" x14ac:dyDescent="0.25">
      <c r="G22" s="13" t="s">
        <v>20</v>
      </c>
      <c r="H22" s="14">
        <f>IF(C20&lt;=25%,D20,MIN(E20:F20))</f>
        <v>33782.480000000003</v>
      </c>
    </row>
    <row r="23" spans="1:9" x14ac:dyDescent="0.25">
      <c r="G23" s="13" t="s">
        <v>6</v>
      </c>
      <c r="H23" s="14">
        <f>ROUND(H22,2)*D3</f>
        <v>3479595.4400000004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26</v>
      </c>
      <c r="B3" s="32" t="s">
        <v>60</v>
      </c>
      <c r="C3" s="34" t="s">
        <v>7</v>
      </c>
      <c r="D3" s="34">
        <v>3</v>
      </c>
      <c r="E3" s="35">
        <f>IF(C20&lt;=25%,D20,MIN(E20:F20))</f>
        <v>3713.34</v>
      </c>
      <c r="F3" s="35">
        <f>MIN(H3:H17)</f>
        <v>2880.9</v>
      </c>
      <c r="G3" s="5" t="s">
        <v>135</v>
      </c>
      <c r="H3" s="16">
        <v>4962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74</v>
      </c>
      <c r="H4" s="16">
        <v>3505.23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136</v>
      </c>
      <c r="H5" s="16">
        <v>3505.23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73</v>
      </c>
      <c r="H6" s="16">
        <v>2880.9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882.93595339639649</v>
      </c>
      <c r="B20" s="8">
        <f>COUNT(H3:H17)</f>
        <v>4</v>
      </c>
      <c r="C20" s="9">
        <f>IF(B20&lt;2,"n/a",(A20/D20))</f>
        <v>0.23777406684989699</v>
      </c>
      <c r="D20" s="10">
        <f>IFERROR(ROUND(AVERAGE(H3:H17),2),"")</f>
        <v>3713.34</v>
      </c>
      <c r="E20" s="15" t="str">
        <f>IFERROR(ROUND(IF(B20&lt;2,"n/a",(IF(C20&lt;=25%,"n/a",AVERAGE(I3:I17)))),2),"n/a")</f>
        <v>n/a</v>
      </c>
      <c r="F20" s="10">
        <f>IFERROR(ROUND(MEDIAN(H3:H17),2),"")</f>
        <v>3505.23</v>
      </c>
      <c r="G20" s="11" t="str">
        <f>IFERROR(INDEX(G3:G17,MATCH(H20,H3:H17,0)),"")</f>
        <v>MAGAZINE LUIZA</v>
      </c>
      <c r="H20" s="12">
        <f>F3</f>
        <v>2880.9</v>
      </c>
    </row>
    <row r="22" spans="1:9" x14ac:dyDescent="0.25">
      <c r="G22" s="13" t="s">
        <v>20</v>
      </c>
      <c r="H22" s="14">
        <f>IF(C20&lt;=25%,D20,MIN(E20:F20))</f>
        <v>3713.34</v>
      </c>
    </row>
    <row r="23" spans="1:9" x14ac:dyDescent="0.25">
      <c r="G23" s="13" t="s">
        <v>6</v>
      </c>
      <c r="H23" s="14">
        <f>ROUND(H22,2)*D3</f>
        <v>11140.02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6">
        <v>27</v>
      </c>
      <c r="B3" s="32" t="s">
        <v>61</v>
      </c>
      <c r="C3" s="34" t="s">
        <v>7</v>
      </c>
      <c r="D3" s="34">
        <v>70</v>
      </c>
      <c r="E3" s="35">
        <f>IF(C20&lt;=25%,D20,MIN(E20:F20))</f>
        <v>720.4</v>
      </c>
      <c r="F3" s="35">
        <f>MIN(H3:H17)</f>
        <v>600</v>
      </c>
      <c r="G3" s="5" t="s">
        <v>73</v>
      </c>
      <c r="H3" s="16">
        <v>789.9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71</v>
      </c>
      <c r="H4" s="16">
        <v>646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72</v>
      </c>
      <c r="H5" s="16">
        <v>600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137</v>
      </c>
      <c r="H6" s="16">
        <v>845.68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116.27101716822381</v>
      </c>
      <c r="B20" s="8">
        <f>COUNT(H3:H17)</f>
        <v>4</v>
      </c>
      <c r="C20" s="9">
        <f>IF(B20&lt;2,"n/a",(A20/D20))</f>
        <v>0.16139785836788426</v>
      </c>
      <c r="D20" s="10">
        <f>IFERROR(ROUND(AVERAGE(H3:H17),2),"")</f>
        <v>720.4</v>
      </c>
      <c r="E20" s="15" t="str">
        <f>IFERROR(ROUND(IF(B20&lt;2,"n/a",(IF(C20&lt;=25%,"n/a",AVERAGE(I3:I17)))),2),"n/a")</f>
        <v>n/a</v>
      </c>
      <c r="F20" s="10">
        <f>IFERROR(ROUND(MEDIAN(H3:H17),2),"")</f>
        <v>717.95</v>
      </c>
      <c r="G20" s="11" t="str">
        <f>IFERROR(INDEX(G3:G17,MATCH(H20,H3:H17,0)),"")</f>
        <v>AMERICANAS</v>
      </c>
      <c r="H20" s="12">
        <f>F3</f>
        <v>600</v>
      </c>
    </row>
    <row r="22" spans="1:9" x14ac:dyDescent="0.25">
      <c r="G22" s="13" t="s">
        <v>20</v>
      </c>
      <c r="H22" s="14">
        <f>IF(C20&lt;=25%,D20,MIN(E20:F20))</f>
        <v>720.4</v>
      </c>
    </row>
    <row r="23" spans="1:9" x14ac:dyDescent="0.25">
      <c r="G23" s="13" t="s">
        <v>6</v>
      </c>
      <c r="H23" s="14">
        <f>ROUND(H22,2)*D3</f>
        <v>50428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28</v>
      </c>
      <c r="B3" s="32" t="s">
        <v>62</v>
      </c>
      <c r="C3" s="34" t="s">
        <v>7</v>
      </c>
      <c r="D3" s="34">
        <v>100</v>
      </c>
      <c r="E3" s="35">
        <f>IF(C20&lt;=25%,D20,MIN(E20:F20))</f>
        <v>796</v>
      </c>
      <c r="F3" s="35">
        <f>MIN(H3:H17)</f>
        <v>600</v>
      </c>
      <c r="G3" s="5" t="s">
        <v>138</v>
      </c>
      <c r="H3" s="16">
        <v>969</v>
      </c>
      <c r="I3" s="17">
        <f>IF(H3="","",(IF($C$20&lt;25%,"n/a",IF(H3&lt;=($D$20+$A$20),H3,"Descartado"))))</f>
        <v>969</v>
      </c>
    </row>
    <row r="4" spans="1:9" x14ac:dyDescent="0.25">
      <c r="A4" s="36"/>
      <c r="B4" s="33"/>
      <c r="C4" s="34"/>
      <c r="D4" s="34"/>
      <c r="E4" s="35"/>
      <c r="F4" s="35"/>
      <c r="G4" s="5" t="s">
        <v>71</v>
      </c>
      <c r="H4" s="16">
        <v>646</v>
      </c>
      <c r="I4" s="17">
        <f t="shared" ref="I4:I17" si="0">IF(H4="","",(IF($C$20&lt;25%,"n/a",IF(H4&lt;=($D$20+$A$20),H4,"Descartado"))))</f>
        <v>646</v>
      </c>
    </row>
    <row r="5" spans="1:9" x14ac:dyDescent="0.25">
      <c r="A5" s="36"/>
      <c r="B5" s="33"/>
      <c r="C5" s="34"/>
      <c r="D5" s="34"/>
      <c r="E5" s="35"/>
      <c r="F5" s="35"/>
      <c r="G5" s="5" t="s">
        <v>72</v>
      </c>
      <c r="H5" s="16">
        <v>600</v>
      </c>
      <c r="I5" s="17">
        <f t="shared" si="0"/>
        <v>600</v>
      </c>
    </row>
    <row r="6" spans="1:9" x14ac:dyDescent="0.25">
      <c r="A6" s="36"/>
      <c r="B6" s="33"/>
      <c r="C6" s="34"/>
      <c r="D6" s="34"/>
      <c r="E6" s="35"/>
      <c r="F6" s="35"/>
      <c r="G6" s="5" t="s">
        <v>139</v>
      </c>
      <c r="H6" s="16">
        <v>969</v>
      </c>
      <c r="I6" s="17">
        <f t="shared" si="0"/>
        <v>969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200.6439632782407</v>
      </c>
      <c r="B20" s="8">
        <f>COUNT(H3:H17)</f>
        <v>4</v>
      </c>
      <c r="C20" s="9">
        <f>IF(B20&lt;2,"n/a",(A20/D20))</f>
        <v>0.25206528050030241</v>
      </c>
      <c r="D20" s="10">
        <f>IFERROR(ROUND(AVERAGE(H3:H17),2),"")</f>
        <v>796</v>
      </c>
      <c r="E20" s="15">
        <f>IFERROR(ROUND(IF(B20&lt;2,"n/a",(IF(C20&lt;=25%,"n/a",AVERAGE(I3:I17)))),2),"n/a")</f>
        <v>796</v>
      </c>
      <c r="F20" s="10">
        <f>IFERROR(ROUND(MEDIAN(H3:H17),2),"")</f>
        <v>807.5</v>
      </c>
      <c r="G20" s="11" t="str">
        <f>IFERROR(INDEX(G3:G17,MATCH(H20,H3:H17,0)),"")</f>
        <v>AMERICANAS</v>
      </c>
      <c r="H20" s="12">
        <f>F3</f>
        <v>600</v>
      </c>
    </row>
    <row r="22" spans="1:9" x14ac:dyDescent="0.25">
      <c r="G22" s="13" t="s">
        <v>20</v>
      </c>
      <c r="H22" s="14">
        <f>IF(C20&lt;=25%,D20,MIN(E20:F20))</f>
        <v>796</v>
      </c>
    </row>
    <row r="23" spans="1:9" x14ac:dyDescent="0.25">
      <c r="G23" s="13" t="s">
        <v>6</v>
      </c>
      <c r="H23" s="14">
        <f>ROUND(H22,2)*D3</f>
        <v>79600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29</v>
      </c>
      <c r="B3" s="32" t="s">
        <v>63</v>
      </c>
      <c r="C3" s="34" t="s">
        <v>7</v>
      </c>
      <c r="D3" s="34">
        <v>400</v>
      </c>
      <c r="E3" s="35">
        <f>IF(C20&lt;=25%,D20,MIN(E20:F20))</f>
        <v>37.619999999999997</v>
      </c>
      <c r="F3" s="35">
        <f>MIN(H3:H17)</f>
        <v>23.49</v>
      </c>
      <c r="G3" s="5" t="s">
        <v>104</v>
      </c>
      <c r="H3" s="16">
        <v>23.49</v>
      </c>
      <c r="I3" s="17">
        <f>IF(H3="","",(IF($C$20&lt;25%,"n/a",IF(H3&lt;=($D$20+$A$20),H3,"Descartado"))))</f>
        <v>23.49</v>
      </c>
    </row>
    <row r="4" spans="1:9" x14ac:dyDescent="0.25">
      <c r="A4" s="36"/>
      <c r="B4" s="33"/>
      <c r="C4" s="34"/>
      <c r="D4" s="34"/>
      <c r="E4" s="35"/>
      <c r="F4" s="35"/>
      <c r="G4" s="5" t="s">
        <v>140</v>
      </c>
      <c r="H4" s="16">
        <v>33.9</v>
      </c>
      <c r="I4" s="17">
        <f t="shared" ref="I4:I17" si="0">IF(H4="","",(IF($C$20&lt;25%,"n/a",IF(H4&lt;=($D$20+$A$20),H4,"Descartado"))))</f>
        <v>33.9</v>
      </c>
    </row>
    <row r="5" spans="1:9" x14ac:dyDescent="0.25">
      <c r="A5" s="36"/>
      <c r="B5" s="33"/>
      <c r="C5" s="34"/>
      <c r="D5" s="34"/>
      <c r="E5" s="35"/>
      <c r="F5" s="35"/>
      <c r="G5" s="5" t="s">
        <v>69</v>
      </c>
      <c r="H5" s="16">
        <v>44.14</v>
      </c>
      <c r="I5" s="17">
        <f t="shared" si="0"/>
        <v>44.14</v>
      </c>
    </row>
    <row r="6" spans="1:9" x14ac:dyDescent="0.25">
      <c r="A6" s="36"/>
      <c r="B6" s="33"/>
      <c r="C6" s="34"/>
      <c r="D6" s="34"/>
      <c r="E6" s="35"/>
      <c r="F6" s="35"/>
      <c r="G6" s="5" t="s">
        <v>95</v>
      </c>
      <c r="H6" s="16">
        <v>56.9</v>
      </c>
      <c r="I6" s="17" t="str">
        <f t="shared" si="0"/>
        <v>Descartado</v>
      </c>
    </row>
    <row r="7" spans="1:9" x14ac:dyDescent="0.25">
      <c r="A7" s="36"/>
      <c r="B7" s="33"/>
      <c r="C7" s="34"/>
      <c r="D7" s="34"/>
      <c r="E7" s="35"/>
      <c r="F7" s="35"/>
      <c r="G7" s="5" t="s">
        <v>73</v>
      </c>
      <c r="H7" s="16">
        <v>48.93</v>
      </c>
      <c r="I7" s="17">
        <f t="shared" si="0"/>
        <v>48.93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13.052305160392132</v>
      </c>
      <c r="B20" s="8">
        <f>COUNT(H3:H17)</f>
        <v>5</v>
      </c>
      <c r="C20" s="9">
        <f>IF(B20&lt;2,"n/a",(A20/D20))</f>
        <v>0.31474090090166706</v>
      </c>
      <c r="D20" s="10">
        <f>IFERROR(ROUND(AVERAGE(H3:H17),2),"")</f>
        <v>41.47</v>
      </c>
      <c r="E20" s="15">
        <f>IFERROR(ROUND(IF(B20&lt;2,"n/a",(IF(C20&lt;=25%,"n/a",AVERAGE(I3:I17)))),2),"n/a")</f>
        <v>37.619999999999997</v>
      </c>
      <c r="F20" s="10">
        <f>IFERROR(ROUND(MEDIAN(H3:H17),2),"")</f>
        <v>44.14</v>
      </c>
      <c r="G20" s="11" t="str">
        <f>IFERROR(INDEX(G3:G17,MATCH(H20,H3:H17,0)),"")</f>
        <v>FRIGELAR</v>
      </c>
      <c r="H20" s="12">
        <f>F3</f>
        <v>23.49</v>
      </c>
    </row>
    <row r="22" spans="1:9" x14ac:dyDescent="0.25">
      <c r="G22" s="13" t="s">
        <v>20</v>
      </c>
      <c r="H22" s="14">
        <f>IF(C20&lt;=25%,D20,MIN(E20:F20))</f>
        <v>37.619999999999997</v>
      </c>
    </row>
    <row r="23" spans="1:9" x14ac:dyDescent="0.25">
      <c r="G23" s="13" t="s">
        <v>6</v>
      </c>
      <c r="H23" s="14">
        <f>ROUND(H22,2)*D3</f>
        <v>15047.999999999998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3</v>
      </c>
      <c r="B3" s="32" t="s">
        <v>37</v>
      </c>
      <c r="C3" s="34" t="s">
        <v>7</v>
      </c>
      <c r="D3" s="34">
        <f>500-Item36!D3</f>
        <v>375</v>
      </c>
      <c r="E3" s="35">
        <f>IF(C20&lt;=25%,D20,MIN(E20:F20))</f>
        <v>308.70999999999998</v>
      </c>
      <c r="F3" s="35">
        <f>MIN(H3:H17)</f>
        <v>193.62</v>
      </c>
      <c r="G3" s="5" t="s">
        <v>76</v>
      </c>
      <c r="H3" s="16">
        <v>339.68</v>
      </c>
      <c r="I3" s="17">
        <f>IF(H3="","",(IF($C$20&lt;25%,"n/a",IF(H3&lt;=($D$20+$A$20),H3,"Descartado"))))</f>
        <v>339.68</v>
      </c>
    </row>
    <row r="4" spans="1:9" x14ac:dyDescent="0.25">
      <c r="A4" s="36"/>
      <c r="B4" s="33"/>
      <c r="C4" s="34"/>
      <c r="D4" s="34"/>
      <c r="E4" s="35"/>
      <c r="F4" s="35"/>
      <c r="G4" s="5" t="s">
        <v>77</v>
      </c>
      <c r="H4" s="16">
        <v>387.98</v>
      </c>
      <c r="I4" s="17">
        <f t="shared" ref="I4:I17" si="0">IF(H4="","",(IF($C$20&lt;25%,"n/a",IF(H4&lt;=($D$20+$A$20),H4,"Descartado"))))</f>
        <v>387.98</v>
      </c>
    </row>
    <row r="5" spans="1:9" x14ac:dyDescent="0.25">
      <c r="A5" s="36"/>
      <c r="B5" s="33"/>
      <c r="C5" s="34"/>
      <c r="D5" s="34"/>
      <c r="E5" s="35"/>
      <c r="F5" s="35"/>
      <c r="G5" s="5" t="s">
        <v>73</v>
      </c>
      <c r="H5" s="16">
        <v>193.62</v>
      </c>
      <c r="I5" s="17">
        <f t="shared" si="0"/>
        <v>193.62</v>
      </c>
    </row>
    <row r="6" spans="1:9" x14ac:dyDescent="0.25">
      <c r="A6" s="36"/>
      <c r="B6" s="33"/>
      <c r="C6" s="34"/>
      <c r="D6" s="34"/>
      <c r="E6" s="35"/>
      <c r="F6" s="35"/>
      <c r="G6" s="5" t="s">
        <v>78</v>
      </c>
      <c r="H6" s="16">
        <v>565.9</v>
      </c>
      <c r="I6" s="17" t="str">
        <f t="shared" si="0"/>
        <v>Descartado</v>
      </c>
    </row>
    <row r="7" spans="1:9" x14ac:dyDescent="0.25">
      <c r="A7" s="36"/>
      <c r="B7" s="33"/>
      <c r="C7" s="34"/>
      <c r="D7" s="34"/>
      <c r="E7" s="35"/>
      <c r="F7" s="35"/>
      <c r="G7" s="5" t="s">
        <v>69</v>
      </c>
      <c r="H7" s="16">
        <v>313.57</v>
      </c>
      <c r="I7" s="17">
        <f t="shared" si="0"/>
        <v>313.57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135.4884954525659</v>
      </c>
      <c r="B20" s="8">
        <f>COUNT(H3:H17)</f>
        <v>5</v>
      </c>
      <c r="C20" s="9">
        <f>IF(B20&lt;2,"n/a",(A20/D20))</f>
        <v>0.37620018173695935</v>
      </c>
      <c r="D20" s="10">
        <f>IFERROR(ROUND(AVERAGE(H3:H17),2),"")</f>
        <v>360.15</v>
      </c>
      <c r="E20" s="15">
        <f>IFERROR(ROUND(IF(B20&lt;2,"n/a",(IF(C20&lt;=25%,"n/a",AVERAGE(I3:I17)))),2),"n/a")</f>
        <v>308.70999999999998</v>
      </c>
      <c r="F20" s="10">
        <f>IFERROR(ROUND(MEDIAN(H3:H17),2),"")</f>
        <v>339.68</v>
      </c>
      <c r="G20" s="11" t="str">
        <f>IFERROR(INDEX(G3:G17,MATCH(H20,H3:H17,0)),"")</f>
        <v>MAGAZINE LUIZA</v>
      </c>
      <c r="H20" s="12">
        <f>F3</f>
        <v>193.62</v>
      </c>
    </row>
    <row r="22" spans="1:9" x14ac:dyDescent="0.25">
      <c r="G22" s="13" t="s">
        <v>20</v>
      </c>
      <c r="H22" s="14">
        <f>IF(C20&lt;=25%,D20,MIN(E20:F20))</f>
        <v>308.70999999999998</v>
      </c>
    </row>
    <row r="23" spans="1:9" x14ac:dyDescent="0.25">
      <c r="G23" s="13" t="s">
        <v>6</v>
      </c>
      <c r="H23" s="14">
        <f>ROUND(H22,2)*D3</f>
        <v>115766.24999999999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30</v>
      </c>
      <c r="B3" s="32" t="s">
        <v>64</v>
      </c>
      <c r="C3" s="34" t="s">
        <v>7</v>
      </c>
      <c r="D3" s="34">
        <v>30</v>
      </c>
      <c r="E3" s="35">
        <f>IF(C20&lt;=25%,D20,MIN(E20:F20))</f>
        <v>138.16</v>
      </c>
      <c r="F3" s="35">
        <f>MIN(H3:H17)</f>
        <v>116.1</v>
      </c>
      <c r="G3" s="5" t="s">
        <v>141</v>
      </c>
      <c r="H3" s="16">
        <v>152.9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69</v>
      </c>
      <c r="H4" s="16">
        <v>163.33000000000001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73</v>
      </c>
      <c r="H5" s="16">
        <v>134.04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104</v>
      </c>
      <c r="H6" s="16">
        <v>116.1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142</v>
      </c>
      <c r="H7" s="16">
        <v>124.44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19.638310008755809</v>
      </c>
      <c r="B20" s="8">
        <f>COUNT(H3:H17)</f>
        <v>5</v>
      </c>
      <c r="C20" s="9">
        <f>IF(B20&lt;2,"n/a",(A20/D20))</f>
        <v>0.1421417921884468</v>
      </c>
      <c r="D20" s="10">
        <f>IFERROR(ROUND(AVERAGE(H3:H17),2),"")</f>
        <v>138.16</v>
      </c>
      <c r="E20" s="15" t="str">
        <f>IFERROR(ROUND(IF(B20&lt;2,"n/a",(IF(C20&lt;=25%,"n/a",AVERAGE(I3:I17)))),2),"n/a")</f>
        <v>n/a</v>
      </c>
      <c r="F20" s="10">
        <f>IFERROR(ROUND(MEDIAN(H3:H17),2),"")</f>
        <v>134.04</v>
      </c>
      <c r="G20" s="11" t="str">
        <f>IFERROR(INDEX(G3:G17,MATCH(H20,H3:H17,0)),"")</f>
        <v>FRIGELAR</v>
      </c>
      <c r="H20" s="12">
        <f>F3</f>
        <v>116.1</v>
      </c>
    </row>
    <row r="22" spans="1:9" x14ac:dyDescent="0.25">
      <c r="G22" s="13" t="s">
        <v>20</v>
      </c>
      <c r="H22" s="14">
        <f>IF(C20&lt;=25%,D20,MIN(E20:F20))</f>
        <v>138.16</v>
      </c>
    </row>
    <row r="23" spans="1:9" x14ac:dyDescent="0.25">
      <c r="G23" s="13" t="s">
        <v>6</v>
      </c>
      <c r="H23" s="14">
        <f>ROUND(H22,2)*D3</f>
        <v>4144.8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31</v>
      </c>
      <c r="B3" s="32" t="s">
        <v>65</v>
      </c>
      <c r="C3" s="34" t="s">
        <v>7</v>
      </c>
      <c r="D3" s="34">
        <v>30</v>
      </c>
      <c r="E3" s="35">
        <f>IF(C20&lt;=25%,D20,MIN(E20:F20))</f>
        <v>34.24</v>
      </c>
      <c r="F3" s="35">
        <f>MIN(H3:H17)</f>
        <v>25.9</v>
      </c>
      <c r="G3" s="5" t="s">
        <v>69</v>
      </c>
      <c r="H3" s="16">
        <v>54.9</v>
      </c>
      <c r="I3" s="17" t="str">
        <f>IF(H3="","",(IF($C$20&lt;25%,"n/a",IF(H3&lt;=($D$20+$A$20),H3,"Descartado"))))</f>
        <v>Descartado</v>
      </c>
    </row>
    <row r="4" spans="1:9" x14ac:dyDescent="0.25">
      <c r="A4" s="36"/>
      <c r="B4" s="33"/>
      <c r="C4" s="34"/>
      <c r="D4" s="34"/>
      <c r="E4" s="35"/>
      <c r="F4" s="35"/>
      <c r="G4" s="5" t="s">
        <v>143</v>
      </c>
      <c r="H4" s="16">
        <v>41.3</v>
      </c>
      <c r="I4" s="17">
        <f t="shared" ref="I4:I17" si="0">IF(H4="","",(IF($C$20&lt;25%,"n/a",IF(H4&lt;=($D$20+$A$20),H4,"Descartado"))))</f>
        <v>41.3</v>
      </c>
    </row>
    <row r="5" spans="1:9" x14ac:dyDescent="0.25">
      <c r="A5" s="36"/>
      <c r="B5" s="33"/>
      <c r="C5" s="34"/>
      <c r="D5" s="34"/>
      <c r="E5" s="35"/>
      <c r="F5" s="35"/>
      <c r="G5" s="5" t="s">
        <v>144</v>
      </c>
      <c r="H5" s="16">
        <v>25.9</v>
      </c>
      <c r="I5" s="17">
        <f t="shared" si="0"/>
        <v>25.9</v>
      </c>
    </row>
    <row r="6" spans="1:9" x14ac:dyDescent="0.25">
      <c r="A6" s="36"/>
      <c r="B6" s="33"/>
      <c r="C6" s="34"/>
      <c r="D6" s="34"/>
      <c r="E6" s="35"/>
      <c r="F6" s="35"/>
      <c r="G6" s="5" t="s">
        <v>145</v>
      </c>
      <c r="H6" s="16">
        <v>29.9</v>
      </c>
      <c r="I6" s="17">
        <f t="shared" si="0"/>
        <v>29.9</v>
      </c>
    </row>
    <row r="7" spans="1:9" x14ac:dyDescent="0.25">
      <c r="A7" s="36"/>
      <c r="B7" s="33"/>
      <c r="C7" s="34"/>
      <c r="D7" s="34"/>
      <c r="E7" s="35"/>
      <c r="F7" s="35"/>
      <c r="G7" s="5" t="s">
        <v>70</v>
      </c>
      <c r="H7" s="16">
        <v>38.9</v>
      </c>
      <c r="I7" s="17">
        <f t="shared" si="0"/>
        <v>38.9</v>
      </c>
    </row>
    <row r="8" spans="1:9" x14ac:dyDescent="0.25">
      <c r="A8" s="36"/>
      <c r="B8" s="33"/>
      <c r="C8" s="34"/>
      <c r="D8" s="34"/>
      <c r="E8" s="35"/>
      <c r="F8" s="35"/>
      <c r="G8" s="5" t="s">
        <v>146</v>
      </c>
      <c r="H8" s="16">
        <v>35.200000000000003</v>
      </c>
      <c r="I8" s="17">
        <f t="shared" si="0"/>
        <v>35.200000000000003</v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10.164333065512276</v>
      </c>
      <c r="B20" s="8">
        <f>COUNT(H3:H17)</f>
        <v>6</v>
      </c>
      <c r="C20" s="9">
        <f>IF(B20&lt;2,"n/a",(A20/D20))</f>
        <v>0.26975406224820264</v>
      </c>
      <c r="D20" s="10">
        <f>IFERROR(ROUND(AVERAGE(H3:H17),2),"")</f>
        <v>37.68</v>
      </c>
      <c r="E20" s="15">
        <f>IFERROR(ROUND(IF(B20&lt;2,"n/a",(IF(C20&lt;=25%,"n/a",AVERAGE(I3:I17)))),2),"n/a")</f>
        <v>34.24</v>
      </c>
      <c r="F20" s="10">
        <f>IFERROR(ROUND(MEDIAN(H3:H17),2),"")</f>
        <v>37.049999999999997</v>
      </c>
      <c r="G20" s="11" t="str">
        <f>IFERROR(INDEX(G3:G17,MATCH(H20,H3:H17,0)),"")</f>
        <v xml:space="preserve">FERREIRA COSTA </v>
      </c>
      <c r="H20" s="12">
        <f>F3</f>
        <v>25.9</v>
      </c>
    </row>
    <row r="22" spans="1:9" x14ac:dyDescent="0.25">
      <c r="G22" s="13" t="s">
        <v>20</v>
      </c>
      <c r="H22" s="14">
        <f>IF(C20&lt;=25%,D20,MIN(E20:F20))</f>
        <v>34.24</v>
      </c>
    </row>
    <row r="23" spans="1:9" x14ac:dyDescent="0.25">
      <c r="G23" s="13" t="s">
        <v>6</v>
      </c>
      <c r="H23" s="14">
        <f>ROUND(H22,2)*D3</f>
        <v>1027.2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32</v>
      </c>
      <c r="B3" s="32" t="s">
        <v>66</v>
      </c>
      <c r="C3" s="34" t="s">
        <v>7</v>
      </c>
      <c r="D3" s="34">
        <v>400</v>
      </c>
      <c r="E3" s="35">
        <f>IF(C20&lt;=25%,D20,MIN(E20:F20))</f>
        <v>150.66</v>
      </c>
      <c r="F3" s="35">
        <f>MIN(H3:H17)</f>
        <v>132.94</v>
      </c>
      <c r="G3" s="5" t="s">
        <v>73</v>
      </c>
      <c r="H3" s="16">
        <v>155.1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147</v>
      </c>
      <c r="H4" s="16">
        <v>148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148</v>
      </c>
      <c r="H5" s="16">
        <v>132.94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71</v>
      </c>
      <c r="H6" s="16">
        <v>166.6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14.081562413311953</v>
      </c>
      <c r="B20" s="8">
        <f>COUNT(H3:H17)</f>
        <v>4</v>
      </c>
      <c r="C20" s="9">
        <f>IF(B20&lt;2,"n/a",(A20/D20))</f>
        <v>9.3465833089817832E-2</v>
      </c>
      <c r="D20" s="10">
        <f>IFERROR(ROUND(AVERAGE(H3:H17),2),"")</f>
        <v>150.66</v>
      </c>
      <c r="E20" s="15" t="str">
        <f>IFERROR(ROUND(IF(B20&lt;2,"n/a",(IF(C20&lt;=25%,"n/a",AVERAGE(I3:I17)))),2),"n/a")</f>
        <v>n/a</v>
      </c>
      <c r="F20" s="10">
        <f>IFERROR(ROUND(MEDIAN(H3:H17),2),"")</f>
        <v>151.55000000000001</v>
      </c>
      <c r="G20" s="11" t="str">
        <f>IFERROR(INDEX(G3:G17,MATCH(H20,H3:H17,0)),"")</f>
        <v>HDF SHOP</v>
      </c>
      <c r="H20" s="12">
        <f>F3</f>
        <v>132.94</v>
      </c>
    </row>
    <row r="22" spans="1:9" x14ac:dyDescent="0.25">
      <c r="G22" s="13" t="s">
        <v>20</v>
      </c>
      <c r="H22" s="14">
        <f>IF(C20&lt;=25%,D20,MIN(E20:F20))</f>
        <v>150.66</v>
      </c>
    </row>
    <row r="23" spans="1:9" x14ac:dyDescent="0.25">
      <c r="G23" s="13" t="s">
        <v>6</v>
      </c>
      <c r="H23" s="14">
        <f>ROUND(H22,2)*D3</f>
        <v>60264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33</v>
      </c>
      <c r="B3" s="32" t="s">
        <v>67</v>
      </c>
      <c r="C3" s="34" t="s">
        <v>7</v>
      </c>
      <c r="D3" s="34">
        <f>300-Item39!D3</f>
        <v>225</v>
      </c>
      <c r="E3" s="35">
        <f>IF(C20&lt;=25%,D20,MIN(E20:F20))</f>
        <v>919.45</v>
      </c>
      <c r="F3" s="35">
        <f>MIN(H3:H17)</f>
        <v>724.14</v>
      </c>
      <c r="G3" s="5" t="s">
        <v>149</v>
      </c>
      <c r="H3" s="16">
        <v>724.14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150</v>
      </c>
      <c r="H4" s="16">
        <v>837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72</v>
      </c>
      <c r="H5" s="16">
        <v>799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73</v>
      </c>
      <c r="H6" s="16">
        <v>1088.0999999999999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151</v>
      </c>
      <c r="H7" s="16">
        <v>1148.99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187.47242138512047</v>
      </c>
      <c r="B20" s="8">
        <f>COUNT(H3:H17)</f>
        <v>5</v>
      </c>
      <c r="C20" s="9">
        <f>IF(B20&lt;2,"n/a",(A20/D20))</f>
        <v>0.20389626557737828</v>
      </c>
      <c r="D20" s="10">
        <f>IFERROR(ROUND(AVERAGE(H3:H17),2),"")</f>
        <v>919.45</v>
      </c>
      <c r="E20" s="15" t="str">
        <f>IFERROR(ROUND(IF(B20&lt;2,"n/a",(IF(C20&lt;=25%,"n/a",AVERAGE(I3:I17)))),2),"n/a")</f>
        <v>n/a</v>
      </c>
      <c r="F20" s="10">
        <f>IFERROR(ROUND(MEDIAN(H3:H17),2),"")</f>
        <v>837</v>
      </c>
      <c r="G20" s="11" t="str">
        <f>IFERROR(INDEX(G3:G17,MATCH(H20,H3:H17,0)),"")</f>
        <v>TIMIX</v>
      </c>
      <c r="H20" s="12">
        <f>F3</f>
        <v>724.14</v>
      </c>
    </row>
    <row r="22" spans="1:9" x14ac:dyDescent="0.25">
      <c r="G22" s="13" t="s">
        <v>20</v>
      </c>
      <c r="H22" s="14">
        <f>IF(C20&lt;=25%,D20,MIN(E20:F20))</f>
        <v>919.45</v>
      </c>
    </row>
    <row r="23" spans="1:9" x14ac:dyDescent="0.25">
      <c r="G23" s="13" t="s">
        <v>6</v>
      </c>
      <c r="H23" s="14">
        <f>ROUND(H22,2)*D3</f>
        <v>206876.25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34</v>
      </c>
      <c r="B3" s="32" t="s">
        <v>68</v>
      </c>
      <c r="C3" s="34" t="s">
        <v>7</v>
      </c>
      <c r="D3" s="34">
        <v>20</v>
      </c>
      <c r="E3" s="35">
        <f>IF(C20&lt;=25%,D20,MIN(E20:F20))</f>
        <v>1326.82</v>
      </c>
      <c r="F3" s="35">
        <f>MIN(H3:H17)</f>
        <v>1198</v>
      </c>
      <c r="G3" s="5" t="s">
        <v>73</v>
      </c>
      <c r="H3" s="16">
        <v>1329.05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137</v>
      </c>
      <c r="H4" s="16">
        <v>1498.99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91</v>
      </c>
      <c r="H5" s="16">
        <v>1409.06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74</v>
      </c>
      <c r="H6" s="16">
        <v>1199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71</v>
      </c>
      <c r="H7" s="16">
        <v>1198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131.66571706408618</v>
      </c>
      <c r="B20" s="8">
        <f>COUNT(H3:H17)</f>
        <v>5</v>
      </c>
      <c r="C20" s="9">
        <f>IF(B20&lt;2,"n/a",(A20/D20))</f>
        <v>9.9234046113328242E-2</v>
      </c>
      <c r="D20" s="10">
        <f>IFERROR(ROUND(AVERAGE(H3:H17),2),"")</f>
        <v>1326.82</v>
      </c>
      <c r="E20" s="15" t="str">
        <f>IFERROR(ROUND(IF(B20&lt;2,"n/a",(IF(C20&lt;=25%,"n/a",AVERAGE(I3:I17)))),2),"n/a")</f>
        <v>n/a</v>
      </c>
      <c r="F20" s="10">
        <f>IFERROR(ROUND(MEDIAN(H3:H17),2),"")</f>
        <v>1329.05</v>
      </c>
      <c r="G20" s="11" t="str">
        <f>IFERROR(INDEX(G3:G17,MATCH(H20,H3:H17,0)),"")</f>
        <v>CARREFOUR</v>
      </c>
      <c r="H20" s="12">
        <f>F3</f>
        <v>1198</v>
      </c>
    </row>
    <row r="22" spans="1:9" x14ac:dyDescent="0.25">
      <c r="G22" s="13" t="s">
        <v>20</v>
      </c>
      <c r="H22" s="14">
        <f>IF(C20&lt;=25%,D20,MIN(E20:F20))</f>
        <v>1326.82</v>
      </c>
    </row>
    <row r="23" spans="1:9" x14ac:dyDescent="0.25">
      <c r="G23" s="13" t="s">
        <v>6</v>
      </c>
      <c r="H23" s="14">
        <f>ROUND(H22,2)*D3</f>
        <v>26536.399999999998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35</v>
      </c>
      <c r="B3" s="32" t="s">
        <v>35</v>
      </c>
      <c r="C3" s="34" t="s">
        <v>7</v>
      </c>
      <c r="D3" s="34">
        <f>140-Item1!D3</f>
        <v>35</v>
      </c>
      <c r="E3" s="35">
        <f>IF(C20&lt;=25%,D20,MIN(E20:F20))</f>
        <v>1015.33</v>
      </c>
      <c r="F3" s="35">
        <f>MIN(H3:H17)</f>
        <v>939.06</v>
      </c>
      <c r="G3" s="5" t="s">
        <v>69</v>
      </c>
      <c r="H3" s="16">
        <v>1059.72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70</v>
      </c>
      <c r="H4" s="16">
        <v>999.9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71</v>
      </c>
      <c r="H5" s="16">
        <v>998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72</v>
      </c>
      <c r="H6" s="16">
        <v>1079.96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73</v>
      </c>
      <c r="H7" s="16">
        <v>939.06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55.908487012259634</v>
      </c>
      <c r="B20" s="8">
        <f>COUNT(H3:H17)</f>
        <v>5</v>
      </c>
      <c r="C20" s="9">
        <f>IF(B20&lt;2,"n/a",(A20/D20))</f>
        <v>5.5064350518806329E-2</v>
      </c>
      <c r="D20" s="10">
        <f>IFERROR(ROUND(AVERAGE(H3:H17),2),"")</f>
        <v>1015.33</v>
      </c>
      <c r="E20" s="15" t="str">
        <f>IFERROR(ROUND(IF(B20&lt;2,"n/a",(IF(C20&lt;=25%,"n/a",AVERAGE(I3:I17)))),2),"n/a")</f>
        <v>n/a</v>
      </c>
      <c r="F20" s="10">
        <f>IFERROR(ROUND(MEDIAN(H3:H17),2),"")</f>
        <v>999.9</v>
      </c>
      <c r="G20" s="11" t="str">
        <f>IFERROR(INDEX(G3:G17,MATCH(H20,H3:H17,0)),"")</f>
        <v>MAGAZINE LUIZA</v>
      </c>
      <c r="H20" s="12">
        <f>F3</f>
        <v>939.06</v>
      </c>
    </row>
    <row r="22" spans="1:9" x14ac:dyDescent="0.25">
      <c r="G22" s="13" t="s">
        <v>20</v>
      </c>
      <c r="H22" s="14">
        <f>IF(C20&lt;=25%,D20,MIN(E20:F20))</f>
        <v>1015.33</v>
      </c>
    </row>
    <row r="23" spans="1:9" x14ac:dyDescent="0.25">
      <c r="G23" s="13" t="s">
        <v>6</v>
      </c>
      <c r="H23" s="14">
        <f>ROUND(H22,2)*D3</f>
        <v>35536.550000000003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36</v>
      </c>
      <c r="B3" s="32" t="s">
        <v>37</v>
      </c>
      <c r="C3" s="34" t="s">
        <v>7</v>
      </c>
      <c r="D3" s="34">
        <f>500*0.25</f>
        <v>125</v>
      </c>
      <c r="E3" s="35">
        <f>IF(C20&lt;=25%,D20,MIN(E20:F20))</f>
        <v>308.70999999999998</v>
      </c>
      <c r="F3" s="35">
        <f>MIN(H3:H17)</f>
        <v>193.62</v>
      </c>
      <c r="G3" s="5" t="s">
        <v>76</v>
      </c>
      <c r="H3" s="16">
        <v>339.68</v>
      </c>
      <c r="I3" s="17">
        <f>IF(H3="","",(IF($C$20&lt;25%,"n/a",IF(H3&lt;=($D$20+$A$20),H3,"Descartado"))))</f>
        <v>339.68</v>
      </c>
    </row>
    <row r="4" spans="1:9" x14ac:dyDescent="0.25">
      <c r="A4" s="36"/>
      <c r="B4" s="33"/>
      <c r="C4" s="34"/>
      <c r="D4" s="34"/>
      <c r="E4" s="35"/>
      <c r="F4" s="35"/>
      <c r="G4" s="5" t="s">
        <v>77</v>
      </c>
      <c r="H4" s="16">
        <v>387.98</v>
      </c>
      <c r="I4" s="17">
        <f t="shared" ref="I4:I17" si="0">IF(H4="","",(IF($C$20&lt;25%,"n/a",IF(H4&lt;=($D$20+$A$20),H4,"Descartado"))))</f>
        <v>387.98</v>
      </c>
    </row>
    <row r="5" spans="1:9" x14ac:dyDescent="0.25">
      <c r="A5" s="36"/>
      <c r="B5" s="33"/>
      <c r="C5" s="34"/>
      <c r="D5" s="34"/>
      <c r="E5" s="35"/>
      <c r="F5" s="35"/>
      <c r="G5" s="5" t="s">
        <v>73</v>
      </c>
      <c r="H5" s="16">
        <v>193.62</v>
      </c>
      <c r="I5" s="17">
        <f t="shared" si="0"/>
        <v>193.62</v>
      </c>
    </row>
    <row r="6" spans="1:9" x14ac:dyDescent="0.25">
      <c r="A6" s="36"/>
      <c r="B6" s="33"/>
      <c r="C6" s="34"/>
      <c r="D6" s="34"/>
      <c r="E6" s="35"/>
      <c r="F6" s="35"/>
      <c r="G6" s="5" t="s">
        <v>78</v>
      </c>
      <c r="H6" s="16">
        <v>565.9</v>
      </c>
      <c r="I6" s="17" t="str">
        <f t="shared" si="0"/>
        <v>Descartado</v>
      </c>
    </row>
    <row r="7" spans="1:9" x14ac:dyDescent="0.25">
      <c r="A7" s="36"/>
      <c r="B7" s="33"/>
      <c r="C7" s="34"/>
      <c r="D7" s="34"/>
      <c r="E7" s="35"/>
      <c r="F7" s="35"/>
      <c r="G7" s="5" t="s">
        <v>69</v>
      </c>
      <c r="H7" s="16">
        <v>313.57</v>
      </c>
      <c r="I7" s="17">
        <f t="shared" si="0"/>
        <v>313.57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135.4884954525659</v>
      </c>
      <c r="B20" s="8">
        <f>COUNT(H3:H17)</f>
        <v>5</v>
      </c>
      <c r="C20" s="9">
        <f>IF(B20&lt;2,"n/a",(A20/D20))</f>
        <v>0.37620018173695935</v>
      </c>
      <c r="D20" s="10">
        <f>IFERROR(ROUND(AVERAGE(H3:H17),2),"")</f>
        <v>360.15</v>
      </c>
      <c r="E20" s="15">
        <f>IFERROR(ROUND(IF(B20&lt;2,"n/a",(IF(C20&lt;=25%,"n/a",AVERAGE(I3:I17)))),2),"n/a")</f>
        <v>308.70999999999998</v>
      </c>
      <c r="F20" s="10">
        <f>IFERROR(ROUND(MEDIAN(H3:H17),2),"")</f>
        <v>339.68</v>
      </c>
      <c r="G20" s="11" t="str">
        <f>IFERROR(INDEX(G3:G17,MATCH(H20,H3:H17,0)),"")</f>
        <v>MAGAZINE LUIZA</v>
      </c>
      <c r="H20" s="12">
        <f>F3</f>
        <v>193.62</v>
      </c>
    </row>
    <row r="22" spans="1:9" x14ac:dyDescent="0.25">
      <c r="G22" s="13" t="s">
        <v>20</v>
      </c>
      <c r="H22" s="14">
        <f>IF(C20&lt;=25%,D20,MIN(E20:F20))</f>
        <v>308.70999999999998</v>
      </c>
    </row>
    <row r="23" spans="1:9" x14ac:dyDescent="0.25">
      <c r="G23" s="13" t="s">
        <v>6</v>
      </c>
      <c r="H23" s="14">
        <f>ROUND(H22,2)*D3</f>
        <v>38588.75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37</v>
      </c>
      <c r="B3" s="32" t="s">
        <v>43</v>
      </c>
      <c r="C3" s="34" t="s">
        <v>7</v>
      </c>
      <c r="D3" s="34">
        <f>(60+20)*0.25</f>
        <v>20</v>
      </c>
      <c r="E3" s="35">
        <f>IF(C20&lt;=25%,D20,MIN(E20:F20))</f>
        <v>1242.1600000000001</v>
      </c>
      <c r="F3" s="35">
        <f>MIN(H3:H17)</f>
        <v>1038.96</v>
      </c>
      <c r="G3" s="5" t="s">
        <v>95</v>
      </c>
      <c r="H3" s="16">
        <v>1329.91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96</v>
      </c>
      <c r="H4" s="16">
        <v>1253.05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88</v>
      </c>
      <c r="H5" s="16">
        <v>1189.9000000000001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97</v>
      </c>
      <c r="H6" s="16">
        <v>1038.96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98</v>
      </c>
      <c r="H7" s="16">
        <v>1399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138.23782742071722</v>
      </c>
      <c r="B20" s="8">
        <f>COUNT(H3:H17)</f>
        <v>5</v>
      </c>
      <c r="C20" s="9">
        <f>IF(B20&lt;2,"n/a",(A20/D20))</f>
        <v>0.11128826191530658</v>
      </c>
      <c r="D20" s="10">
        <f>IFERROR(ROUND(AVERAGE(H3:H17),2),"")</f>
        <v>1242.1600000000001</v>
      </c>
      <c r="E20" s="15" t="str">
        <f>IFERROR(ROUND(IF(B20&lt;2,"n/a",(IF(C20&lt;=25%,"n/a",AVERAGE(I3:I17)))),2),"n/a")</f>
        <v>n/a</v>
      </c>
      <c r="F20" s="10">
        <f>IFERROR(ROUND(MEDIAN(H3:H17),2),"")</f>
        <v>1253.05</v>
      </c>
      <c r="G20" s="11" t="str">
        <f>IFERROR(INDEX(G3:G17,MATCH(H20,H3:H17,0)),"")</f>
        <v>KABUM</v>
      </c>
      <c r="H20" s="12">
        <f>F3</f>
        <v>1038.96</v>
      </c>
    </row>
    <row r="22" spans="1:9" x14ac:dyDescent="0.25">
      <c r="G22" s="13" t="s">
        <v>20</v>
      </c>
      <c r="H22" s="14">
        <f>IF(C20&lt;=25%,D20,MIN(E20:F20))</f>
        <v>1242.1600000000001</v>
      </c>
    </row>
    <row r="23" spans="1:9" x14ac:dyDescent="0.25">
      <c r="G23" s="13" t="s">
        <v>6</v>
      </c>
      <c r="H23" s="14">
        <f>ROUND(H22,2)*D3</f>
        <v>24843.200000000001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38</v>
      </c>
      <c r="B3" s="32" t="s">
        <v>59</v>
      </c>
      <c r="C3" s="34" t="s">
        <v>7</v>
      </c>
      <c r="D3" s="34">
        <v>2</v>
      </c>
      <c r="E3" s="35">
        <f>IF(C20&lt;=25%,D20,MIN(E20:F20))</f>
        <v>33782.480000000003</v>
      </c>
      <c r="F3" s="35">
        <f>MIN(H3:H17)</f>
        <v>28990</v>
      </c>
      <c r="G3" s="5" t="s">
        <v>131</v>
      </c>
      <c r="H3" s="16">
        <v>37050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132</v>
      </c>
      <c r="H4" s="16">
        <v>28990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133</v>
      </c>
      <c r="H5" s="16">
        <v>34999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134</v>
      </c>
      <c r="H6" s="16">
        <v>34090.92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3426.3492546635302</v>
      </c>
      <c r="B20" s="8">
        <f>COUNT(H3:H17)</f>
        <v>4</v>
      </c>
      <c r="C20" s="9">
        <f>IF(B20&lt;2,"n/a",(A20/D20))</f>
        <v>0.10142385208734024</v>
      </c>
      <c r="D20" s="10">
        <f>IFERROR(ROUND(AVERAGE(H3:H17),2),"")</f>
        <v>33782.480000000003</v>
      </c>
      <c r="E20" s="15" t="str">
        <f>IFERROR(ROUND(IF(B20&lt;2,"n/a",(IF(C20&lt;=25%,"n/a",AVERAGE(I3:I17)))),2),"n/a")</f>
        <v>n/a</v>
      </c>
      <c r="F20" s="10">
        <f>IFERROR(ROUND(MEDIAN(H3:H17),2),"")</f>
        <v>34544.959999999999</v>
      </c>
      <c r="G20" s="11" t="str">
        <f>IFERROR(INDEX(G3:G17,MATCH(H20,H3:H17,0)),"")</f>
        <v>HTCLICK</v>
      </c>
      <c r="H20" s="12">
        <f>F3</f>
        <v>28990</v>
      </c>
    </row>
    <row r="22" spans="1:9" x14ac:dyDescent="0.25">
      <c r="G22" s="13" t="s">
        <v>20</v>
      </c>
      <c r="H22" s="14">
        <f>IF(C20&lt;=25%,D20,MIN(E20:F20))</f>
        <v>33782.480000000003</v>
      </c>
    </row>
    <row r="23" spans="1:9" x14ac:dyDescent="0.25">
      <c r="G23" s="13" t="s">
        <v>6</v>
      </c>
      <c r="H23" s="14">
        <f>ROUND(H22,2)*D3</f>
        <v>67564.960000000006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39</v>
      </c>
      <c r="B3" s="32" t="s">
        <v>67</v>
      </c>
      <c r="C3" s="34" t="s">
        <v>7</v>
      </c>
      <c r="D3" s="34">
        <f>300*0.25</f>
        <v>75</v>
      </c>
      <c r="E3" s="35">
        <f>IF(C20&lt;=25%,D20,MIN(E20:F20))</f>
        <v>919.45</v>
      </c>
      <c r="F3" s="35">
        <f>MIN(H3:H17)</f>
        <v>724.14</v>
      </c>
      <c r="G3" s="5" t="s">
        <v>149</v>
      </c>
      <c r="H3" s="16">
        <v>724.14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150</v>
      </c>
      <c r="H4" s="16">
        <v>837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72</v>
      </c>
      <c r="H5" s="16">
        <v>799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73</v>
      </c>
      <c r="H6" s="16">
        <v>1088.0999999999999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151</v>
      </c>
      <c r="H7" s="16">
        <v>1148.99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187.47242138512047</v>
      </c>
      <c r="B20" s="8">
        <f>COUNT(H3:H17)</f>
        <v>5</v>
      </c>
      <c r="C20" s="9">
        <f>IF(B20&lt;2,"n/a",(A20/D20))</f>
        <v>0.20389626557737828</v>
      </c>
      <c r="D20" s="10">
        <f>IFERROR(ROUND(AVERAGE(H3:H17),2),"")</f>
        <v>919.45</v>
      </c>
      <c r="E20" s="15" t="str">
        <f>IFERROR(ROUND(IF(B20&lt;2,"n/a",(IF(C20&lt;=25%,"n/a",AVERAGE(I3:I17)))),2),"n/a")</f>
        <v>n/a</v>
      </c>
      <c r="F20" s="10">
        <f>IFERROR(ROUND(MEDIAN(H3:H17),2),"")</f>
        <v>837</v>
      </c>
      <c r="G20" s="11" t="str">
        <f>IFERROR(INDEX(G3:G17,MATCH(H20,H3:H17,0)),"")</f>
        <v>TIMIX</v>
      </c>
      <c r="H20" s="12">
        <f>F3</f>
        <v>724.14</v>
      </c>
    </row>
    <row r="22" spans="1:9" x14ac:dyDescent="0.25">
      <c r="G22" s="13" t="s">
        <v>20</v>
      </c>
      <c r="H22" s="14">
        <f>IF(C20&lt;=25%,D20,MIN(E20:F20))</f>
        <v>919.45</v>
      </c>
    </row>
    <row r="23" spans="1:9" x14ac:dyDescent="0.25">
      <c r="G23" s="13" t="s">
        <v>6</v>
      </c>
      <c r="H23" s="14">
        <f>ROUND(H22,2)*D3</f>
        <v>68958.75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4</v>
      </c>
      <c r="B3" s="32" t="s">
        <v>38</v>
      </c>
      <c r="C3" s="34" t="s">
        <v>7</v>
      </c>
      <c r="D3" s="34">
        <v>10</v>
      </c>
      <c r="E3" s="35">
        <f>IF(C20&lt;=25%,D20,MIN(E20:F20))</f>
        <v>744.98</v>
      </c>
      <c r="F3" s="35">
        <f>MIN(H3:H17)</f>
        <v>629</v>
      </c>
      <c r="G3" s="5" t="s">
        <v>79</v>
      </c>
      <c r="H3" s="16">
        <v>629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69</v>
      </c>
      <c r="H4" s="16">
        <v>777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80</v>
      </c>
      <c r="H5" s="16">
        <v>669.9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81</v>
      </c>
      <c r="H6" s="16">
        <v>860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82</v>
      </c>
      <c r="H7" s="16">
        <v>789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93.916196686194539</v>
      </c>
      <c r="B20" s="8">
        <f>COUNT(H3:H17)</f>
        <v>5</v>
      </c>
      <c r="C20" s="9">
        <f>IF(B20&lt;2,"n/a",(A20/D20))</f>
        <v>0.12606539328061764</v>
      </c>
      <c r="D20" s="10">
        <f>IFERROR(ROUND(AVERAGE(H3:H17),2),"")</f>
        <v>744.98</v>
      </c>
      <c r="E20" s="15" t="str">
        <f>IFERROR(ROUND(IF(B20&lt;2,"n/a",(IF(C20&lt;=25%,"n/a",AVERAGE(I3:I17)))),2),"n/a")</f>
        <v>n/a</v>
      </c>
      <c r="F20" s="10">
        <f>IFERROR(ROUND(MEDIAN(H3:H17),2),"")</f>
        <v>777</v>
      </c>
      <c r="G20" s="11" t="str">
        <f>IFERROR(INDEX(G3:G17,MATCH(H20,H3:H17,0)),"")</f>
        <v>CENTRAL SUPORTES</v>
      </c>
      <c r="H20" s="12">
        <f>F3</f>
        <v>629</v>
      </c>
    </row>
    <row r="22" spans="1:9" x14ac:dyDescent="0.25">
      <c r="G22" s="13" t="s">
        <v>20</v>
      </c>
      <c r="H22" s="14">
        <f>IF(C20&lt;=25%,D20,MIN(E20:F20))</f>
        <v>744.98</v>
      </c>
    </row>
    <row r="23" spans="1:9" x14ac:dyDescent="0.25">
      <c r="G23" s="13" t="s">
        <v>6</v>
      </c>
      <c r="H23" s="14">
        <f>ROUND(H22,2)*D3</f>
        <v>7449.8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40</v>
      </c>
      <c r="B3" s="32"/>
      <c r="C3" s="34" t="s">
        <v>7</v>
      </c>
      <c r="D3" s="34"/>
      <c r="E3" s="35">
        <f>IF(C20&lt;=25%,D20,MIN(E20:F20))</f>
        <v>0</v>
      </c>
      <c r="F3" s="35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6"/>
      <c r="B4" s="33"/>
      <c r="C4" s="34"/>
      <c r="D4" s="34"/>
      <c r="E4" s="35"/>
      <c r="F4" s="35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6"/>
      <c r="B5" s="33"/>
      <c r="C5" s="34"/>
      <c r="D5" s="34"/>
      <c r="E5" s="35"/>
      <c r="F5" s="35"/>
      <c r="G5" s="5"/>
      <c r="H5" s="16"/>
      <c r="I5" s="17" t="str">
        <f t="shared" si="0"/>
        <v/>
      </c>
    </row>
    <row r="6" spans="1:9" x14ac:dyDescent="0.25">
      <c r="A6" s="36"/>
      <c r="B6" s="33"/>
      <c r="C6" s="34"/>
      <c r="D6" s="34"/>
      <c r="E6" s="35"/>
      <c r="F6" s="35"/>
      <c r="G6" s="5"/>
      <c r="H6" s="16"/>
      <c r="I6" s="17" t="str">
        <f t="shared" si="0"/>
        <v/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6">
        <v>41</v>
      </c>
      <c r="B3" s="32"/>
      <c r="C3" s="34" t="s">
        <v>7</v>
      </c>
      <c r="D3" s="34"/>
      <c r="E3" s="35">
        <f>IF(C20&lt;=25%,D20,MIN(E20:F20))</f>
        <v>0</v>
      </c>
      <c r="F3" s="35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6"/>
      <c r="B4" s="33"/>
      <c r="C4" s="34"/>
      <c r="D4" s="34"/>
      <c r="E4" s="35"/>
      <c r="F4" s="35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6"/>
      <c r="B5" s="33"/>
      <c r="C5" s="34"/>
      <c r="D5" s="34"/>
      <c r="E5" s="35"/>
      <c r="F5" s="35"/>
      <c r="G5" s="5"/>
      <c r="H5" s="16"/>
      <c r="I5" s="17" t="str">
        <f t="shared" si="0"/>
        <v/>
      </c>
    </row>
    <row r="6" spans="1:9" x14ac:dyDescent="0.25">
      <c r="A6" s="36"/>
      <c r="B6" s="33"/>
      <c r="C6" s="34"/>
      <c r="D6" s="34"/>
      <c r="E6" s="35"/>
      <c r="F6" s="35"/>
      <c r="G6" s="5"/>
      <c r="H6" s="16"/>
      <c r="I6" s="17" t="str">
        <f t="shared" si="0"/>
        <v/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30" t="s">
        <v>19</v>
      </c>
      <c r="H19" s="30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zoomScaleNormal="100" zoomScaleSheetLayoutView="100" workbookViewId="0">
      <selection activeCell="F38" sqref="F38"/>
    </sheetView>
  </sheetViews>
  <sheetFormatPr defaultRowHeight="15" x14ac:dyDescent="0.25"/>
  <cols>
    <col min="1" max="2" width="6.7109375" style="1" customWidth="1"/>
    <col min="3" max="3" width="36.7109375" style="4" customWidth="1"/>
    <col min="4" max="6" width="12.7109375" style="1" customWidth="1"/>
    <col min="7" max="7" width="9.28515625" style="1" bestFit="1" customWidth="1"/>
    <col min="8" max="9" width="15.7109375" style="1" customWidth="1"/>
    <col min="10" max="16384" width="9.140625" style="1"/>
  </cols>
  <sheetData>
    <row r="1" spans="1:9" ht="15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 ht="36" x14ac:dyDescent="0.25">
      <c r="A2" s="6" t="s">
        <v>29</v>
      </c>
      <c r="B2" s="6" t="s">
        <v>1</v>
      </c>
      <c r="C2" s="6" t="s">
        <v>2</v>
      </c>
      <c r="D2" s="6" t="s">
        <v>3</v>
      </c>
      <c r="E2" s="29" t="s">
        <v>153</v>
      </c>
      <c r="F2" s="29" t="s">
        <v>154</v>
      </c>
      <c r="G2" s="6" t="s">
        <v>152</v>
      </c>
      <c r="H2" s="6" t="s">
        <v>5</v>
      </c>
      <c r="I2" s="6" t="s">
        <v>30</v>
      </c>
    </row>
    <row r="3" spans="1:9" ht="345" x14ac:dyDescent="0.25">
      <c r="A3" s="25" t="s">
        <v>34</v>
      </c>
      <c r="B3" s="25">
        <f>Item1!A3</f>
        <v>1</v>
      </c>
      <c r="C3" s="27" t="str">
        <f>Item1!B3</f>
        <v>TELEVISOR LED, com as seguintes características:
• Diagonal entre 30 a 32 polegadas;
• Conversor digital integrado;
• Cor preta;
• Fonte bivolt 110-220 V;
•     Conexões:
 Mínimo de 1 (uma) entrada HDMI;
 Mínimo de 1 (uma) entrada USB 2.0 ou superior com capacidade de reprodução de áudio, vídeo e musicas em alta resolução direto de dispositivo USB (Pen Drive);
 Mínimo de 1(uma) entrada de áudio/vídeo;
 Mínimo de uma entrada RF para TV aberta.
• Controle remoto munido das pilhas necessárias para o primeiro uso;
• Acompanhado de base para uso em mesa;
• Manual em português;
• Garantia de, no mínimo, 360 dias.</v>
      </c>
      <c r="D3" s="25" t="str">
        <f>Item1!C3</f>
        <v>unidade</v>
      </c>
      <c r="E3" s="25">
        <f>G3-F3</f>
        <v>85</v>
      </c>
      <c r="F3" s="40">
        <v>20</v>
      </c>
      <c r="G3" s="25">
        <f>Item1!D3</f>
        <v>105</v>
      </c>
      <c r="H3" s="26">
        <f>Item1!E3</f>
        <v>1015.33</v>
      </c>
      <c r="I3" s="26">
        <f>ROUND((G3*H3),2)</f>
        <v>106609.65</v>
      </c>
    </row>
    <row r="4" spans="1:9" ht="409.5" x14ac:dyDescent="0.25">
      <c r="A4" s="25" t="s">
        <v>34</v>
      </c>
      <c r="B4" s="25">
        <f>Item2!A3</f>
        <v>2</v>
      </c>
      <c r="C4" s="27" t="str">
        <f>Item2!B3</f>
        <v>SMART TV LED, com as seguintes características:
• Diagonal entre 55 a 60 polegadas;
• Cor preta;
• Resolução de imagem mínima Full HD;
• Conversor digital integrado;
• Fonte bivolt 110-220 V;
• Conexões:
 Mínimo de 2 (duas) entradas HDMI;
 Mínimo de 1 (uma) entrada USB 2.0 ou superior com capacidade de reprodução de áudio, vídeo e musicas em alta resolução direto de dispositivo USB (Pen Drive);
 Mínimo de 1 (uma) entrada de áudio/vídeo;
 Mínimo de uma entrada RF para TV aberta;
 Mínimo de uma entrada Ethernet (LAN);
 Wi-fi integrado;
• Controle remoto munido das pilhas necessárias;
• Alimentação bivolt: 110 – 220 V/60hz;
• Acompanhado de base para uso em mesa;
• Menu em Português;
• Garantia de, no mínimo, 360 dias.</v>
      </c>
      <c r="D4" s="25" t="str">
        <f>Item2!C3</f>
        <v>unidade</v>
      </c>
      <c r="E4" s="25">
        <f t="shared" ref="E4:E41" si="0">G4-F4</f>
        <v>8</v>
      </c>
      <c r="F4" s="40">
        <v>20</v>
      </c>
      <c r="G4" s="25">
        <f>Item2!D3</f>
        <v>28</v>
      </c>
      <c r="H4" s="26">
        <f>Item2!E3</f>
        <v>2590.6</v>
      </c>
      <c r="I4" s="26">
        <f t="shared" ref="I4:I29" si="1">ROUND((G4*H4),2)</f>
        <v>72536.800000000003</v>
      </c>
    </row>
    <row r="5" spans="1:9" ht="409.5" x14ac:dyDescent="0.25">
      <c r="A5" s="25" t="s">
        <v>34</v>
      </c>
      <c r="B5" s="25">
        <f>Item3!A3</f>
        <v>3</v>
      </c>
      <c r="C5" s="27" t="str">
        <f>Item3!B3</f>
        <v>APARELHO TELEFÔNICO IP Fixo – tipo 1, com as seguintes características:
• Terminal de comunicação IP composto por telefone, monofone, e acessórios para seu pleno funcionamento.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fixo.
• Possuir duas portas switch fast ethernet integradas internas, permitindo a conexão de um computador diretamente ao telefone IP fixo, nas velocidades de 10/100 Mbps, autosensing. Não será aceito o uso de adaptadores internos ou externos para as portas fast ethernet.
• Suportar PoE (Power over Ethernet) conforme a classificação do padrão IEEE 802.3af (calss1), suportando alimentação direta via interface ethernet.
• A porta do telefone IP deverá suportar mecanismo de qualidade de serviço e tronco de VLAN padrão 802.1q e 802.1p. Desta forma, o tráfego de dados e de voz utilizarão VLANs distintas.
• Certificado/homologado pela ANATEL.
• Possuir no mínimo os codecs G.711 e G.729.
• Permitir busca de configuração em servidores comuns por meio de protocolos padrão.
• Suportar o protocolo Session Initiation Protocol (SIP), não serão aceitos equipamentos híbridos com telefonia analógica ou que necessitem de adaptadores externos para o funcionamento.
• Possuir recurso de viva-voz bidirecional com cancelamento de eco.
• Permitir o ajuste de toque de chamada.
• Deve possuir ajuste de volume para fone, campainha e fone de ouvido.
• Deve possuir display de cristal líquido (LCD) monocromático, com iluminação de fundo, com resolução mínima de 128 x 32 pixels. Este display deve prover informações de data e hora, correio e voz, ícone de chamadas perdidas, detalhes da chamada durante uma ligação, histórico de chamadas efetuadas e recebidas e configurações do aparelho.
• Suportar o idioma Português (Brasil).
• Possuir recurso de geração de supressão de silêncio.
• A compressão dos canais de voz deve ser realizada no próprio aparelho.
• Permitir que se efetue transferência de chamadas internas e externas. O usuário poderá optar pela transferência de uma chamada recebida para um número interno ou externo.
• Possuir recurso que indique a existência de “chamada em espera”, informando ao usuário que há uma chamada entrante durante uma conversação.
• Permitir a rediscagem do último número discado.
• Possuir a tecla mute.
• Possuir recurso de discagem rápida para números pré-configurados pelo usuário.
• Suportar desvio automático de chamada para voicemail ou outro destino pré-configurado.
• Suportar conferência e captura de chamadas.
• Possuir fonte de energia compatível e do mesmo fabricante do telefone IP. A fonte deve operar na faixa de 110 Vac a 240 Vac, com chaveamento automático (conversão automática), frequência de 50-60 Hz e tomada padrão brasileiro.
• Garantia mínima de 36 (trinta e seis) meses.
• Referência: CISCO SIP PHONE 3905</v>
      </c>
      <c r="D5" s="25" t="str">
        <f>Item3!C3</f>
        <v>unidade</v>
      </c>
      <c r="E5" s="25">
        <f t="shared" si="0"/>
        <v>375</v>
      </c>
      <c r="F5" s="40">
        <v>0</v>
      </c>
      <c r="G5" s="25">
        <f>Item3!D3</f>
        <v>375</v>
      </c>
      <c r="H5" s="26">
        <f>Item3!E3</f>
        <v>308.70999999999998</v>
      </c>
      <c r="I5" s="26">
        <f t="shared" si="1"/>
        <v>115766.25</v>
      </c>
    </row>
    <row r="6" spans="1:9" ht="409.5" x14ac:dyDescent="0.25">
      <c r="A6" s="25" t="s">
        <v>34</v>
      </c>
      <c r="B6" s="25">
        <f>Item4!A3</f>
        <v>4</v>
      </c>
      <c r="C6" s="27" t="str">
        <f>Item4!B3</f>
        <v>SUPORTE PARA TV LED TIPO PEDESTAL DE PISO, com as seguintes características:
• Com regulagem de altura da TV;
• Compatível com TVs de 32 a 65 polegadas;
• Cor predominante preta ou grafite;
• Passagem interna para fiação;
• Com no mínimo uma bandeja de apoio para DVD e Notebook;
• Dimensões da bandeja (500mm x 290mm) (LxP). Admite-se variação de 100 mm na largura e de 100 mm na profundidade;
• Compatível com os seguintes padrões de furação VESA 200x100, 200x200, 200x300, 300x200, 300x300, 400x200, 400x300, 400x400, 600x200 ou 600x400mm (HxV);
• Parafusos para fixação da TV;
• Fabricado em aço carbono com acabamento em pintura eletrostática;
• Rodízio (rodas) para locomoção com trava;
• Mínimo de uma prateleira;
• Carga mínima suportada da TV: 45 kg ou superior;
• Carga mínima sobre a bandeja: 5 kg ou superior;
• Manual de instrução de português.
• Garantia de, no mínimo, 90 dias.</v>
      </c>
      <c r="D6" s="25" t="str">
        <f>Item4!C3</f>
        <v>unidade</v>
      </c>
      <c r="E6" s="25">
        <f t="shared" si="0"/>
        <v>10</v>
      </c>
      <c r="F6" s="40">
        <v>0</v>
      </c>
      <c r="G6" s="25">
        <f>Item4!D3</f>
        <v>10</v>
      </c>
      <c r="H6" s="26">
        <f>Item4!E3</f>
        <v>744.98</v>
      </c>
      <c r="I6" s="26">
        <f t="shared" si="1"/>
        <v>7449.8</v>
      </c>
    </row>
    <row r="7" spans="1:9" ht="135" x14ac:dyDescent="0.25">
      <c r="A7" s="25" t="s">
        <v>34</v>
      </c>
      <c r="B7" s="25">
        <f>Item5!A3</f>
        <v>5</v>
      </c>
      <c r="C7" s="27" t="str">
        <f>Item5!B3</f>
        <v>CAFETEIRA, com as seguintes especificações:
• Jarra em aço inox;
• Filtro permanente removível;
• Capacidade mínima de 1 litro;
• Indicador do nível de água;
• Alimentação elétrica: 127V ou bivolt;
• Garantia de, no mínimo, 360 dias.</v>
      </c>
      <c r="D7" s="25" t="str">
        <f>Item5!C3</f>
        <v>unidade</v>
      </c>
      <c r="E7" s="25">
        <f t="shared" si="0"/>
        <v>50</v>
      </c>
      <c r="F7" s="40">
        <v>0</v>
      </c>
      <c r="G7" s="25">
        <f>Item5!D3</f>
        <v>50</v>
      </c>
      <c r="H7" s="26">
        <f>Item5!E3</f>
        <v>208.58</v>
      </c>
      <c r="I7" s="26">
        <f t="shared" si="1"/>
        <v>10429</v>
      </c>
    </row>
    <row r="8" spans="1:9" ht="135" x14ac:dyDescent="0.25">
      <c r="A8" s="25" t="s">
        <v>34</v>
      </c>
      <c r="B8" s="25">
        <f>Item6!A3</f>
        <v>6</v>
      </c>
      <c r="C8" s="27" t="str">
        <f>Item6!B3</f>
        <v>CAFETEIRA, com as seguintes especificações:
• Jarra em aço inox;
• Filtro permanente removível;
• Capacidade mínima de 1 litro;
• Indicador do nível de água;
• Alimentação elétrica: 220V ou bivolt;
• Garantia de, no mínimo, 360 dias.</v>
      </c>
      <c r="D8" s="25" t="str">
        <f>Item6!C3</f>
        <v>unidade</v>
      </c>
      <c r="E8" s="25">
        <f t="shared" si="0"/>
        <v>50</v>
      </c>
      <c r="F8" s="40">
        <v>0</v>
      </c>
      <c r="G8" s="25">
        <f>Item6!D3</f>
        <v>50</v>
      </c>
      <c r="H8" s="26">
        <f>Item6!E3</f>
        <v>216.5</v>
      </c>
      <c r="I8" s="26">
        <f t="shared" si="1"/>
        <v>10825</v>
      </c>
    </row>
    <row r="9" spans="1:9" ht="180" x14ac:dyDescent="0.25">
      <c r="A9" s="25" t="s">
        <v>34</v>
      </c>
      <c r="B9" s="25">
        <f>Item7!A3</f>
        <v>7</v>
      </c>
      <c r="C9" s="27" t="str">
        <f>Item7!B3</f>
        <v>FORNO DE MICRO-ONDAS, com as seguintes especificações:
• Capacidade (câmara do alimento) entre 30 e 35 litros;
• Voltagem: 127V;
• Prato giratório removível;
• Display e menu com funções em português;
• Trava de segurança.
• Selo Procel A.
• Garantia de, no mínimo, 360 dias.</v>
      </c>
      <c r="D9" s="25" t="str">
        <f>Item7!C3</f>
        <v>unidade</v>
      </c>
      <c r="E9" s="25">
        <f t="shared" si="0"/>
        <v>60</v>
      </c>
      <c r="F9" s="40">
        <v>20</v>
      </c>
      <c r="G9" s="25">
        <f>Item7!D3</f>
        <v>80</v>
      </c>
      <c r="H9" s="26">
        <f>Item7!E3</f>
        <v>635.03</v>
      </c>
      <c r="I9" s="26">
        <f t="shared" si="1"/>
        <v>50802.400000000001</v>
      </c>
    </row>
    <row r="10" spans="1:9" ht="180" x14ac:dyDescent="0.25">
      <c r="A10" s="25" t="s">
        <v>34</v>
      </c>
      <c r="B10" s="25">
        <f>Item8!A3</f>
        <v>8</v>
      </c>
      <c r="C10" s="27" t="str">
        <f>Item8!B3</f>
        <v>FORNO DE MICRO-ONDAS, com as seguintes especificações:
• Capacidade (câmara do alimento) entre 30 e 35 litros;
• Voltagem: 220V;
• Prato giratório removível;
• Display e menu com funções em português;
• Trava de segurança.
• Selo Procel A.
• Garantia de, no mínimo, 360 dias.</v>
      </c>
      <c r="D10" s="25" t="str">
        <f>Item8!C3</f>
        <v>unidade</v>
      </c>
      <c r="E10" s="25">
        <f t="shared" si="0"/>
        <v>30</v>
      </c>
      <c r="F10" s="40">
        <v>0</v>
      </c>
      <c r="G10" s="25">
        <f>Item8!D3</f>
        <v>30</v>
      </c>
      <c r="H10" s="26">
        <f>Item8!E3</f>
        <v>668.22</v>
      </c>
      <c r="I10" s="26">
        <f t="shared" si="1"/>
        <v>20046.599999999999</v>
      </c>
    </row>
    <row r="11" spans="1:9" ht="210" x14ac:dyDescent="0.25">
      <c r="A11" s="25" t="s">
        <v>34</v>
      </c>
      <c r="B11" s="25">
        <f>Item9!A3</f>
        <v>9</v>
      </c>
      <c r="C11" s="27" t="str">
        <f>Item9!B3</f>
        <v>REFRIGERADOR, com as seguintes especificações:
• Tipo frigobar;
• Volume interno total: 75 a 95 litros;
• Selo Procel Classe A;
• Tensão elétrica: 127V;
• Degelo automático ou bandeja de degelo;
• Prateleiras removíveis;
• Portas reversíveis;
• Controle de temperatura;
• Cor branca.
• Garantia de, no mínimo, 360 dias.</v>
      </c>
      <c r="D11" s="25" t="str">
        <f>Item9!C3</f>
        <v>unidade</v>
      </c>
      <c r="E11" s="25">
        <f t="shared" si="0"/>
        <v>40</v>
      </c>
      <c r="F11" s="40">
        <v>20</v>
      </c>
      <c r="G11" s="25">
        <f>Item9!D3</f>
        <v>60</v>
      </c>
      <c r="H11" s="26">
        <f>Item9!E3</f>
        <v>1242.1600000000001</v>
      </c>
      <c r="I11" s="26">
        <f t="shared" si="1"/>
        <v>74529.600000000006</v>
      </c>
    </row>
    <row r="12" spans="1:9" ht="210" x14ac:dyDescent="0.25">
      <c r="A12" s="25" t="s">
        <v>34</v>
      </c>
      <c r="B12" s="25">
        <f>Item10!A3</f>
        <v>10</v>
      </c>
      <c r="C12" s="27" t="str">
        <f>Item10!B3</f>
        <v>REFRIGERADOR, com as seguintes especificações:
• Tipo frigobar;
• Volume interno total: 75 a 95 litros;
• Selo Procel Classe A;
• Tensão elétrica: 220V;
• Degelo automático ou bandeja de degelo;
• Prateleiras removíveis;
• Portas reversíveis;
• Controle de temperatura;
• Cor branca.
• Garantia de, no mínimo, 360 dias.</v>
      </c>
      <c r="D12" s="25" t="str">
        <f>Item10!C3</f>
        <v>unidade</v>
      </c>
      <c r="E12" s="25">
        <f t="shared" si="0"/>
        <v>40</v>
      </c>
      <c r="F12" s="40">
        <v>0</v>
      </c>
      <c r="G12" s="25">
        <f>Item10!D3</f>
        <v>40</v>
      </c>
      <c r="H12" s="26">
        <f>Item10!E3</f>
        <v>1327.29</v>
      </c>
      <c r="I12" s="26">
        <f t="shared" si="1"/>
        <v>53091.6</v>
      </c>
    </row>
    <row r="13" spans="1:9" ht="330" x14ac:dyDescent="0.25">
      <c r="A13" s="25" t="s">
        <v>34</v>
      </c>
      <c r="B13" s="25">
        <f>Item11!A3</f>
        <v>11</v>
      </c>
      <c r="C13" s="27" t="str">
        <f>Item11!B3</f>
        <v>BEBEDOURO DE COLUNA, com as seguintes especificações:
• Tipo garrafão;
• Selo de conformidade Inmetro;
• Acomodação para garrafão de 10 e 20 litros;
• Capacidade de fornecimento de água gelada: 0,90 l/h ou superior;
• Tensão elétrica: 127V ou bivolt;
• Gabinete com laterais confeccionadas em aço carbono galvanizado, chapa eletrozincada ou inox;
• Pingadeira com tampo removível;
• Acionamento para água gelada e natural;
• Gás refrigerante ecológico;
• Cor branca ou inox;
• Em conformidade com a norma ABNT NBR 16236:2013 (Versão corrigida) ou mais recente.
• Garantia de, no mínimo, 360 dias.</v>
      </c>
      <c r="D13" s="25" t="str">
        <f>Item11!C3</f>
        <v>unidade</v>
      </c>
      <c r="E13" s="25">
        <f t="shared" si="0"/>
        <v>50</v>
      </c>
      <c r="F13" s="40">
        <v>0</v>
      </c>
      <c r="G13" s="25">
        <f>Item11!D3</f>
        <v>50</v>
      </c>
      <c r="H13" s="26">
        <f>Item11!E3</f>
        <v>791.12</v>
      </c>
      <c r="I13" s="26">
        <f t="shared" si="1"/>
        <v>39556</v>
      </c>
    </row>
    <row r="14" spans="1:9" ht="330" x14ac:dyDescent="0.25">
      <c r="A14" s="25" t="s">
        <v>34</v>
      </c>
      <c r="B14" s="25">
        <f>Item12!A3</f>
        <v>12</v>
      </c>
      <c r="C14" s="27" t="str">
        <f>Item12!B3</f>
        <v>BEBEDOURO DE COLUNA, com as seguintes especificações:
• Tipo garrafão;
• Selo de conformidade Inmetro;
• Acomodação para garrafão de 10 e 20 litros;
• Capacidade de fornecimento de água gelada: 0,90 l/h ou superior;
• Tensão elétrica: 220V ou bivolt;
• Gabinete com laterais confeccionadas em aço carbono galvanizado, chapa eletrozincada ou inox;
• Pingadeira com tampo removível;
• Acionamento para água gelada e natural;
• Gás refrigerante ecológico;
• Cor branca ou inox;
• Em conformidade com a norma ABNT NBR 16236:2013 (Versão corrigida) ou mais recente.
• Garantia de, no mínimo, 360 dias.</v>
      </c>
      <c r="D14" s="25" t="str">
        <f>Item12!C3</f>
        <v>unidade</v>
      </c>
      <c r="E14" s="25">
        <f t="shared" si="0"/>
        <v>20</v>
      </c>
      <c r="F14" s="40">
        <v>50</v>
      </c>
      <c r="G14" s="25">
        <f>Item12!D3</f>
        <v>70</v>
      </c>
      <c r="H14" s="26">
        <f>Item12!E3</f>
        <v>707.47</v>
      </c>
      <c r="I14" s="26">
        <f t="shared" si="1"/>
        <v>49522.9</v>
      </c>
    </row>
    <row r="15" spans="1:9" ht="315" x14ac:dyDescent="0.25">
      <c r="A15" s="25" t="s">
        <v>34</v>
      </c>
      <c r="B15" s="25">
        <f>Item13!A3</f>
        <v>13</v>
      </c>
      <c r="C15" s="27" t="str">
        <f>Item13!B3</f>
        <v>BEBEDOURO DE COLUNA TIPO PRESSÃO, com as seguintes especificações:
• Certificado pelo Inmetro;
• Tensão Elétrica 127V;
• Gabinete com laterais confeccionada em aço;
• Com 2 (duas)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ecológico;
• Em conformidade com a norma ABNT NBR 16236:2013 (Versão corrigida) ou mais recente.
• Garantia de, no mínimo, 360 dias.</v>
      </c>
      <c r="D15" s="25" t="str">
        <f>Item13!C3</f>
        <v>unidade</v>
      </c>
      <c r="E15" s="25">
        <f t="shared" si="0"/>
        <v>20</v>
      </c>
      <c r="F15" s="40">
        <v>0</v>
      </c>
      <c r="G15" s="25">
        <f>Item13!D3</f>
        <v>20</v>
      </c>
      <c r="H15" s="26">
        <f>Item13!E3</f>
        <v>1087.8900000000001</v>
      </c>
      <c r="I15" s="26">
        <f t="shared" si="1"/>
        <v>21757.8</v>
      </c>
    </row>
    <row r="16" spans="1:9" ht="315" x14ac:dyDescent="0.25">
      <c r="A16" s="25" t="s">
        <v>34</v>
      </c>
      <c r="B16" s="25">
        <f>Item14!A3</f>
        <v>14</v>
      </c>
      <c r="C16" s="27" t="str">
        <f>Item14!B3</f>
        <v>BEBEDOURO DE COLUNA TIPO PRESSÃO, com as seguintes especificações:
• Certificado pelo Inmetro;
• Tensão Elétrica 220V;
• Gabinete com laterais confeccionada em aço;
• Com 2 (duas) torneiras de pressão em latão cromado, uma para jato outra para copo;
• Pia em aço inoxidável;
• Filtro de água com carvão ativado, para reter partículas sólidas e gosto de cloro;
• Capacidade de refrigeração para atendimento médio de 20 pessoas/hora.
• Gás refrigerante ecológico;
• Em conformidade com a norma ABNT NBR 16236:2013 (Versão corrigida) ou mais recente. 
• Garantia de, no mínimo, 360 dias.</v>
      </c>
      <c r="D16" s="25" t="str">
        <f>Item14!C3</f>
        <v>unidade</v>
      </c>
      <c r="E16" s="25">
        <f t="shared" si="0"/>
        <v>20</v>
      </c>
      <c r="F16" s="40">
        <v>0</v>
      </c>
      <c r="G16" s="25">
        <f>Item14!D3</f>
        <v>20</v>
      </c>
      <c r="H16" s="26">
        <f>Item14!E3</f>
        <v>979.98</v>
      </c>
      <c r="I16" s="26">
        <f t="shared" si="1"/>
        <v>19599.599999999999</v>
      </c>
    </row>
    <row r="17" spans="1:9" ht="180" x14ac:dyDescent="0.25">
      <c r="A17" s="25" t="s">
        <v>34</v>
      </c>
      <c r="B17" s="25">
        <f>Item15!A3</f>
        <v>15</v>
      </c>
      <c r="C17" s="27" t="str">
        <f>Item15!B3</f>
        <v>VENTILADOR DE COLUNA, com as seguintes especificações:
• Grade de metal;
• Diâmetro da grade: 65 cm, admitida variação de ± 5 cm;
• Tensão: bivolt;
• Coluna regulável, com altura mínima de 1,5m na posição distendida;
• Mecanismo oscilante e controle de velocidade.
• Garantia de, no mínimo, 360 dias.</v>
      </c>
      <c r="D17" s="25" t="str">
        <f>Item15!C3</f>
        <v>unidade</v>
      </c>
      <c r="E17" s="25">
        <f t="shared" si="0"/>
        <v>100</v>
      </c>
      <c r="F17" s="40">
        <v>0</v>
      </c>
      <c r="G17" s="25">
        <f>Item15!D3</f>
        <v>100</v>
      </c>
      <c r="H17" s="26">
        <f>Item15!E3</f>
        <v>506.02</v>
      </c>
      <c r="I17" s="26">
        <f t="shared" si="1"/>
        <v>50602</v>
      </c>
    </row>
    <row r="18" spans="1:9" ht="210" x14ac:dyDescent="0.25">
      <c r="A18" s="25" t="s">
        <v>34</v>
      </c>
      <c r="B18" s="25">
        <f>Item16!A3</f>
        <v>16</v>
      </c>
      <c r="C18" s="27" t="str">
        <f>Item16!B3</f>
        <v>REFRIGERADOR, com as seguintes especificações:
• Volume interno total: mínimo de 340 litros;
• Selo Procel Classe A;
• Tensão elétrica: 127V;
• Frost free;
• Prateleiras removíveis;
• Portas reversíveis;
• Controle de temperatura;
• Fluído refrigerante ecológico;
• Cor branca.
• Garantia de, no mínimo, 360 dias.</v>
      </c>
      <c r="D18" s="25" t="str">
        <f>Item16!C3</f>
        <v>unidade</v>
      </c>
      <c r="E18" s="25">
        <f t="shared" si="0"/>
        <v>5</v>
      </c>
      <c r="F18" s="40">
        <v>0</v>
      </c>
      <c r="G18" s="25">
        <f>Item16!D3</f>
        <v>5</v>
      </c>
      <c r="H18" s="26">
        <f>Item16!E3</f>
        <v>2873.64</v>
      </c>
      <c r="I18" s="26">
        <f t="shared" si="1"/>
        <v>14368.2</v>
      </c>
    </row>
    <row r="19" spans="1:9" ht="210" x14ac:dyDescent="0.25">
      <c r="A19" s="25" t="s">
        <v>34</v>
      </c>
      <c r="B19" s="25">
        <f>Item17!A3</f>
        <v>17</v>
      </c>
      <c r="C19" s="27" t="str">
        <f>Item17!B3</f>
        <v>REFRIGERADOR, com as seguintes especificações:
• Volume interno total: mínimo de 340 litros;
• Selo Procel Classe A;
• Tensão elétrica: 220V;
• Frost free;
• Prateleiras removíveis;
• Portas reversíveis;
• Controle de temperatura;
• Fluído refrigerante ecológico;
• Cor branca.
• Garantia de, no mínimo, 360 dias.</v>
      </c>
      <c r="D19" s="25" t="str">
        <f>Item17!C3</f>
        <v>unidade</v>
      </c>
      <c r="E19" s="25">
        <f t="shared" si="0"/>
        <v>2</v>
      </c>
      <c r="F19" s="40">
        <v>0</v>
      </c>
      <c r="G19" s="25">
        <f>Item17!D3</f>
        <v>2</v>
      </c>
      <c r="H19" s="26">
        <f>Item17!E3</f>
        <v>2693.42</v>
      </c>
      <c r="I19" s="26">
        <f t="shared" si="1"/>
        <v>5386.84</v>
      </c>
    </row>
    <row r="20" spans="1:9" ht="165" x14ac:dyDescent="0.25">
      <c r="A20" s="25" t="s">
        <v>34</v>
      </c>
      <c r="B20" s="25">
        <f>Item18!A3</f>
        <v>18</v>
      </c>
      <c r="C20" s="27" t="str">
        <f>Item18!B3</f>
        <v>FREEZER VERTICAL FROST FREE, com as seguintes especificações:
• Capacidade: mínimo de 200 litros;
• Selo Procel classe A;
• Fluído refrigerante ecológico;
• Com gavetas removíveis;
• Controle de temperatura;
• Tensão elétrica: 127V;
• Cor branca.
• Garantia de, no mínimo, 360 dias.</v>
      </c>
      <c r="D20" s="25" t="str">
        <f>Item18!C3</f>
        <v>unidade</v>
      </c>
      <c r="E20" s="25">
        <f t="shared" si="0"/>
        <v>3</v>
      </c>
      <c r="F20" s="40">
        <v>0</v>
      </c>
      <c r="G20" s="25">
        <f>Item18!D3</f>
        <v>3</v>
      </c>
      <c r="H20" s="26">
        <f>Item18!E3</f>
        <v>2795.47</v>
      </c>
      <c r="I20" s="26">
        <f t="shared" si="1"/>
        <v>8386.41</v>
      </c>
    </row>
    <row r="21" spans="1:9" ht="165" x14ac:dyDescent="0.25">
      <c r="A21" s="25" t="s">
        <v>34</v>
      </c>
      <c r="B21" s="25">
        <f>Item19!A3</f>
        <v>19</v>
      </c>
      <c r="C21" s="27" t="str">
        <f>Item19!B3</f>
        <v>FREEZER VERTICAL FROST FREE, com as seguintes especificações:
• Capacidade: mínimo de 200 litros;
• Selo Procel classe A;
• Fluído refrigerante ecológico;
• Com gavetas removíveis;
• Controle de temperatura;
• Tensão elétrica: 220V;
• Cor branca.
• Garantia de, no mínimo, 360 dias.</v>
      </c>
      <c r="D21" s="25" t="str">
        <f>Item19!C3</f>
        <v>unidade</v>
      </c>
      <c r="E21" s="25">
        <f t="shared" si="0"/>
        <v>3</v>
      </c>
      <c r="F21" s="40">
        <v>0</v>
      </c>
      <c r="G21" s="25">
        <f>Item19!D3</f>
        <v>3</v>
      </c>
      <c r="H21" s="26">
        <f>Item19!E3</f>
        <v>3120.55</v>
      </c>
      <c r="I21" s="26">
        <f t="shared" si="1"/>
        <v>9361.65</v>
      </c>
    </row>
    <row r="22" spans="1:9" ht="135" x14ac:dyDescent="0.25">
      <c r="A22" s="25" t="s">
        <v>34</v>
      </c>
      <c r="B22" s="25">
        <f>Item20!A3</f>
        <v>20</v>
      </c>
      <c r="C22" s="27" t="str">
        <f>Item20!B3</f>
        <v>VENTILADOR DE PAREDE, com as seguintes especificações:
• Grade de metal;
• Diâmetro da grade: 100 cm, admitida variação de ± 5 cm;
• Rotação mínima: 1000 r.p.m.
• Tensão: bivolt ou 110 volts;
• Regulagem de inclinação;
• Garantia de, no mínimo, 360 dias.</v>
      </c>
      <c r="D22" s="25" t="str">
        <f>Item20!C3</f>
        <v>unidade</v>
      </c>
      <c r="E22" s="25">
        <f t="shared" si="0"/>
        <v>40</v>
      </c>
      <c r="F22" s="40">
        <v>0</v>
      </c>
      <c r="G22" s="25">
        <f>Item20!D3</f>
        <v>40</v>
      </c>
      <c r="H22" s="26">
        <f>Item20!E3</f>
        <v>1633.46</v>
      </c>
      <c r="I22" s="26">
        <f t="shared" si="1"/>
        <v>65338.400000000001</v>
      </c>
    </row>
    <row r="23" spans="1:9" ht="135" x14ac:dyDescent="0.25">
      <c r="A23" s="25" t="s">
        <v>34</v>
      </c>
      <c r="B23" s="25">
        <f>Item21!A3</f>
        <v>21</v>
      </c>
      <c r="C23" s="27" t="str">
        <f>Item21!B3</f>
        <v>VENTILADOR DE PAREDE, com as seguintes especificações:
• Grade de metal;
• Diâmetro da grade: 100 cm, admitida variação de ± 5 cm;
• Rotação mínima: 1000 r.p.m.
• Tensão: bivolt ou 220 volts;
• Regulagem de inclinação;
• Garantia de, no mínimo, 360 dias.</v>
      </c>
      <c r="D23" s="25" t="str">
        <f>Item21!C3</f>
        <v>unidade</v>
      </c>
      <c r="E23" s="25">
        <f t="shared" si="0"/>
        <v>40</v>
      </c>
      <c r="F23" s="40">
        <v>0</v>
      </c>
      <c r="G23" s="25">
        <f>Item21!D3</f>
        <v>40</v>
      </c>
      <c r="H23" s="26">
        <f>Item21!E3</f>
        <v>1214.08</v>
      </c>
      <c r="I23" s="26">
        <f t="shared" si="1"/>
        <v>48563.199999999997</v>
      </c>
    </row>
    <row r="24" spans="1:9" ht="210" x14ac:dyDescent="0.25">
      <c r="A24" s="25" t="s">
        <v>34</v>
      </c>
      <c r="B24" s="25">
        <f>Item22!A3</f>
        <v>22</v>
      </c>
      <c r="C24" s="27" t="str">
        <f>Item22!B3</f>
        <v>CAFETEIRA ELÉTRICA INDUSTRIAL, com as seguintes características;
• Depósito em aço inox;
• Capacidade para 20 litros de café pronto;
• Termostato regulável na faixa de 20º C a 120º C.
• Tensão elétrica: 220V;
• Potência mínima de aquecimento: 4000 W;
• Acompanha coador de pano;
• Garantia de, no mínimo, 90 dias.</v>
      </c>
      <c r="D24" s="25" t="str">
        <f>Item22!C3</f>
        <v>unidade</v>
      </c>
      <c r="E24" s="25">
        <f t="shared" si="0"/>
        <v>5</v>
      </c>
      <c r="F24" s="40">
        <v>20</v>
      </c>
      <c r="G24" s="25">
        <f>Item22!D3</f>
        <v>25</v>
      </c>
      <c r="H24" s="26">
        <f>Item22!E3</f>
        <v>2220.91</v>
      </c>
      <c r="I24" s="26">
        <f t="shared" si="1"/>
        <v>55522.75</v>
      </c>
    </row>
    <row r="25" spans="1:9" ht="165" x14ac:dyDescent="0.25">
      <c r="A25" s="25" t="s">
        <v>34</v>
      </c>
      <c r="B25" s="25">
        <f>Item23!A3</f>
        <v>23</v>
      </c>
      <c r="C25" s="27" t="str">
        <f>Item23!B3</f>
        <v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127 V
• Garantia de, no mínimo, 180 dias.</v>
      </c>
      <c r="D25" s="25" t="str">
        <f>Item23!C3</f>
        <v>unidade</v>
      </c>
      <c r="E25" s="25">
        <f t="shared" si="0"/>
        <v>4</v>
      </c>
      <c r="F25" s="40">
        <v>0</v>
      </c>
      <c r="G25" s="25">
        <f>Item23!D3</f>
        <v>4</v>
      </c>
      <c r="H25" s="26">
        <f>Item23!E3</f>
        <v>385.71</v>
      </c>
      <c r="I25" s="26">
        <f t="shared" si="1"/>
        <v>1542.84</v>
      </c>
    </row>
    <row r="26" spans="1:9" ht="165" x14ac:dyDescent="0.25">
      <c r="A26" s="25" t="s">
        <v>34</v>
      </c>
      <c r="B26" s="25">
        <f>Item24!A3</f>
        <v>24</v>
      </c>
      <c r="C26" s="27" t="str">
        <f>Item24!B3</f>
        <v>LIQUIDIFICADOR INDUSTRIAL, com as seguintes características;
• Com gabinete/corpo e copo em inox;
• Capacidade do copo: 1,5 a 2 litros;
• Com tecla/botão liga/desliga
• Com função pulsar
• Base antiderrapante;
• Potência: 800 W ou superior
• Tensão elétrica: 220 V
• Garantia de, no mínimo, 180 dias.</v>
      </c>
      <c r="D26" s="25" t="str">
        <f>Item24!C3</f>
        <v>unidade</v>
      </c>
      <c r="E26" s="25">
        <f t="shared" si="0"/>
        <v>4</v>
      </c>
      <c r="F26" s="40">
        <v>0</v>
      </c>
      <c r="G26" s="25">
        <f>Item24!D3</f>
        <v>4</v>
      </c>
      <c r="H26" s="26">
        <f>Item24!E3</f>
        <v>440.99</v>
      </c>
      <c r="I26" s="26">
        <f t="shared" si="1"/>
        <v>1763.96</v>
      </c>
    </row>
    <row r="27" spans="1:9" ht="409.5" x14ac:dyDescent="0.25">
      <c r="A27" s="25" t="s">
        <v>34</v>
      </c>
      <c r="B27" s="25">
        <f>Item25!A3</f>
        <v>25</v>
      </c>
      <c r="C27" s="27" t="str">
        <f>Item25!B3</f>
        <v>PROJETOR DE VIDEO LASER 6000 lúmens.
• Tipo do display: Poly-silicon TFT matriz ativa
Resolução nativa: 1920 x 1200 pixels WUXGA
• Modo de projeção: Frontal, Frontal/Teto, Traseiro, Traseiro/Teto.
• Painel LCD: 0,67" (D10 com C2Fine™).
• Número de pixels: 2.304.000 pixels (1920x1200) x 3
• Brilho em cores - Saída de luz colorida: 6.000 lumens (ISSO 21118 padrão)
• Brilho em branco - Saída de luz branca: 6.000 lumens
• Razão de aspecto: 16:10
• Resolução nativa: 1920x1200 (WUXGA)
• Alcance do Throw-Ratio: 1,35–2,2
• Dimensões da imagem: 48” (1,22m) a 470” (7,11m)
• Correção de Keystone: Vertical: ±30 graus; Horizontal: ±30 graus.
• Razão de contraste: até 2.500.000:1 com modo dinâmico de cores, modo normal de fonte de luz e modo wide zoom
• Alcance de mudança da lente: Vertical: ±50 graus; Horizontal: ±20 graus.
• Processamento de cor: 10 bits
• Reprodução de cor: até 1,07 bilhão de cores
• Tipo de laser: laser diodo
• Potencia de saída da fonte de luz: até 104,5W
• Comprimento de onda: 449 a 491nm
• Duração da fonte de luz laser: Normal: 20.000 horas; Silencioso: 20.000 horas; Estendido: 30.000 horas
• Lente de projeção standard: F=1.5 a 1.7
• Distância focal: 20.0 a 31.8 mm
• Interfaces:
                    HDBaseT x1
HDMI x2
Analógico: D-sub 15 pin x1
Controle I/O: RS-232C (D-sub 9 pin)
USB-I/O: Tipo A x1; Tipo B x1
LAN RJ45 x1
Wireless LAN (acessório opcional) USB Tipo A x1
Entrada de Áudio (stereo): x2
Saída de Áudio (stereo): x1
                     Ruído do ventilador: 37dB (Modo Normal), 25dB (Modo ECO)0
• Energia:
Voltagem: 100 – 240VAC ±10%, 50/60Hz
Voltagem nominal: 100 – 240VAC
Frequência nominal: 50/60Hz
Consumo de energia:
Normal: 353W
Silencioso: 254W
Standby em Rede 2,0W
• Acessório:
Suporte articulado para montagem em mastro fixo no teto (ceiling-mount) conforme
modelo/fabricante.
Equipamento especificado: Epson, Panasonic, Christie ou equivalente técnico.
• Garantia de, no mínimo, 180 dias.</v>
      </c>
      <c r="D27" s="25" t="str">
        <f>Item25!C3</f>
        <v>unidade</v>
      </c>
      <c r="E27" s="25">
        <f t="shared" si="0"/>
        <v>3</v>
      </c>
      <c r="F27" s="40">
        <v>100</v>
      </c>
      <c r="G27" s="25">
        <f>Item25!D3</f>
        <v>103</v>
      </c>
      <c r="H27" s="26">
        <f>Item25!E3</f>
        <v>33782.480000000003</v>
      </c>
      <c r="I27" s="26">
        <f t="shared" si="1"/>
        <v>3479595.44</v>
      </c>
    </row>
    <row r="28" spans="1:9" ht="409.5" x14ac:dyDescent="0.25">
      <c r="A28" s="25" t="s">
        <v>34</v>
      </c>
      <c r="B28" s="25">
        <f>Item26!A3</f>
        <v>26</v>
      </c>
      <c r="C28" s="27" t="str">
        <f>Item26!B3</f>
        <v>Vídeo Wall Controlador 2X2, 4K, 4 Telas, USB, HDMI
Resolução:
• Entrada suporta: 3840 x 2160 com 30Hz;
• Saída Suporta: 1920 x 1080 com 30Hz .
Funcionalidades :
• Suporta até 4 Telas diferentes, permite várias combinações de exibição no display;
• Indicador luminoso de funcionamento: LED vermelho para ligado e LED verde significa conexão bem-sucedida com o monitor;
• Botão que altera o modo de exibição no painel. Mudança também pode ser feita pelo controle remoto;
• Botão no painel para seleção rápida da fonte de sinal HDMI (entrada/saída);
• Botão no painel para reset rápido e redefinição do controlador de vídeo Wall;
• Porta RS232, para conexão de porta serial do controlador Uso pelo fabricante;
• Leitor de cartão SD, para atualização da entrada da fonte de sinal;
• Entradas 2 USB 2.0, para conexão de periféricos como Pendrives HDs externos teclado, mouse e outros;
• Entrada R/L para fone de ouvido (3,5mm), saída estéreo de áudio analógico;
• Acesso para fibra óptica, porta para saída de áudio digital estéreo;
• Recepção de sinal infravermelho, para uso do controle remoto (IR);
• Sistema “plug and play”, sem a necessidade de instalação de software adicional.</v>
      </c>
      <c r="D28" s="25" t="str">
        <f>Item26!C3</f>
        <v>unidade</v>
      </c>
      <c r="E28" s="25">
        <f t="shared" si="0"/>
        <v>3</v>
      </c>
      <c r="F28" s="40">
        <v>0</v>
      </c>
      <c r="G28" s="25">
        <f>Item26!D3</f>
        <v>3</v>
      </c>
      <c r="H28" s="26">
        <f>Item26!E3</f>
        <v>3713.34</v>
      </c>
      <c r="I28" s="26">
        <f t="shared" si="1"/>
        <v>11140.02</v>
      </c>
    </row>
    <row r="29" spans="1:9" ht="409.5" x14ac:dyDescent="0.25">
      <c r="A29" s="25">
        <v>1</v>
      </c>
      <c r="B29" s="25">
        <f>Item27!A3</f>
        <v>27</v>
      </c>
      <c r="C29" s="27" t="str">
        <f>Item27!B3</f>
        <v>PURIFICADOR DE ÁGUA, com as seguintes características:
• Tensão Elétrica: 127 volts;
• Fornecimento de água em, no mínimo, 02 (duas) temperaturas: natural e gelada;
• Refrigeração feita por compressor;
• Para uso fixado na parede ou em bancada;
• Que possibilite fácil substituição do refil pelo próprio usuário, sem a necessidade de ferramentas (sistema “girou trocou”, “troca fácil”, apenas um botão ou similar);
• Elemento filtrante com capacidade de redução de cloro livre, retenção de partículas Classe C ou superior, e eliminação de odores e sabores presentes na água;
• Capacidade de fornecimento de água gelada de, no mínimo, 0,5 L/H, conforme norma ABNT NBR 16236/2013 Versão corrigida ou mais recente;
• Ligado na água da rede;
• Fluido refrigerante ecológico;
• Vida útil do filtro de, no mínimo 06 (seis) meses;
• Selo Inmetro;
• Cor branca, cinza, prata ou preta;
• Garantia de, no mínimo, 06 meses.</v>
      </c>
      <c r="D29" s="25" t="str">
        <f>Item27!C3</f>
        <v>unidade</v>
      </c>
      <c r="E29" s="25">
        <f t="shared" si="0"/>
        <v>70</v>
      </c>
      <c r="F29" s="40">
        <v>0</v>
      </c>
      <c r="G29" s="25">
        <f>Item27!D3</f>
        <v>70</v>
      </c>
      <c r="H29" s="26">
        <f>Item27!E3</f>
        <v>720.4</v>
      </c>
      <c r="I29" s="26">
        <f t="shared" si="1"/>
        <v>50428</v>
      </c>
    </row>
    <row r="30" spans="1:9" ht="409.5" x14ac:dyDescent="0.25">
      <c r="A30" s="25">
        <v>1</v>
      </c>
      <c r="B30" s="25">
        <f>Item28!A3</f>
        <v>28</v>
      </c>
      <c r="C30" s="27" t="str">
        <f>Item28!B3</f>
        <v>PURIFICADOR DE ÁGUA, com as seguintes características:
• Tensão Elétrica: 220 volts;
• Fornecimento de água em, no mínimo, 02 (duas) temperaturas: natural e gelada;
• Refrigeração feita por compressor;
• Para uso fixado na parede ou em bancada;
• Que possibilite fácil substituição do refil pelo próprio usuário, sem a necessidade de ferramentas (sistema “girou trocou”, “troca fácil”, apenas um botão ou similar);
• Elemento filtrante com capacidade de redução de cloro livre, retenção de partículas Classe C ou superior, e eliminação de odores e sabores presentes na água;
• Capacidade de fornecimento de água gelada de, no mínimo, 0,5 L/H, conforme norma ABNT NBR 16236/2013 Versão corrigida ou mais recente;
• Ligado na água da rede;
• Fluido refrigerante ecológico;
• Vida útil do filtro de, no mínimo 06 (seis) meses;
• Selo Inmetro;
• Cor branca, cinza, prata ou preta;
• Garantia de, no mínimo, 06 meses.</v>
      </c>
      <c r="D30" s="25" t="str">
        <f>Item28!C3</f>
        <v>unidade</v>
      </c>
      <c r="E30" s="25">
        <f t="shared" si="0"/>
        <v>100</v>
      </c>
      <c r="F30" s="40">
        <v>0</v>
      </c>
      <c r="G30" s="25">
        <f>Item28!D3</f>
        <v>100</v>
      </c>
      <c r="H30" s="26">
        <f>Item28!E3</f>
        <v>796</v>
      </c>
      <c r="I30" s="26">
        <f t="shared" ref="I30:I41" si="2">ROUND((G30*H30),2)</f>
        <v>79600</v>
      </c>
    </row>
    <row r="31" spans="1:9" ht="255" x14ac:dyDescent="0.25">
      <c r="A31" s="25">
        <v>1</v>
      </c>
      <c r="B31" s="25">
        <f>Item29!A3</f>
        <v>29</v>
      </c>
      <c r="C31" s="27" t="str">
        <f>Item29!B3</f>
        <v>REFIL para Purificador de Água, com as seguintes características:
• Compatível com purificadores de água indicados nos itens 27 e 28;
• Com capacidade de redução de cloro livre, retenção de partículas Classe C ou superior e eliminação de odores e sabores presentes na água;
• Que possibilite fácil substituição pelo próprio usuário, sem a necessidade de ferramentas (sistema “girou trocou”, “troca fácil”, apenas um botão ou similar);
• Vida útil de, no mínimo, 06 (seis) meses;
• Garantia de,  no mínimo, 30 dias.</v>
      </c>
      <c r="D31" s="25" t="str">
        <f>Item29!C3</f>
        <v>unidade</v>
      </c>
      <c r="E31" s="25">
        <f t="shared" si="0"/>
        <v>400</v>
      </c>
      <c r="F31" s="40">
        <v>0</v>
      </c>
      <c r="G31" s="25">
        <f>Item29!D3</f>
        <v>400</v>
      </c>
      <c r="H31" s="26">
        <f>Item29!E3</f>
        <v>37.619999999999997</v>
      </c>
      <c r="I31" s="26">
        <f t="shared" si="2"/>
        <v>15048</v>
      </c>
    </row>
    <row r="32" spans="1:9" ht="195" x14ac:dyDescent="0.25">
      <c r="A32" s="25" t="s">
        <v>34</v>
      </c>
      <c r="B32" s="25">
        <f>Item30!A3</f>
        <v>30</v>
      </c>
      <c r="C32" s="27" t="str">
        <f>Item30!B3</f>
        <v>MULTÍMETRO DIGITAL
• Conformidade com a IEC1010;
• Medição de Tensão DC de 200mV, 2V, 20V, 200V, 600V;
• Medição de Tensão AC: Faixas: 200V, 600V;
• Medição de Corrente DC: Faixas: 200µA, 2mA, 20mA, 200mA, 10A;
• Medição de Resistência: Faixas: 200Ω , 2kΩ , 20kΩ , 200kΩ , 20MΩ; 
• Alimentação: 01 (uma) bateria 9V.
• Garantia de, no mínimo, 180 dias.</v>
      </c>
      <c r="D32" s="25" t="str">
        <f>Item30!C3</f>
        <v>unidade</v>
      </c>
      <c r="E32" s="25">
        <f t="shared" si="0"/>
        <v>30</v>
      </c>
      <c r="F32" s="40">
        <v>0</v>
      </c>
      <c r="G32" s="25">
        <f>Item30!D3</f>
        <v>30</v>
      </c>
      <c r="H32" s="26">
        <f>Item30!E3</f>
        <v>138.16</v>
      </c>
      <c r="I32" s="26">
        <f t="shared" si="2"/>
        <v>4144.8</v>
      </c>
    </row>
    <row r="33" spans="1:9" ht="135" x14ac:dyDescent="0.25">
      <c r="A33" s="25" t="s">
        <v>34</v>
      </c>
      <c r="B33" s="25">
        <f>Item31!A3</f>
        <v>31</v>
      </c>
      <c r="C33" s="27" t="str">
        <f>Item31!B3</f>
        <v>ANTENA INTERNA PARA TV DIGITAL, com as seguintes características:
• Cabo de no mínimo 2,5 metros.
• Capta sinais UHF/HDTV
• Conector F macho
• Cor preta 
• Garantia, de no mínimo, 30 dias.</v>
      </c>
      <c r="D33" s="25" t="str">
        <f>Item31!C3</f>
        <v>unidade</v>
      </c>
      <c r="E33" s="25">
        <f t="shared" si="0"/>
        <v>30</v>
      </c>
      <c r="F33" s="40">
        <v>0</v>
      </c>
      <c r="G33" s="25">
        <f>Item31!D3</f>
        <v>30</v>
      </c>
      <c r="H33" s="26">
        <f>Item31!E3</f>
        <v>34.24</v>
      </c>
      <c r="I33" s="26">
        <f t="shared" si="2"/>
        <v>1027.2</v>
      </c>
    </row>
    <row r="34" spans="1:9" ht="255" x14ac:dyDescent="0.25">
      <c r="A34" s="25" t="s">
        <v>34</v>
      </c>
      <c r="B34" s="25">
        <f>Item32!A3</f>
        <v>32</v>
      </c>
      <c r="C34" s="27" t="str">
        <f>Item32!B3</f>
        <v>REFIL para Purificador de Água, com as seguintes características:
• Compatível com purificador de água Marca Top Life, modelo: Platinum New.
• Com capacidade de redução de cloro livre, retenção de partículas Classe C ou superior e eliminação de odores e sabores presentes na água;
• Que possibilite fácil substituição pelo próprio usuário, sem a necessidade de ferramentas (sistema “girou trocou”, “troca fácil”, apenas um botão ou similar);
• Vida útil de, no mínimo, 06 (seis) meses;
• Garantia de, no mínimo, 30 dias.</v>
      </c>
      <c r="D34" s="25" t="str">
        <f>Item32!C3</f>
        <v>unidade</v>
      </c>
      <c r="E34" s="25">
        <f t="shared" si="0"/>
        <v>400</v>
      </c>
      <c r="F34" s="40">
        <v>0</v>
      </c>
      <c r="G34" s="25">
        <f>Item32!D3</f>
        <v>400</v>
      </c>
      <c r="H34" s="26">
        <f>Item32!E3</f>
        <v>150.66</v>
      </c>
      <c r="I34" s="26">
        <f t="shared" si="2"/>
        <v>60264</v>
      </c>
    </row>
    <row r="35" spans="1:9" ht="409.5" x14ac:dyDescent="0.25">
      <c r="A35" s="25" t="s">
        <v>34</v>
      </c>
      <c r="B35" s="25">
        <f>Item33!A3</f>
        <v>33</v>
      </c>
      <c r="C35" s="27" t="str">
        <f>Item33!B3</f>
        <v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36 (trinta e seis) meses.
• Referência: CISCO UC PHONE CP-7821</v>
      </c>
      <c r="D35" s="25" t="str">
        <f>Item33!C3</f>
        <v>unidade</v>
      </c>
      <c r="E35" s="25">
        <f t="shared" si="0"/>
        <v>225</v>
      </c>
      <c r="F35" s="40">
        <v>0</v>
      </c>
      <c r="G35" s="25">
        <f>Item33!D3</f>
        <v>225</v>
      </c>
      <c r="H35" s="26">
        <f>Item33!E3</f>
        <v>919.45</v>
      </c>
      <c r="I35" s="26">
        <f t="shared" si="2"/>
        <v>206876.25</v>
      </c>
    </row>
    <row r="36" spans="1:9" ht="390" x14ac:dyDescent="0.25">
      <c r="A36" s="25" t="s">
        <v>34</v>
      </c>
      <c r="B36" s="25">
        <f>Item34!A3</f>
        <v>34</v>
      </c>
      <c r="C36" s="27" t="str">
        <f>Item34!B3</f>
        <v>SMARTV com as seguintes características:
• Diagonal 40 polegadas;
• Conversor digital integrado;
• Cor preta;
• Borda infinita;
• Fonte bivolt 110-220 V;
•     Conexões:
 Mínimo de 2 (duas) entradas HDMI;
 Conectividade Wi-Fi;
 Mínimo de 1 (uma) entrada USB 2.0 ou superior com capacidade de reprodução de áudio, vídeo e musicas em alta resolução direto de dispositivo USB (Pen Drive);
 Mínimo de 1 (uma) entrada de áudio/vídeo;
 Mínimo de uma entrada RF para TV aberta;
 Mínimo de 1 (uma) entrada ethernet.
• Controle remoto munido das pilhas necessárias para o primeiro uso;
• Acompanhado de base para uso em mesa;
• Manual em português;
• Garantia de, no mínimo, 360 dias.</v>
      </c>
      <c r="D36" s="25" t="str">
        <f>Item34!C3</f>
        <v>unidade</v>
      </c>
      <c r="E36" s="25">
        <f t="shared" si="0"/>
        <v>20</v>
      </c>
      <c r="F36" s="40">
        <v>0</v>
      </c>
      <c r="G36" s="25">
        <f>Item34!D3</f>
        <v>20</v>
      </c>
      <c r="H36" s="26">
        <f>Item34!E3</f>
        <v>1326.82</v>
      </c>
      <c r="I36" s="26">
        <f t="shared" si="2"/>
        <v>26536.400000000001</v>
      </c>
    </row>
    <row r="37" spans="1:9" ht="345" x14ac:dyDescent="0.25">
      <c r="A37" s="25" t="s">
        <v>34</v>
      </c>
      <c r="B37" s="25">
        <f>Item35!A3</f>
        <v>35</v>
      </c>
      <c r="C37" s="27" t="str">
        <f>Item35!B3</f>
        <v>TELEVISOR LED, com as seguintes características:
• Diagonal entre 30 a 32 polegadas;
• Conversor digital integrado;
• Cor preta;
• Fonte bivolt 110-220 V;
•     Conexões:
 Mínimo de 1 (uma) entrada HDMI;
 Mínimo de 1 (uma) entrada USB 2.0 ou superior com capacidade de reprodução de áudio, vídeo e musicas em alta resolução direto de dispositivo USB (Pen Drive);
 Mínimo de 1(uma) entrada de áudio/vídeo;
 Mínimo de uma entrada RF para TV aberta.
• Controle remoto munido das pilhas necessárias para o primeiro uso;
• Acompanhado de base para uso em mesa;
• Manual em português;
• Garantia de, no mínimo, 360 dias.</v>
      </c>
      <c r="D37" s="25" t="str">
        <f>Item35!C3</f>
        <v>unidade</v>
      </c>
      <c r="E37" s="25">
        <f t="shared" si="0"/>
        <v>35</v>
      </c>
      <c r="F37" s="40">
        <v>0</v>
      </c>
      <c r="G37" s="25">
        <f>Item35!D3</f>
        <v>35</v>
      </c>
      <c r="H37" s="26">
        <f>Item35!E3</f>
        <v>1015.33</v>
      </c>
      <c r="I37" s="26">
        <f t="shared" si="2"/>
        <v>35536.550000000003</v>
      </c>
    </row>
    <row r="38" spans="1:9" ht="409.5" x14ac:dyDescent="0.25">
      <c r="A38" s="25" t="s">
        <v>34</v>
      </c>
      <c r="B38" s="25">
        <f>Item36!A3</f>
        <v>36</v>
      </c>
      <c r="C38" s="27" t="str">
        <f>Item36!B3</f>
        <v>APARELHO TELEFÔNICO IP Fixo – tipo 1, com as seguintes características:
• Terminal de comunicação IP composto por telefone, monofone, e acessórios para seu pleno funcionamento.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fixo.
• Possuir duas portas switch fast ethernet integradas internas, permitindo a conexão de um computador diretamente ao telefone IP fixo, nas velocidades de 10/100 Mbps, autosensing. Não será aceito o uso de adaptadores internos ou externos para as portas fast ethernet.
• Suportar PoE (Power over Ethernet) conforme a classificação do padrão IEEE 802.3af (calss1), suportando alimentação direta via interface ethernet.
• A porta do telefone IP deverá suportar mecanismo de qualidade de serviço e tronco de VLAN padrão 802.1q e 802.1p. Desta forma, o tráfego de dados e de voz utilizarão VLANs distintas.
• Certificado/homologado pela ANATEL.
• Possuir no mínimo os codecs G.711 e G.729.
• Permitir busca de configuração em servidores comuns por meio de protocolos padrão.
• Suportar o protocolo Session Initiation Protocol (SIP), não serão aceitos equipamentos híbridos com telefonia analógica ou que necessitem de adaptadores externos para o funcionamento.
• Possuir recurso de viva-voz bidirecional com cancelamento de eco.
• Permitir o ajuste de toque de chamada.
• Deve possuir ajuste de volume para fone, campainha e fone de ouvido.
• Deve possuir display de cristal líquido (LCD) monocromático, com iluminação de fundo, com resolução mínima de 128 x 32 pixels. Este display deve prover informações de data e hora, correio e voz, ícone de chamadas perdidas, detalhes da chamada durante uma ligação, histórico de chamadas efetuadas e recebidas e configurações do aparelho.
• Suportar o idioma Português (Brasil).
• Possuir recurso de geração de supressão de silêncio.
• A compressão dos canais de voz deve ser realizada no próprio aparelho.
• Permitir que se efetue transferência de chamadas internas e externas. O usuário poderá optar pela transferência de uma chamada recebida para um número interno ou externo.
• Possuir recurso que indique a existência de “chamada em espera”, informando ao usuário que há uma chamada entrante durante uma conversação.
• Permitir a rediscagem do último número discado.
• Possuir a tecla mute.
• Possuir recurso de discagem rápida para números pré-configurados pelo usuário.
• Suportar desvio automático de chamada para voicemail ou outro destino pré-configurado.
• Suportar conferência e captura de chamadas.
• Possuir fonte de energia compatível e do mesmo fabricante do telefone IP. A fonte deve operar na faixa de 110 Vac a 240 Vac, com chaveamento automático (conversão automática), frequência de 50-60 Hz e tomada padrão brasileiro.
• Garantia mínima de 36 (trinta e seis) meses.
• Referência: CISCO SIP PHONE 3905</v>
      </c>
      <c r="D38" s="25" t="str">
        <f>Item36!C3</f>
        <v>unidade</v>
      </c>
      <c r="E38" s="25">
        <f t="shared" si="0"/>
        <v>125</v>
      </c>
      <c r="F38" s="40">
        <v>0</v>
      </c>
      <c r="G38" s="25">
        <f>Item36!D3</f>
        <v>125</v>
      </c>
      <c r="H38" s="26">
        <f>Item36!E3</f>
        <v>308.70999999999998</v>
      </c>
      <c r="I38" s="26">
        <f t="shared" si="2"/>
        <v>38588.75</v>
      </c>
    </row>
    <row r="39" spans="1:9" ht="210" x14ac:dyDescent="0.25">
      <c r="A39" s="25" t="s">
        <v>34</v>
      </c>
      <c r="B39" s="25">
        <f>Item37!A3</f>
        <v>37</v>
      </c>
      <c r="C39" s="27" t="str">
        <f>Item37!B3</f>
        <v>REFRIGERADOR, com as seguintes especificações:
• Tipo frigobar;
• Volume interno total: 75 a 95 litros;
• Selo Procel Classe A;
• Tensão elétrica: 127V;
• Degelo automático ou bandeja de degelo;
• Prateleiras removíveis;
• Portas reversíveis;
• Controle de temperatura;
• Cor branca.
• Garantia de, no mínimo, 360 dias.</v>
      </c>
      <c r="D39" s="25" t="str">
        <f>Item37!C3</f>
        <v>unidade</v>
      </c>
      <c r="E39" s="25">
        <f t="shared" si="0"/>
        <v>20</v>
      </c>
      <c r="F39" s="40">
        <v>0</v>
      </c>
      <c r="G39" s="25">
        <f>Item37!D3</f>
        <v>20</v>
      </c>
      <c r="H39" s="26">
        <f>Item37!E3</f>
        <v>1242.1600000000001</v>
      </c>
      <c r="I39" s="26">
        <f t="shared" si="2"/>
        <v>24843.200000000001</v>
      </c>
    </row>
    <row r="40" spans="1:9" ht="409.5" x14ac:dyDescent="0.25">
      <c r="A40" s="25" t="s">
        <v>34</v>
      </c>
      <c r="B40" s="25">
        <f>Item38!A3</f>
        <v>38</v>
      </c>
      <c r="C40" s="27" t="str">
        <f>Item38!B3</f>
        <v>PROJETOR DE VIDEO LASER 6000 lúmens.
• Tipo do display: Poly-silicon TFT matriz ativa
Resolução nativa: 1920 x 1200 pixels WUXGA
• Modo de projeção: Frontal, Frontal/Teto, Traseiro, Traseiro/Teto.
• Painel LCD: 0,67" (D10 com C2Fine™).
• Número de pixels: 2.304.000 pixels (1920x1200) x 3
• Brilho em cores - Saída de luz colorida: 6.000 lumens (ISSO 21118 padrão)
• Brilho em branco - Saída de luz branca: 6.000 lumens
• Razão de aspecto: 16:10
• Resolução nativa: 1920x1200 (WUXGA)
• Alcance do Throw-Ratio: 1,35–2,2
• Dimensões da imagem: 48” (1,22m) a 470” (7,11m)
• Correção de Keystone: Vertical: ±30 graus; Horizontal: ±30 graus.
• Razão de contraste: até 2.500.000:1 com modo dinâmico de cores, modo normal de fonte de luz e modo wide zoom
• Alcance de mudança da lente: Vertical: ±50 graus; Horizontal: ±20 graus.
• Processamento de cor: 10 bits
• Reprodução de cor: até 1,07 bilhão de cores
• Tipo de laser: laser diodo
• Potencia de saída da fonte de luz: até 104,5W
• Comprimento de onda: 449 a 491nm
• Duração da fonte de luz laser: Normal: 20.000 horas; Silencioso: 20.000 horas; Estendido: 30.000 horas
• Lente de projeção standard: F=1.5 a 1.7
• Distância focal: 20.0 a 31.8 mm
• Interfaces:
                    HDBaseT x1
HDMI x2
Analógico: D-sub 15 pin x1
Controle I/O: RS-232C (D-sub 9 pin)
USB-I/O: Tipo A x1; Tipo B x1
LAN RJ45 x1
Wireless LAN (acessório opcional) USB Tipo A x1
Entrada de Áudio (stereo): x2
Saída de Áudio (stereo): x1
                     Ruído do ventilador: 37dB (Modo Normal), 25dB (Modo ECO)0
• Energia:
Voltagem: 100 – 240VAC ±10%, 50/60Hz
Voltagem nominal: 100 – 240VAC
Frequência nominal: 50/60Hz
Consumo de energia:
Normal: 353W
Silencioso: 254W
Standby em Rede 2,0W
• Acessório:
Suporte articulado para montagem em mastro fixo no teto (ceiling-mount) conforme
modelo/fabricante.
Equipamento especificado: Epson, Panasonic, Christie ou equivalente técnico.
• Garantia de, no mínimo, 180 dias.</v>
      </c>
      <c r="D40" s="25" t="str">
        <f>Item38!C3</f>
        <v>unidade</v>
      </c>
      <c r="E40" s="25">
        <f t="shared" si="0"/>
        <v>2</v>
      </c>
      <c r="F40" s="40">
        <v>0</v>
      </c>
      <c r="G40" s="25">
        <f>Item38!D3</f>
        <v>2</v>
      </c>
      <c r="H40" s="26">
        <f>Item38!E3</f>
        <v>33782.480000000003</v>
      </c>
      <c r="I40" s="26">
        <f t="shared" si="2"/>
        <v>67564.960000000006</v>
      </c>
    </row>
    <row r="41" spans="1:9" ht="409.5" x14ac:dyDescent="0.25">
      <c r="A41" s="25" t="s">
        <v>34</v>
      </c>
      <c r="B41" s="25">
        <f>Item39!A3</f>
        <v>39</v>
      </c>
      <c r="C41" s="27" t="str">
        <f>Item39!B3</f>
        <v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36 (trinta e seis) meses.
• Referência: CISCO UC PHONE CP-7821</v>
      </c>
      <c r="D41" s="25" t="str">
        <f>Item39!C3</f>
        <v>unidade</v>
      </c>
      <c r="E41" s="25">
        <f t="shared" si="0"/>
        <v>75</v>
      </c>
      <c r="F41" s="40">
        <v>0</v>
      </c>
      <c r="G41" s="25">
        <f>Item39!D3</f>
        <v>75</v>
      </c>
      <c r="H41" s="26">
        <f>Item39!E3</f>
        <v>919.45</v>
      </c>
      <c r="I41" s="26">
        <f t="shared" si="2"/>
        <v>68958.75</v>
      </c>
    </row>
    <row r="42" spans="1:9" ht="15.75" thickBot="1" x14ac:dyDescent="0.3"/>
    <row r="43" spans="1:9" ht="16.5" thickTop="1" thickBot="1" x14ac:dyDescent="0.3">
      <c r="D43" s="22"/>
      <c r="E43" s="38"/>
      <c r="F43" s="38"/>
      <c r="G43" s="23" t="s">
        <v>33</v>
      </c>
      <c r="H43" s="24">
        <f>SUM(I:I)</f>
        <v>5083511.5699999994</v>
      </c>
    </row>
    <row r="44" spans="1:9" ht="15.75" thickTop="1" x14ac:dyDescent="0.25">
      <c r="H44" s="3"/>
    </row>
    <row r="45" spans="1:9" x14ac:dyDescent="0.25">
      <c r="D45" s="21" t="s">
        <v>32</v>
      </c>
      <c r="E45" s="21"/>
      <c r="F45" s="21"/>
      <c r="G45" s="13">
        <f>MAX(A:A)</f>
        <v>1</v>
      </c>
    </row>
    <row r="47" spans="1:9" x14ac:dyDescent="0.25">
      <c r="D47" s="18" t="s">
        <v>31</v>
      </c>
      <c r="E47" s="39"/>
      <c r="F47" s="39"/>
      <c r="G47" s="19">
        <v>1</v>
      </c>
      <c r="H47" s="20">
        <f>SUMIF(A:A,G47,I:I)</f>
        <v>145076</v>
      </c>
    </row>
    <row r="48" spans="1:9" x14ac:dyDescent="0.25">
      <c r="D48" s="18" t="s">
        <v>31</v>
      </c>
      <c r="E48" s="39"/>
      <c r="F48" s="39"/>
      <c r="G48" s="19">
        <v>2</v>
      </c>
      <c r="H48" s="20">
        <f>SUMIF(A:A,G48,I:I)</f>
        <v>0</v>
      </c>
    </row>
    <row r="49" spans="4:8" x14ac:dyDescent="0.25">
      <c r="D49" s="18" t="s">
        <v>31</v>
      </c>
      <c r="E49" s="39"/>
      <c r="F49" s="39"/>
      <c r="G49" s="19">
        <v>3</v>
      </c>
      <c r="H49" s="20">
        <f>SUMIF(A:A,G49,I:I)</f>
        <v>0</v>
      </c>
    </row>
    <row r="50" spans="4:8" x14ac:dyDescent="0.25">
      <c r="D50" s="18" t="s">
        <v>31</v>
      </c>
      <c r="E50" s="39"/>
      <c r="F50" s="39"/>
      <c r="G50" s="19">
        <v>4</v>
      </c>
      <c r="H50" s="20">
        <f>SUMIF(A:A,G50,I:I)</f>
        <v>0</v>
      </c>
    </row>
  </sheetData>
  <mergeCells count="1">
    <mergeCell ref="A1:I1"/>
  </mergeCells>
  <pageMargins left="0.51181102362204722" right="0.51181102362204722" top="1.2598425196850394" bottom="0.78740157480314965" header="0.31496062992125984" footer="0.31496062992125984"/>
  <pageSetup paperSize="9" scale="71" orientation="portrait" r:id="rId1"/>
  <headerFooter>
    <oddHeader>&amp;C&amp;G</oddHeader>
    <oddFooter>&amp;L&amp;"-,Negrito"Estimativa em &amp;D&amp;Rn/a = não se aplica</oddFooter>
  </headerFooter>
  <rowBreaks count="1" manualBreakCount="1">
    <brk id="2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5</v>
      </c>
      <c r="B3" s="32" t="s">
        <v>39</v>
      </c>
      <c r="C3" s="34" t="s">
        <v>7</v>
      </c>
      <c r="D3" s="34">
        <v>50</v>
      </c>
      <c r="E3" s="35">
        <f>IF(C20&lt;=25%,D20,MIN(E20:F20))</f>
        <v>208.58</v>
      </c>
      <c r="F3" s="35">
        <f>MIN(H3:H17)</f>
        <v>174.6</v>
      </c>
      <c r="G3" s="5" t="s">
        <v>69</v>
      </c>
      <c r="H3" s="16">
        <v>209.9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74</v>
      </c>
      <c r="H4" s="16">
        <v>174.6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83</v>
      </c>
      <c r="H5" s="16">
        <v>259.89999999999998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84</v>
      </c>
      <c r="H6" s="16">
        <v>189.9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/>
      <c r="H7" s="16"/>
      <c r="I7" s="17" t="str">
        <f t="shared" si="0"/>
        <v/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37.144167330372042</v>
      </c>
      <c r="B20" s="8">
        <f>COUNT(H3:H17)</f>
        <v>4</v>
      </c>
      <c r="C20" s="9">
        <f>IF(B20&lt;2,"n/a",(A20/D20))</f>
        <v>0.17808115509814959</v>
      </c>
      <c r="D20" s="10">
        <f>IFERROR(ROUND(AVERAGE(H3:H17),2),"")</f>
        <v>208.58</v>
      </c>
      <c r="E20" s="15" t="str">
        <f>IFERROR(ROUND(IF(B20&lt;2,"n/a",(IF(C20&lt;=25%,"n/a",AVERAGE(I3:I17)))),2),"n/a")</f>
        <v>n/a</v>
      </c>
      <c r="F20" s="10">
        <f>IFERROR(ROUND(MEDIAN(H3:H17),2),"")</f>
        <v>199.9</v>
      </c>
      <c r="G20" s="11" t="str">
        <f>IFERROR(INDEX(G3:G17,MATCH(H20,H3:H17,0)),"")</f>
        <v>CASAS BAHIA</v>
      </c>
      <c r="H20" s="12">
        <f>F3</f>
        <v>174.6</v>
      </c>
    </row>
    <row r="22" spans="1:9" x14ac:dyDescent="0.25">
      <c r="G22" s="13" t="s">
        <v>20</v>
      </c>
      <c r="H22" s="14">
        <f>IF(C20&lt;=25%,D20,MIN(E20:F20))</f>
        <v>208.58</v>
      </c>
    </row>
    <row r="23" spans="1:9" x14ac:dyDescent="0.25">
      <c r="G23" s="13" t="s">
        <v>6</v>
      </c>
      <c r="H23" s="14">
        <f>ROUND(H22,2)*D3</f>
        <v>10429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6</v>
      </c>
      <c r="B3" s="32" t="s">
        <v>40</v>
      </c>
      <c r="C3" s="34" t="s">
        <v>7</v>
      </c>
      <c r="D3" s="34">
        <v>50</v>
      </c>
      <c r="E3" s="35">
        <f>IF(C20&lt;=25%,D20,MIN(E20:F20))</f>
        <v>216.5</v>
      </c>
      <c r="F3" s="35">
        <f>MIN(H3:H17)</f>
        <v>169</v>
      </c>
      <c r="G3" s="5" t="s">
        <v>85</v>
      </c>
      <c r="H3" s="16">
        <v>249.9</v>
      </c>
      <c r="I3" s="17">
        <f>IF(H3="","",(IF($C$20&lt;25%,"n/a",IF(H3&lt;=($D$20+$A$20),H3,"Descartado"))))</f>
        <v>249.9</v>
      </c>
    </row>
    <row r="4" spans="1:9" x14ac:dyDescent="0.25">
      <c r="A4" s="36"/>
      <c r="B4" s="33"/>
      <c r="C4" s="34"/>
      <c r="D4" s="34"/>
      <c r="E4" s="35"/>
      <c r="F4" s="35"/>
      <c r="G4" s="5" t="s">
        <v>86</v>
      </c>
      <c r="H4" s="16">
        <v>225</v>
      </c>
      <c r="I4" s="17">
        <f t="shared" ref="I4:I17" si="0">IF(H4="","",(IF($C$20&lt;25%,"n/a",IF(H4&lt;=($D$20+$A$20),H4,"Descartado"))))</f>
        <v>225</v>
      </c>
    </row>
    <row r="5" spans="1:9" x14ac:dyDescent="0.25">
      <c r="A5" s="36"/>
      <c r="B5" s="33"/>
      <c r="C5" s="34"/>
      <c r="D5" s="34"/>
      <c r="E5" s="35"/>
      <c r="F5" s="35"/>
      <c r="G5" s="5" t="s">
        <v>87</v>
      </c>
      <c r="H5" s="16">
        <v>169</v>
      </c>
      <c r="I5" s="17">
        <f t="shared" si="0"/>
        <v>169</v>
      </c>
    </row>
    <row r="6" spans="1:9" x14ac:dyDescent="0.25">
      <c r="A6" s="36"/>
      <c r="B6" s="33"/>
      <c r="C6" s="34"/>
      <c r="D6" s="34"/>
      <c r="E6" s="35"/>
      <c r="F6" s="35"/>
      <c r="G6" s="5" t="s">
        <v>88</v>
      </c>
      <c r="H6" s="16">
        <v>349.9</v>
      </c>
      <c r="I6" s="17" t="str">
        <f t="shared" si="0"/>
        <v>Descartado</v>
      </c>
    </row>
    <row r="7" spans="1:9" x14ac:dyDescent="0.25">
      <c r="A7" s="36"/>
      <c r="B7" s="33"/>
      <c r="C7" s="34"/>
      <c r="D7" s="34"/>
      <c r="E7" s="35"/>
      <c r="F7" s="35"/>
      <c r="G7" s="5" t="s">
        <v>89</v>
      </c>
      <c r="H7" s="16">
        <v>222.11</v>
      </c>
      <c r="I7" s="17">
        <f t="shared" si="0"/>
        <v>222.11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66.542179254965987</v>
      </c>
      <c r="B20" s="8">
        <f>COUNT(H3:H17)</f>
        <v>5</v>
      </c>
      <c r="C20" s="9">
        <f>IF(B20&lt;2,"n/a",(A20/D20))</f>
        <v>0.27363343718630639</v>
      </c>
      <c r="D20" s="10">
        <f>IFERROR(ROUND(AVERAGE(H3:H17),2),"")</f>
        <v>243.18</v>
      </c>
      <c r="E20" s="15">
        <f>IFERROR(ROUND(IF(B20&lt;2,"n/a",(IF(C20&lt;=25%,"n/a",AVERAGE(I3:I17)))),2),"n/a")</f>
        <v>216.5</v>
      </c>
      <c r="F20" s="10">
        <f>IFERROR(ROUND(MEDIAN(H3:H17),2),"")</f>
        <v>225</v>
      </c>
      <c r="G20" s="11" t="str">
        <f>IFERROR(INDEX(G3:G17,MATCH(H20,H3:H17,0)),"")</f>
        <v>TAQI</v>
      </c>
      <c r="H20" s="12">
        <f>F3</f>
        <v>169</v>
      </c>
    </row>
    <row r="22" spans="1:9" x14ac:dyDescent="0.25">
      <c r="G22" s="13" t="s">
        <v>20</v>
      </c>
      <c r="H22" s="14">
        <f>IF(C20&lt;=25%,D20,MIN(E20:F20))</f>
        <v>216.5</v>
      </c>
    </row>
    <row r="23" spans="1:9" x14ac:dyDescent="0.25">
      <c r="G23" s="13" t="s">
        <v>6</v>
      </c>
      <c r="H23" s="14">
        <f>ROUND(H22,2)*D3</f>
        <v>10825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7</v>
      </c>
      <c r="B3" s="32" t="s">
        <v>41</v>
      </c>
      <c r="C3" s="34" t="s">
        <v>7</v>
      </c>
      <c r="D3" s="34">
        <f>60+20</f>
        <v>80</v>
      </c>
      <c r="E3" s="35">
        <f>IF(C20&lt;=25%,D20,MIN(E20:F20))</f>
        <v>635.03</v>
      </c>
      <c r="F3" s="35">
        <f>MIN(H3:H17)</f>
        <v>584.1</v>
      </c>
      <c r="G3" s="5" t="s">
        <v>90</v>
      </c>
      <c r="H3" s="16">
        <v>699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72</v>
      </c>
      <c r="H4" s="16">
        <v>699.99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71</v>
      </c>
      <c r="H5" s="16">
        <v>599.9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91</v>
      </c>
      <c r="H6" s="16">
        <v>592.17999999999995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92</v>
      </c>
      <c r="H7" s="16">
        <v>584.1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59.110207917076394</v>
      </c>
      <c r="B20" s="8">
        <f>COUNT(H3:H17)</f>
        <v>5</v>
      </c>
      <c r="C20" s="9">
        <f>IF(B20&lt;2,"n/a",(A20/D20))</f>
        <v>9.308254400119112E-2</v>
      </c>
      <c r="D20" s="10">
        <f>IFERROR(ROUND(AVERAGE(H3:H17),2),"")</f>
        <v>635.03</v>
      </c>
      <c r="E20" s="15" t="str">
        <f>IFERROR(ROUND(IF(B20&lt;2,"n/a",(IF(C20&lt;=25%,"n/a",AVERAGE(I3:I17)))),2),"n/a")</f>
        <v>n/a</v>
      </c>
      <c r="F20" s="10">
        <f>IFERROR(ROUND(MEDIAN(H3:H17),2),"")</f>
        <v>599.9</v>
      </c>
      <c r="G20" s="11" t="str">
        <f>IFERROR(INDEX(G3:G17,MATCH(H20,H3:H17,0)),"")</f>
        <v>CONTINENTAL</v>
      </c>
      <c r="H20" s="12">
        <f>F3</f>
        <v>584.1</v>
      </c>
    </row>
    <row r="22" spans="1:9" x14ac:dyDescent="0.25">
      <c r="G22" s="13" t="s">
        <v>20</v>
      </c>
      <c r="H22" s="14">
        <f>IF(C20&lt;=25%,D20,MIN(E20:F20))</f>
        <v>635.03</v>
      </c>
    </row>
    <row r="23" spans="1:9" x14ac:dyDescent="0.25">
      <c r="G23" s="13" t="s">
        <v>6</v>
      </c>
      <c r="H23" s="14">
        <f>ROUND(H22,2)*D3</f>
        <v>50802.399999999994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8</v>
      </c>
      <c r="B3" s="32" t="s">
        <v>42</v>
      </c>
      <c r="C3" s="34" t="s">
        <v>7</v>
      </c>
      <c r="D3" s="34">
        <v>30</v>
      </c>
      <c r="E3" s="35">
        <f>IF(C20&lt;=25%,D20,MIN(E20:F20))</f>
        <v>668.22</v>
      </c>
      <c r="F3" s="35">
        <f>MIN(H3:H17)</f>
        <v>569.04999999999995</v>
      </c>
      <c r="G3" s="5" t="s">
        <v>93</v>
      </c>
      <c r="H3" s="16">
        <v>709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94</v>
      </c>
      <c r="H4" s="16">
        <v>569.04999999999995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74</v>
      </c>
      <c r="H5" s="16">
        <v>759.05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92</v>
      </c>
      <c r="H6" s="16">
        <v>584.1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88</v>
      </c>
      <c r="H7" s="16">
        <v>719.9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85.870226213746932</v>
      </c>
      <c r="B20" s="8">
        <f>COUNT(H3:H17)</f>
        <v>5</v>
      </c>
      <c r="C20" s="9">
        <f>IF(B20&lt;2,"n/a",(A20/D20))</f>
        <v>0.12850592052579529</v>
      </c>
      <c r="D20" s="10">
        <f>IFERROR(ROUND(AVERAGE(H3:H17),2),"")</f>
        <v>668.22</v>
      </c>
      <c r="E20" s="15" t="str">
        <f>IFERROR(ROUND(IF(B20&lt;2,"n/a",(IF(C20&lt;=25%,"n/a",AVERAGE(I3:I17)))),2),"n/a")</f>
        <v>n/a</v>
      </c>
      <c r="F20" s="10">
        <f>IFERROR(ROUND(MEDIAN(H3:H17),2),"")</f>
        <v>709</v>
      </c>
      <c r="G20" s="11" t="str">
        <f>IFERROR(INDEX(G3:G17,MATCH(H20,H3:H17,0)),"")</f>
        <v>CASA DO PICA-PAU</v>
      </c>
      <c r="H20" s="12">
        <f>F3</f>
        <v>569.04999999999995</v>
      </c>
    </row>
    <row r="22" spans="1:9" x14ac:dyDescent="0.25">
      <c r="G22" s="13" t="s">
        <v>20</v>
      </c>
      <c r="H22" s="14">
        <f>IF(C20&lt;=25%,D20,MIN(E20:F20))</f>
        <v>668.22</v>
      </c>
    </row>
    <row r="23" spans="1:9" x14ac:dyDescent="0.25">
      <c r="G23" s="13" t="s">
        <v>6</v>
      </c>
      <c r="H23" s="14">
        <f>ROUND(H22,2)*D3</f>
        <v>20046.600000000002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Normal="100" zoomScaleSheetLayoutView="100" workbookViewId="0">
      <selection activeCell="D3" sqref="D3:D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6">
        <v>9</v>
      </c>
      <c r="B3" s="32" t="s">
        <v>43</v>
      </c>
      <c r="C3" s="34" t="s">
        <v>7</v>
      </c>
      <c r="D3" s="34">
        <f>(60+20)-Item37!D3</f>
        <v>60</v>
      </c>
      <c r="E3" s="35">
        <f>IF(C20&lt;=25%,D20,MIN(E20:F20))</f>
        <v>1242.1600000000001</v>
      </c>
      <c r="F3" s="35">
        <f>MIN(H3:H17)</f>
        <v>1038.96</v>
      </c>
      <c r="G3" s="5" t="s">
        <v>95</v>
      </c>
      <c r="H3" s="16">
        <v>1329.91</v>
      </c>
      <c r="I3" s="17" t="str">
        <f>IF(H3="","",(IF($C$20&lt;25%,"n/a",IF(H3&lt;=($D$20+$A$20),H3,"Descartado"))))</f>
        <v>n/a</v>
      </c>
    </row>
    <row r="4" spans="1:9" x14ac:dyDescent="0.25">
      <c r="A4" s="36"/>
      <c r="B4" s="33"/>
      <c r="C4" s="34"/>
      <c r="D4" s="34"/>
      <c r="E4" s="35"/>
      <c r="F4" s="35"/>
      <c r="G4" s="5" t="s">
        <v>96</v>
      </c>
      <c r="H4" s="16">
        <v>1253.05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6"/>
      <c r="B5" s="33"/>
      <c r="C5" s="34"/>
      <c r="D5" s="34"/>
      <c r="E5" s="35"/>
      <c r="F5" s="35"/>
      <c r="G5" s="5" t="s">
        <v>88</v>
      </c>
      <c r="H5" s="16">
        <v>1189.9000000000001</v>
      </c>
      <c r="I5" s="17" t="str">
        <f t="shared" si="0"/>
        <v>n/a</v>
      </c>
    </row>
    <row r="6" spans="1:9" x14ac:dyDescent="0.25">
      <c r="A6" s="36"/>
      <c r="B6" s="33"/>
      <c r="C6" s="34"/>
      <c r="D6" s="34"/>
      <c r="E6" s="35"/>
      <c r="F6" s="35"/>
      <c r="G6" s="5" t="s">
        <v>97</v>
      </c>
      <c r="H6" s="16">
        <v>1038.96</v>
      </c>
      <c r="I6" s="17" t="str">
        <f t="shared" si="0"/>
        <v>n/a</v>
      </c>
    </row>
    <row r="7" spans="1:9" x14ac:dyDescent="0.25">
      <c r="A7" s="36"/>
      <c r="B7" s="33"/>
      <c r="C7" s="34"/>
      <c r="D7" s="34"/>
      <c r="E7" s="35"/>
      <c r="F7" s="35"/>
      <c r="G7" s="5" t="s">
        <v>98</v>
      </c>
      <c r="H7" s="16">
        <v>1399</v>
      </c>
      <c r="I7" s="17" t="str">
        <f t="shared" si="0"/>
        <v>n/a</v>
      </c>
    </row>
    <row r="8" spans="1:9" x14ac:dyDescent="0.25">
      <c r="A8" s="36"/>
      <c r="B8" s="33"/>
      <c r="C8" s="34"/>
      <c r="D8" s="34"/>
      <c r="E8" s="35"/>
      <c r="F8" s="35"/>
      <c r="G8" s="5"/>
      <c r="H8" s="16"/>
      <c r="I8" s="17" t="str">
        <f t="shared" si="0"/>
        <v/>
      </c>
    </row>
    <row r="9" spans="1:9" x14ac:dyDescent="0.25">
      <c r="A9" s="36"/>
      <c r="B9" s="33"/>
      <c r="C9" s="34"/>
      <c r="D9" s="34"/>
      <c r="E9" s="35"/>
      <c r="F9" s="35"/>
      <c r="G9" s="5"/>
      <c r="H9" s="16"/>
      <c r="I9" s="17" t="str">
        <f t="shared" si="0"/>
        <v/>
      </c>
    </row>
    <row r="10" spans="1:9" x14ac:dyDescent="0.25">
      <c r="A10" s="36"/>
      <c r="B10" s="33"/>
      <c r="C10" s="34"/>
      <c r="D10" s="34"/>
      <c r="E10" s="35"/>
      <c r="F10" s="35"/>
      <c r="G10" s="5"/>
      <c r="H10" s="16"/>
      <c r="I10" s="17" t="str">
        <f t="shared" si="0"/>
        <v/>
      </c>
    </row>
    <row r="11" spans="1:9" x14ac:dyDescent="0.25">
      <c r="A11" s="36"/>
      <c r="B11" s="33"/>
      <c r="C11" s="34"/>
      <c r="D11" s="34"/>
      <c r="E11" s="35"/>
      <c r="F11" s="35"/>
      <c r="G11" s="5"/>
      <c r="H11" s="16"/>
      <c r="I11" s="17" t="str">
        <f t="shared" si="0"/>
        <v/>
      </c>
    </row>
    <row r="12" spans="1:9" x14ac:dyDescent="0.25">
      <c r="A12" s="36"/>
      <c r="B12" s="33"/>
      <c r="C12" s="34"/>
      <c r="D12" s="34"/>
      <c r="E12" s="35"/>
      <c r="F12" s="35"/>
      <c r="G12" s="5"/>
      <c r="H12" s="16"/>
      <c r="I12" s="17" t="str">
        <f t="shared" si="0"/>
        <v/>
      </c>
    </row>
    <row r="13" spans="1:9" x14ac:dyDescent="0.25">
      <c r="A13" s="36"/>
      <c r="B13" s="33"/>
      <c r="C13" s="34"/>
      <c r="D13" s="34"/>
      <c r="E13" s="35"/>
      <c r="F13" s="35"/>
      <c r="G13" s="5"/>
      <c r="H13" s="16"/>
      <c r="I13" s="17" t="str">
        <f t="shared" si="0"/>
        <v/>
      </c>
    </row>
    <row r="14" spans="1:9" x14ac:dyDescent="0.25">
      <c r="A14" s="36"/>
      <c r="B14" s="33"/>
      <c r="C14" s="34"/>
      <c r="D14" s="34"/>
      <c r="E14" s="35"/>
      <c r="F14" s="35"/>
      <c r="G14" s="5"/>
      <c r="H14" s="16"/>
      <c r="I14" s="17" t="str">
        <f t="shared" si="0"/>
        <v/>
      </c>
    </row>
    <row r="15" spans="1:9" x14ac:dyDescent="0.25">
      <c r="A15" s="36"/>
      <c r="B15" s="33"/>
      <c r="C15" s="34"/>
      <c r="D15" s="34"/>
      <c r="E15" s="35"/>
      <c r="F15" s="35"/>
      <c r="G15" s="5"/>
      <c r="H15" s="16"/>
      <c r="I15" s="17" t="str">
        <f t="shared" si="0"/>
        <v/>
      </c>
    </row>
    <row r="16" spans="1:9" x14ac:dyDescent="0.25">
      <c r="A16" s="36"/>
      <c r="B16" s="33"/>
      <c r="C16" s="34"/>
      <c r="D16" s="34"/>
      <c r="E16" s="35"/>
      <c r="F16" s="35"/>
      <c r="G16" s="5"/>
      <c r="H16" s="16"/>
      <c r="I16" s="17" t="str">
        <f t="shared" si="0"/>
        <v/>
      </c>
    </row>
    <row r="17" spans="1:9" x14ac:dyDescent="0.25">
      <c r="A17" s="36"/>
      <c r="B17" s="33"/>
      <c r="C17" s="34"/>
      <c r="D17" s="34"/>
      <c r="E17" s="35"/>
      <c r="F17" s="35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0" t="s">
        <v>19</v>
      </c>
      <c r="H19" s="30"/>
    </row>
    <row r="20" spans="1:9" x14ac:dyDescent="0.25">
      <c r="A20" s="8">
        <f>IF(B20&lt;2,"n/a",(_xlfn.STDEV.S(H3:H17)))</f>
        <v>138.23782742071722</v>
      </c>
      <c r="B20" s="8">
        <f>COUNT(H3:H17)</f>
        <v>5</v>
      </c>
      <c r="C20" s="9">
        <f>IF(B20&lt;2,"n/a",(A20/D20))</f>
        <v>0.11128826191530658</v>
      </c>
      <c r="D20" s="10">
        <f>IFERROR(ROUND(AVERAGE(H3:H17),2),"")</f>
        <v>1242.1600000000001</v>
      </c>
      <c r="E20" s="15" t="str">
        <f>IFERROR(ROUND(IF(B20&lt;2,"n/a",(IF(C20&lt;=25%,"n/a",AVERAGE(I3:I17)))),2),"n/a")</f>
        <v>n/a</v>
      </c>
      <c r="F20" s="10">
        <f>IFERROR(ROUND(MEDIAN(H3:H17),2),"")</f>
        <v>1253.05</v>
      </c>
      <c r="G20" s="11" t="str">
        <f>IFERROR(INDEX(G3:G17,MATCH(H20,H3:H17,0)),"")</f>
        <v>KABUM</v>
      </c>
      <c r="H20" s="12">
        <f>F3</f>
        <v>1038.96</v>
      </c>
    </row>
    <row r="22" spans="1:9" x14ac:dyDescent="0.25">
      <c r="G22" s="13" t="s">
        <v>20</v>
      </c>
      <c r="H22" s="14">
        <f>IF(C20&lt;=25%,D20,MIN(E20:F20))</f>
        <v>1242.1600000000001</v>
      </c>
    </row>
    <row r="23" spans="1:9" x14ac:dyDescent="0.25">
      <c r="G23" s="13" t="s">
        <v>6</v>
      </c>
      <c r="H23" s="14">
        <f>ROUND(H22,2)*D3</f>
        <v>74529.600000000006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42</vt:i4>
      </vt:variant>
      <vt:variant>
        <vt:lpstr>Intervalos nomeados</vt:lpstr>
      </vt:variant>
      <vt:variant>
        <vt:i4>2</vt:i4>
      </vt:variant>
    </vt:vector>
  </HeadingPairs>
  <TitlesOfParts>
    <vt:vector size="4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2024-01-17T18:55:53Z</cp:lastPrinted>
  <dcterms:created xsi:type="dcterms:W3CDTF">2023-11-07T17:10:34Z</dcterms:created>
  <dcterms:modified xsi:type="dcterms:W3CDTF">2024-02-15T20:01:54Z</dcterms:modified>
</cp:coreProperties>
</file>