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13" activeTab="41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6" r:id="rId33"/>
    <sheet name="Item34" sheetId="37" r:id="rId34"/>
    <sheet name="Item35" sheetId="38" r:id="rId35"/>
    <sheet name="Item36" sheetId="39" state="hidden" r:id="rId36"/>
    <sheet name="Item37" sheetId="40" state="hidden" r:id="rId37"/>
    <sheet name="Item38" sheetId="41" state="hidden" r:id="rId38"/>
    <sheet name="Item39" sheetId="42" state="hidden" r:id="rId39"/>
    <sheet name="Item40" sheetId="43" state="hidden" r:id="rId40"/>
    <sheet name="Item41" sheetId="44" state="hidden" r:id="rId41"/>
    <sheet name="total" sheetId="23" r:id="rId42"/>
  </sheets>
  <definedNames>
    <definedName name="_xlnm._FilterDatabase" localSheetId="41" hidden="1">total!$A$2:$G$37</definedName>
    <definedName name="_xlnm.Print_Area" localSheetId="41">total!$A$1:$G$46</definedName>
    <definedName name="_xlnm.Print_Titles" localSheetId="41">total!$1:$2</definedName>
  </definedNames>
  <calcPr calcId="145621"/>
</workbook>
</file>

<file path=xl/calcChain.xml><?xml version="1.0" encoding="utf-8"?>
<calcChain xmlns="http://schemas.openxmlformats.org/spreadsheetml/2006/main">
  <c r="D3" i="42" l="1"/>
  <c r="D3" i="40"/>
  <c r="D3" i="39"/>
  <c r="C32" i="23" l="1"/>
  <c r="D32" i="23"/>
  <c r="E32" i="23"/>
  <c r="C33" i="23"/>
  <c r="D33" i="23"/>
  <c r="E33" i="23"/>
  <c r="C34" i="23"/>
  <c r="D34" i="23"/>
  <c r="E34" i="23"/>
  <c r="C35" i="23"/>
  <c r="D35" i="23"/>
  <c r="E35" i="23"/>
  <c r="C36" i="23"/>
  <c r="D36" i="23"/>
  <c r="E36" i="23"/>
  <c r="C37" i="23"/>
  <c r="D37" i="23"/>
  <c r="E37" i="23"/>
  <c r="B37" i="23"/>
  <c r="B36" i="23"/>
  <c r="B35" i="23"/>
  <c r="B34" i="23"/>
  <c r="B33" i="23"/>
  <c r="B32" i="23"/>
  <c r="C31" i="23"/>
  <c r="D31" i="23"/>
  <c r="E31" i="23"/>
  <c r="E30" i="23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C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C20" i="39" s="1"/>
  <c r="I6" i="39" s="1"/>
  <c r="A20" i="39"/>
  <c r="I17" i="39"/>
  <c r="I16" i="39"/>
  <c r="I15" i="39"/>
  <c r="I14" i="39"/>
  <c r="I13" i="39"/>
  <c r="I12" i="39"/>
  <c r="I11" i="39"/>
  <c r="I10" i="39"/>
  <c r="I9" i="39"/>
  <c r="I8" i="39"/>
  <c r="F3" i="39"/>
  <c r="H20" i="39" s="1"/>
  <c r="G20" i="39" s="1"/>
  <c r="F20" i="38"/>
  <c r="D20" i="38"/>
  <c r="B20" i="38"/>
  <c r="I17" i="38"/>
  <c r="I16" i="38"/>
  <c r="I15" i="38"/>
  <c r="I14" i="38"/>
  <c r="I11" i="38"/>
  <c r="I8" i="38"/>
  <c r="F3" i="38"/>
  <c r="H20" i="38" s="1"/>
  <c r="G20" i="38" s="1"/>
  <c r="F20" i="37"/>
  <c r="D20" i="37"/>
  <c r="B20" i="37"/>
  <c r="I17" i="37"/>
  <c r="I16" i="37"/>
  <c r="I15" i="37"/>
  <c r="I14" i="37"/>
  <c r="I13" i="37"/>
  <c r="I12" i="37"/>
  <c r="I11" i="37"/>
  <c r="I10" i="37"/>
  <c r="I9" i="37"/>
  <c r="I8" i="37"/>
  <c r="F3" i="37"/>
  <c r="H20" i="37" s="1"/>
  <c r="G20" i="37" s="1"/>
  <c r="F20" i="36"/>
  <c r="D20" i="36"/>
  <c r="B20" i="36"/>
  <c r="A20" i="36" s="1"/>
  <c r="C20" i="36" s="1"/>
  <c r="I17" i="36"/>
  <c r="I16" i="36"/>
  <c r="I15" i="36"/>
  <c r="I14" i="36"/>
  <c r="I13" i="36"/>
  <c r="I12" i="36"/>
  <c r="I11" i="36"/>
  <c r="I10" i="36"/>
  <c r="I9" i="36"/>
  <c r="I8" i="36"/>
  <c r="F3" i="36"/>
  <c r="H20" i="36" s="1"/>
  <c r="G20" i="36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C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C20" i="32" s="1"/>
  <c r="I6" i="32" s="1"/>
  <c r="I17" i="32"/>
  <c r="I16" i="32"/>
  <c r="I15" i="32"/>
  <c r="I14" i="32"/>
  <c r="I13" i="32"/>
  <c r="I12" i="32"/>
  <c r="I11" i="32"/>
  <c r="I10" i="32"/>
  <c r="I9" i="32"/>
  <c r="I8" i="32"/>
  <c r="F3" i="32"/>
  <c r="H20" i="32" s="1"/>
  <c r="G20" i="32" s="1"/>
  <c r="F20" i="31"/>
  <c r="D20" i="31"/>
  <c r="B20" i="31"/>
  <c r="A20" i="31" s="1"/>
  <c r="I17" i="31"/>
  <c r="I16" i="31"/>
  <c r="I15" i="31"/>
  <c r="I14" i="31"/>
  <c r="I13" i="31"/>
  <c r="I12" i="31"/>
  <c r="I11" i="31"/>
  <c r="I10" i="31"/>
  <c r="F3" i="31"/>
  <c r="H20" i="31" s="1"/>
  <c r="G20" i="31" s="1"/>
  <c r="C20" i="31" l="1"/>
  <c r="I5" i="31" s="1"/>
  <c r="A20" i="38"/>
  <c r="C20" i="38" s="1"/>
  <c r="C20" i="33"/>
  <c r="I7" i="32"/>
  <c r="A20" i="37"/>
  <c r="C20" i="37" s="1"/>
  <c r="C20" i="41"/>
  <c r="I6" i="33"/>
  <c r="I4" i="33"/>
  <c r="I9" i="33"/>
  <c r="I3" i="33"/>
  <c r="I8" i="33"/>
  <c r="I7" i="33"/>
  <c r="I5" i="33"/>
  <c r="I9" i="40"/>
  <c r="I3" i="40"/>
  <c r="I8" i="40"/>
  <c r="I7" i="40"/>
  <c r="I6" i="40"/>
  <c r="I5" i="40"/>
  <c r="I10" i="40"/>
  <c r="I4" i="40"/>
  <c r="I6" i="35"/>
  <c r="I5" i="35"/>
  <c r="I10" i="35"/>
  <c r="I4" i="35"/>
  <c r="I9" i="35"/>
  <c r="I3" i="35"/>
  <c r="I8" i="35"/>
  <c r="I7" i="35"/>
  <c r="I11" i="35"/>
  <c r="I9" i="34"/>
  <c r="I3" i="34"/>
  <c r="I8" i="34"/>
  <c r="I7" i="34"/>
  <c r="I6" i="34"/>
  <c r="I5" i="34"/>
  <c r="I10" i="34"/>
  <c r="I4" i="34"/>
  <c r="I3" i="42"/>
  <c r="I6" i="42"/>
  <c r="I5" i="42"/>
  <c r="I4" i="42"/>
  <c r="I4" i="31"/>
  <c r="I9" i="31"/>
  <c r="I3" i="31"/>
  <c r="I7" i="31"/>
  <c r="I6" i="31"/>
  <c r="I8" i="31"/>
  <c r="I3" i="36"/>
  <c r="I7" i="36"/>
  <c r="I6" i="36"/>
  <c r="I5" i="36"/>
  <c r="I4" i="36"/>
  <c r="I3" i="32"/>
  <c r="I5" i="32"/>
  <c r="I4" i="32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I10" i="38"/>
  <c r="I7" i="39"/>
  <c r="E20" i="40"/>
  <c r="E3" i="40" s="1"/>
  <c r="E3" i="41"/>
  <c r="E20" i="42"/>
  <c r="H22" i="42" s="1"/>
  <c r="H23" i="42" s="1"/>
  <c r="I12" i="38"/>
  <c r="I3" i="39"/>
  <c r="I3" i="41"/>
  <c r="A20" i="44"/>
  <c r="C20" i="44" s="1"/>
  <c r="E20" i="33"/>
  <c r="I13" i="38"/>
  <c r="I4" i="39"/>
  <c r="E20" i="41"/>
  <c r="I5" i="39"/>
  <c r="E20" i="36" l="1"/>
  <c r="E20" i="35"/>
  <c r="H22" i="35" s="1"/>
  <c r="H23" i="35" s="1"/>
  <c r="H22" i="33"/>
  <c r="H23" i="33" s="1"/>
  <c r="E20" i="32"/>
  <c r="E20" i="31"/>
  <c r="E3" i="31" s="1"/>
  <c r="F30" i="23" s="1"/>
  <c r="G30" i="23" s="1"/>
  <c r="I5" i="41"/>
  <c r="I6" i="41"/>
  <c r="I4" i="41"/>
  <c r="H22" i="41"/>
  <c r="H23" i="41" s="1"/>
  <c r="E20" i="39"/>
  <c r="H22" i="39" s="1"/>
  <c r="H23" i="39" s="1"/>
  <c r="I9" i="38"/>
  <c r="I6" i="38"/>
  <c r="I7" i="38"/>
  <c r="I3" i="38"/>
  <c r="I5" i="38"/>
  <c r="I4" i="38"/>
  <c r="I6" i="37"/>
  <c r="I7" i="37"/>
  <c r="I3" i="37"/>
  <c r="I4" i="37"/>
  <c r="E20" i="37" s="1"/>
  <c r="E3" i="37" s="1"/>
  <c r="F36" i="23" s="1"/>
  <c r="G36" i="23" s="1"/>
  <c r="I5" i="37"/>
  <c r="E20" i="34"/>
  <c r="E3" i="34" s="1"/>
  <c r="F33" i="23" s="1"/>
  <c r="G33" i="23" s="1"/>
  <c r="E3" i="39"/>
  <c r="E3" i="43"/>
  <c r="H22" i="43"/>
  <c r="H23" i="43" s="1"/>
  <c r="E3" i="32"/>
  <c r="F31" i="23" s="1"/>
  <c r="G31" i="23" s="1"/>
  <c r="H22" i="32"/>
  <c r="H23" i="32" s="1"/>
  <c r="E3" i="35"/>
  <c r="F34" i="23" s="1"/>
  <c r="G34" i="23" s="1"/>
  <c r="H22" i="36"/>
  <c r="H23" i="36" s="1"/>
  <c r="E3" i="36"/>
  <c r="F35" i="23" s="1"/>
  <c r="G35" i="23" s="1"/>
  <c r="I9" i="44"/>
  <c r="I3" i="44"/>
  <c r="I8" i="44"/>
  <c r="I7" i="44"/>
  <c r="I6" i="44"/>
  <c r="E20" i="44" s="1"/>
  <c r="I11" i="44"/>
  <c r="I5" i="44"/>
  <c r="I10" i="44"/>
  <c r="I4" i="44"/>
  <c r="E3" i="33"/>
  <c r="F32" i="23" s="1"/>
  <c r="G32" i="23" s="1"/>
  <c r="H22" i="40"/>
  <c r="H23" i="40" s="1"/>
  <c r="E3" i="42"/>
  <c r="C23" i="23"/>
  <c r="D23" i="23"/>
  <c r="E23" i="23"/>
  <c r="C24" i="23"/>
  <c r="D24" i="23"/>
  <c r="E24" i="23"/>
  <c r="C25" i="23"/>
  <c r="D25" i="23"/>
  <c r="E25" i="23"/>
  <c r="C26" i="23"/>
  <c r="D26" i="23"/>
  <c r="E26" i="23"/>
  <c r="C27" i="23"/>
  <c r="D27" i="23"/>
  <c r="E27" i="23"/>
  <c r="C28" i="23"/>
  <c r="D28" i="23"/>
  <c r="E28" i="23"/>
  <c r="C29" i="23"/>
  <c r="D29" i="23"/>
  <c r="E29" i="23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E20" i="38" l="1"/>
  <c r="H22" i="31"/>
  <c r="H23" i="31" s="1"/>
  <c r="H22" i="34"/>
  <c r="H23" i="34" s="1"/>
  <c r="H22" i="37"/>
  <c r="H23" i="37" s="1"/>
  <c r="H22" i="44"/>
  <c r="H23" i="44" s="1"/>
  <c r="E3" i="44"/>
  <c r="C20" i="24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41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C13" i="23"/>
  <c r="D13" i="23"/>
  <c r="E13" i="23"/>
  <c r="C14" i="23"/>
  <c r="D14" i="23"/>
  <c r="E14" i="23"/>
  <c r="C15" i="23"/>
  <c r="D15" i="23"/>
  <c r="E15" i="23"/>
  <c r="C16" i="23"/>
  <c r="D16" i="23"/>
  <c r="E16" i="23"/>
  <c r="C17" i="23"/>
  <c r="D17" i="23"/>
  <c r="E17" i="23"/>
  <c r="C18" i="23"/>
  <c r="D18" i="23"/>
  <c r="E18" i="23"/>
  <c r="C19" i="23"/>
  <c r="D19" i="23"/>
  <c r="E19" i="23"/>
  <c r="C20" i="23"/>
  <c r="D20" i="23"/>
  <c r="E20" i="23"/>
  <c r="C21" i="23"/>
  <c r="D21" i="23"/>
  <c r="E21" i="23"/>
  <c r="C22" i="23"/>
  <c r="D22" i="23"/>
  <c r="E22" i="23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3" i="38" l="1"/>
  <c r="F37" i="23" s="1"/>
  <c r="G37" i="23" s="1"/>
  <c r="H22" i="38"/>
  <c r="H23" i="38" s="1"/>
  <c r="E20" i="28"/>
  <c r="E3" i="28" s="1"/>
  <c r="F27" i="23" s="1"/>
  <c r="G27" i="23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14" i="18"/>
  <c r="I8" i="18"/>
  <c r="I10" i="18"/>
  <c r="I13" i="18"/>
  <c r="I16" i="18"/>
  <c r="I12" i="18"/>
  <c r="I17" i="18"/>
  <c r="I11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5" i="9"/>
  <c r="I11" i="9"/>
  <c r="I17" i="9"/>
  <c r="I6" i="9"/>
  <c r="I15" i="6"/>
  <c r="I14" i="6"/>
  <c r="I17" i="6"/>
  <c r="I16" i="6"/>
  <c r="I12" i="6"/>
  <c r="I12" i="5"/>
  <c r="I17" i="5"/>
  <c r="I11" i="5"/>
  <c r="I16" i="5"/>
  <c r="I8" i="5"/>
  <c r="I13" i="5"/>
  <c r="I15" i="5"/>
  <c r="I14" i="5"/>
  <c r="A20" i="4"/>
  <c r="C20" i="4" s="1"/>
  <c r="C20" i="1"/>
  <c r="E20" i="27" l="1"/>
  <c r="I3" i="18"/>
  <c r="I7" i="18"/>
  <c r="I5" i="18"/>
  <c r="I5" i="6"/>
  <c r="I3" i="6"/>
  <c r="I6" i="6"/>
  <c r="H22" i="28"/>
  <c r="H23" i="28" s="1"/>
  <c r="I6" i="16"/>
  <c r="E20" i="14"/>
  <c r="E3" i="14" s="1"/>
  <c r="F14" i="23" s="1"/>
  <c r="G14" i="23" s="1"/>
  <c r="I3" i="9"/>
  <c r="I7" i="9"/>
  <c r="E20" i="9" s="1"/>
  <c r="H22" i="9" s="1"/>
  <c r="H23" i="9" s="1"/>
  <c r="I7" i="6"/>
  <c r="E20" i="24"/>
  <c r="E3" i="24" s="1"/>
  <c r="F23" i="23" s="1"/>
  <c r="G23" i="23" s="1"/>
  <c r="I8" i="20"/>
  <c r="I3" i="20"/>
  <c r="I7" i="20"/>
  <c r="I6" i="20"/>
  <c r="I4" i="20"/>
  <c r="I10" i="20"/>
  <c r="I9" i="20"/>
  <c r="I4" i="18"/>
  <c r="E20" i="18" s="1"/>
  <c r="H22" i="18" s="1"/>
  <c r="H23" i="18" s="1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E20" i="12" s="1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F29" i="23" s="1"/>
  <c r="G29" i="23" s="1"/>
  <c r="E20" i="29"/>
  <c r="H22" i="29" s="1"/>
  <c r="H23" i="29" s="1"/>
  <c r="E3" i="26"/>
  <c r="F25" i="23" s="1"/>
  <c r="G25" i="23" s="1"/>
  <c r="E20" i="25"/>
  <c r="H22" i="25" s="1"/>
  <c r="H23" i="25" s="1"/>
  <c r="E20" i="22"/>
  <c r="H22" i="22" s="1"/>
  <c r="H23" i="22" s="1"/>
  <c r="I11" i="22"/>
  <c r="I12" i="22"/>
  <c r="I9" i="22"/>
  <c r="I6" i="22"/>
  <c r="I5" i="22"/>
  <c r="I8" i="22"/>
  <c r="I4" i="22"/>
  <c r="I7" i="22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F26" i="23" s="1"/>
  <c r="G26" i="23" s="1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H22" i="14" l="1"/>
  <c r="H23" i="14" s="1"/>
  <c r="E20" i="8"/>
  <c r="H22" i="8" s="1"/>
  <c r="H23" i="8" s="1"/>
  <c r="E20" i="6"/>
  <c r="H22" i="6" s="1"/>
  <c r="H23" i="6" s="1"/>
  <c r="H22" i="24"/>
  <c r="H23" i="24" s="1"/>
  <c r="E20" i="20"/>
  <c r="E3" i="20" s="1"/>
  <c r="F20" i="23" s="1"/>
  <c r="G20" i="23" s="1"/>
  <c r="E3" i="16"/>
  <c r="F16" i="23" s="1"/>
  <c r="G16" i="23" s="1"/>
  <c r="H22" i="12"/>
  <c r="H23" i="12" s="1"/>
  <c r="E3" i="12"/>
  <c r="F12" i="23" s="1"/>
  <c r="G12" i="23" s="1"/>
  <c r="E3" i="8"/>
  <c r="F8" i="23" s="1"/>
  <c r="G8" i="23" s="1"/>
  <c r="E3" i="6"/>
  <c r="F6" i="23" s="1"/>
  <c r="G6" i="23" s="1"/>
  <c r="E20" i="5"/>
  <c r="E3" i="5" s="1"/>
  <c r="F5" i="23" s="1"/>
  <c r="G5" i="23" s="1"/>
  <c r="H22" i="30"/>
  <c r="H23" i="30" s="1"/>
  <c r="E3" i="29"/>
  <c r="F28" i="23" s="1"/>
  <c r="G28" i="23" s="1"/>
  <c r="F46" i="23" s="1"/>
  <c r="E3" i="25"/>
  <c r="F24" i="23" s="1"/>
  <c r="G24" i="23" s="1"/>
  <c r="E3" i="22"/>
  <c r="F22" i="23" s="1"/>
  <c r="G22" i="23" s="1"/>
  <c r="E20" i="21"/>
  <c r="H22" i="21" s="1"/>
  <c r="H23" i="21" s="1"/>
  <c r="E20" i="19"/>
  <c r="H22" i="19" s="1"/>
  <c r="H23" i="19" s="1"/>
  <c r="E3" i="18"/>
  <c r="F18" i="23" s="1"/>
  <c r="G18" i="23" s="1"/>
  <c r="E20" i="15"/>
  <c r="H22" i="15" s="1"/>
  <c r="H23" i="15" s="1"/>
  <c r="E20" i="13"/>
  <c r="E3" i="13" s="1"/>
  <c r="F13" i="23" s="1"/>
  <c r="G13" i="23" s="1"/>
  <c r="E20" i="11"/>
  <c r="H22" i="11" s="1"/>
  <c r="H23" i="11" s="1"/>
  <c r="E20" i="10"/>
  <c r="H22" i="10" s="1"/>
  <c r="H23" i="10" s="1"/>
  <c r="E3" i="9"/>
  <c r="F9" i="23" s="1"/>
  <c r="G9" i="23" s="1"/>
  <c r="E20" i="7"/>
  <c r="E20" i="4"/>
  <c r="E3" i="4" s="1"/>
  <c r="F4" i="23" s="1"/>
  <c r="G4" i="23" s="1"/>
  <c r="E20" i="17"/>
  <c r="E20" i="1"/>
  <c r="H22" i="20" l="1"/>
  <c r="H23" i="20" s="1"/>
  <c r="E3" i="21"/>
  <c r="F21" i="23" s="1"/>
  <c r="G21" i="23" s="1"/>
  <c r="E3" i="19"/>
  <c r="F19" i="23" s="1"/>
  <c r="G19" i="23" s="1"/>
  <c r="E3" i="15"/>
  <c r="F15" i="23" s="1"/>
  <c r="G15" i="23" s="1"/>
  <c r="H22" i="13"/>
  <c r="H23" i="13" s="1"/>
  <c r="E3" i="10"/>
  <c r="F10" i="23" s="1"/>
  <c r="G10" i="23" s="1"/>
  <c r="F45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F17" i="23" s="1"/>
  <c r="G17" i="23" s="1"/>
  <c r="E3" i="1"/>
  <c r="F3" i="23" s="1"/>
  <c r="G3" i="23" s="1"/>
  <c r="H22" i="1"/>
  <c r="H23" i="1" s="1"/>
  <c r="F44" i="23" l="1"/>
  <c r="F43" i="23"/>
  <c r="F39" i="23"/>
</calcChain>
</file>

<file path=xl/sharedStrings.xml><?xml version="1.0" encoding="utf-8"?>
<sst xmlns="http://schemas.openxmlformats.org/spreadsheetml/2006/main" count="1337" uniqueCount="85">
  <si>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</si>
  <si>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</si>
  <si>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</si>
  <si>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</si>
  <si>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</si>
  <si>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</si>
  <si>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</si>
  <si>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</si>
  <si>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</si>
  <si>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</si>
  <si>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</si>
  <si>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</si>
  <si>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</si>
  <si>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</si>
  <si>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</si>
  <si>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</si>
  <si>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</si>
  <si>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</si>
  <si>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</si>
  <si>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</si>
  <si>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</si>
  <si>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</si>
  <si>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</si>
  <si>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</si>
  <si>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</si>
  <si>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</si>
  <si>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</si>
  <si>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</si>
  <si>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</si>
  <si>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valor total do item</t>
  </si>
  <si>
    <t>total estimado</t>
  </si>
  <si>
    <t>APARELHO TELEFÔNICO IP Fixo – tipo 1, com as seguintes características:
• Terminal de comunicação IP composto por telefone, monofone, e acessórios para seu pleno funcionamento.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fixo.
• Possuir duas portas switch fast ethernet integradas internas, permitindo a conexão de um computador diretamente ao telefone IP fixo, nas velocidades de 10/100 Mbps, autosensing. Não será aceito o uso de adaptadores internos ou externos para as portas fast ethernet.
• Suportar PoE (Power over Ethernet) conforme a classificação do padrão IEEE 802.3af (calss1), suportando alimentação direta via interface ethernet.
• A porta do telefone IP deverá suportar mecanismo de qualidade de serviço e tronco de VLAN padrão 802.1q e 802.1p. Desta forma, o tráfego de dados e de voz utilizarão VLANs distintas.
• Certificado/homologado pela ANATEL.
• Possuir no mínimo os codecs G.711 e G.729.
• Permitir busca de configuração em servidores comuns por meio de protocolos padrão.
• Suportar o protocolo Session Initiation Protocol (SIP), não serão aceitos equipamentos híbridos com telefonia analógica ou que necessitem de adaptadores externos para o funcionamento.
• Possuir recurso de viva-voz bidirecional com cancelamento de eco.
• Permitir o ajuste de toque de chamada.
• Deve possuir ajuste de volume para fone, campainha e fone de ouvido.
• Deve possuir display de cristal líquido (LCD) monocromático, com iluminação de fundo, com resolução mínima de 128 x 32 pixels. Este display deve prover informações de data e hora, correio e voz, ícone de chamadas perdidas, detalhes da chamada durante uma ligação, histórico de chamadas efetuadas e recebidas e configurações do aparelho.
• Suportar o idioma Português (Brasil).
• Possuir recurso de geração de supressão de silêncio.
• A compressão dos canais de voz deve ser realizada no próprio aparelho.
• Permitir que se efetue transferência de chamadas internas e externas. O usuário poderá optar pela transferência de uma chamada recebida para um número interno ou externo.
• Possuir recurso que indique a existência de “chamada em espera”, informando ao usuário que há uma chamada entrante durante uma conversação.
• Permitir a rediscagem do último número discado.
• Possuir a tecla mute.
• Possuir recurso de discagem rápida para números pré-configurados pelo usuário.
• Suportar desvio automático de chamada para voicemail ou outro destino pré-configurado.
• Suportar conferência e captura de chamadas.
• Possuir fonte de energia compatível e do mesmo fabricante do telefone IP. A fonte deve operar na faixa de 110 Vac a 240 Vac, com chaveamento automático (conversão automática), frequência de 50-60 Hz e tomada padrão brasileiro.
• Garantia mínima de 36 (trinta e seis) meses.
• Referência: CISCO SIP PHONE 3905</t>
  </si>
  <si>
    <t>REFRIGERADOR, com as seguintes especificações:
• Tipo frigobar;
• Volume interno total: 75 a 95 litros;
• Selo Procel Classe A;
• Tensão elétrica: 127V;
• Degelo automático ou bandeja de degelo;
• Prateleiras removíveis;
• Portas reversíveis;
• Controle de temperatura;
• Cor branca.
• Garantia de, no mínimo, 360 dias.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</si>
  <si>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</si>
  <si>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</si>
  <si>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AMAZON</t>
  </si>
  <si>
    <t>AMERICANAS</t>
  </si>
  <si>
    <t>MAGAZINE LUIZA</t>
  </si>
  <si>
    <t>LOJA MUNDI</t>
  </si>
  <si>
    <t>MULTI COMPANY</t>
  </si>
  <si>
    <t>TI MIX</t>
  </si>
  <si>
    <t>PHILCO</t>
  </si>
  <si>
    <t>FERREIRA COSTA</t>
  </si>
  <si>
    <t>LEVEROS</t>
  </si>
  <si>
    <t>KABUM</t>
  </si>
  <si>
    <t>ELETROLUX</t>
  </si>
  <si>
    <t>GLOBAL PROJETORES</t>
  </si>
  <si>
    <t>HTCLICK</t>
  </si>
  <si>
    <t>IFONTECH</t>
  </si>
  <si>
    <t>RMS COMMERCE</t>
  </si>
  <si>
    <t>TIMIX</t>
  </si>
  <si>
    <t>SOLUÇÃO CABOS</t>
  </si>
  <si>
    <t>TECHINN</t>
  </si>
  <si>
    <t>quantidade total</t>
  </si>
  <si>
    <t>Tráfego Fixo-Fixo</t>
  </si>
  <si>
    <t>minuto</t>
  </si>
  <si>
    <t>MÉTODO TELECOMUNICAÇÕES E COMERCIO LTDA</t>
  </si>
  <si>
    <t>AVOIP TELECOM LTDA-ME</t>
  </si>
  <si>
    <t>CLARO S/A</t>
  </si>
  <si>
    <t>OI S/A</t>
  </si>
  <si>
    <t>ORBITEL TTELECOMUNICAÇÕES E INFORMÁTICA LTDA</t>
  </si>
  <si>
    <t>TELEFONICA BRASIL S/A</t>
  </si>
  <si>
    <t>Tráfego Fixo-Móvel (VC-1)</t>
  </si>
  <si>
    <t>Fixo-Fixo Intrarregionais</t>
  </si>
  <si>
    <t>Fixo-Fixo Inter-Regionais</t>
  </si>
  <si>
    <t>Fixo-Móvel Intrarregionais (VC-2)</t>
  </si>
  <si>
    <t>Fixo-Móvel Inter-Regionais (VC-3)</t>
  </si>
  <si>
    <t>Assinatura mensal de 2 (dois) troncos SIP (10 Mbps)</t>
  </si>
  <si>
    <t>mensalidade</t>
  </si>
  <si>
    <t>Outros (detalhar)</t>
  </si>
  <si>
    <t>AVOIP TELECOM LTDA-ME (faixa DDR)</t>
  </si>
  <si>
    <t>CLARO S/A (faixa DDR)</t>
  </si>
  <si>
    <t>ORBITEL TTELECOMUNICAÇÕES E INFORMÁTICA LTDA (faixa DDR)</t>
  </si>
  <si>
    <t>TELEFONICA BRASIL S/A (faixa DDR)</t>
  </si>
  <si>
    <t>Taxa de instalação dos 2 (dois) troncos SIP e faixas DDR</t>
  </si>
  <si>
    <t>Ligações recebidas de telefone fixo</t>
  </si>
  <si>
    <t>ALGAR TELECOM S/A</t>
  </si>
  <si>
    <t>WORLD TELECOM</t>
  </si>
  <si>
    <t>Ligações recebidas de telefone móvel</t>
  </si>
  <si>
    <t>Ligações intraestaduais recebidas de telefone fixo</t>
  </si>
  <si>
    <t>Ligações intraestaduais recebidas de telefone móvel</t>
  </si>
  <si>
    <t>Assinatura mensal de 0800</t>
  </si>
  <si>
    <t>serviço</t>
  </si>
  <si>
    <t>qtde itens</t>
  </si>
  <si>
    <t>total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</si>
</sst>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  <xf numFmtId="0" fontId="10" fillId="0" borderId="8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</v>
      </c>
      <c r="B3" s="37" t="s">
        <v>54</v>
      </c>
      <c r="C3" s="40" t="s">
        <v>55</v>
      </c>
      <c r="D3" s="40">
        <v>930600</v>
      </c>
      <c r="E3" s="34">
        <f>IF(C20&lt;=25%,D20,MIN(E20:F20))</f>
        <v>0.03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7.0000000000000007E-2</v>
      </c>
      <c r="I5" s="17">
        <f t="shared" si="0"/>
        <v>7.0000000000000007E-2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0.04</v>
      </c>
      <c r="I6" s="17">
        <f t="shared" si="0"/>
        <v>0.04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0.12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5.2535702146254797E-2</v>
      </c>
      <c r="B20" s="8">
        <f>COUNT(H3:H17)</f>
        <v>6</v>
      </c>
      <c r="C20" s="9">
        <f>IF(B20&lt;2,"n/a",(A20/D20))</f>
        <v>0.87559503577091335</v>
      </c>
      <c r="D20" s="10">
        <f>IFERROR(ROUND(AVERAGE(H3:H17),2),"")</f>
        <v>0.06</v>
      </c>
      <c r="E20" s="15">
        <f>IFERROR(ROUND(IF(B20&lt;2,"n/a",(IF(C20&lt;=25%,"n/a",AVERAGE(I3:I17)))),2),"n/a")</f>
        <v>0.03</v>
      </c>
      <c r="F20" s="10">
        <f>IFERROR(ROUND(MEDIAN(H3:H17),2),"")</f>
        <v>0.06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0.03</v>
      </c>
    </row>
    <row r="23" spans="1:9" x14ac:dyDescent="0.25">
      <c r="G23" s="13" t="s">
        <v>6</v>
      </c>
      <c r="H23" s="14">
        <f>ROUND(H22,2)*D3</f>
        <v>27918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10</v>
      </c>
      <c r="B3" s="37" t="s">
        <v>69</v>
      </c>
      <c r="C3" s="40" t="s">
        <v>7</v>
      </c>
      <c r="D3" s="40">
        <v>1</v>
      </c>
      <c r="E3" s="34">
        <f>IF(C20&lt;=25%,D20,MIN(E20:F20))</f>
        <v>0</v>
      </c>
      <c r="F3" s="34">
        <f>MIN(H3:H17)</f>
        <v>0</v>
      </c>
      <c r="G3" s="5" t="s">
        <v>56</v>
      </c>
      <c r="H3" s="16">
        <v>0</v>
      </c>
      <c r="I3" s="17" t="e">
        <f>IF(H3="","",(IF($C$20&lt;25%,"n/a",IF(H3&lt;=($D$20+$A$20),H3,"Descartado"))))</f>
        <v>#VALUE!</v>
      </c>
    </row>
    <row r="4" spans="1:9" x14ac:dyDescent="0.25">
      <c r="A4" s="35"/>
      <c r="B4" s="38"/>
      <c r="C4" s="41"/>
      <c r="D4" s="41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8"/>
      <c r="C5" s="41"/>
      <c r="D5" s="41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0</v>
      </c>
      <c r="E20" s="15" t="str">
        <f>IFERROR(ROUND(IF(B20&lt;2,"n/a",(IF(C20&lt;=25%,"n/a",AVERAGE(I3:I17)))),2),"n/a")</f>
        <v>n/a</v>
      </c>
      <c r="F20" s="10">
        <f>IFERROR(ROUND(MEDIAN(H3:H17),2),"")</f>
        <v>0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11</v>
      </c>
      <c r="B3" s="37" t="s">
        <v>54</v>
      </c>
      <c r="C3" s="40" t="s">
        <v>55</v>
      </c>
      <c r="D3" s="40">
        <v>300000</v>
      </c>
      <c r="E3" s="34">
        <f>IF(C20&lt;=25%,D20,MIN(E20:F20))</f>
        <v>0.03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7.0000000000000007E-2</v>
      </c>
      <c r="I5" s="17">
        <f t="shared" si="0"/>
        <v>7.0000000000000007E-2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0.04</v>
      </c>
      <c r="I6" s="17">
        <f t="shared" si="0"/>
        <v>0.04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0.12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5.2535702146254797E-2</v>
      </c>
      <c r="B20" s="8">
        <f>COUNT(H3:H17)</f>
        <v>6</v>
      </c>
      <c r="C20" s="9">
        <f>IF(B20&lt;2,"n/a",(A20/D20))</f>
        <v>0.87559503577091335</v>
      </c>
      <c r="D20" s="10">
        <f>IFERROR(ROUND(AVERAGE(H3:H17),2),"")</f>
        <v>0.06</v>
      </c>
      <c r="E20" s="15">
        <f>IFERROR(ROUND(IF(B20&lt;2,"n/a",(IF(C20&lt;=25%,"n/a",AVERAGE(I3:I17)))),2),"n/a")</f>
        <v>0.03</v>
      </c>
      <c r="F20" s="10">
        <f>IFERROR(ROUND(MEDIAN(H3:H17),2),"")</f>
        <v>0.06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0.03</v>
      </c>
    </row>
    <row r="23" spans="1:9" x14ac:dyDescent="0.25">
      <c r="G23" s="13" t="s">
        <v>6</v>
      </c>
      <c r="H23" s="14">
        <f>ROUND(H22,2)*D3</f>
        <v>9000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12</v>
      </c>
      <c r="B3" s="37" t="s">
        <v>62</v>
      </c>
      <c r="C3" s="40" t="s">
        <v>55</v>
      </c>
      <c r="D3" s="40">
        <v>60000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1.06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0.41</v>
      </c>
      <c r="I5" s="17">
        <f t="shared" si="0"/>
        <v>0.41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1.06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0.53034894173553326</v>
      </c>
      <c r="B20" s="8">
        <f>COUNT(H3:H17)</f>
        <v>5</v>
      </c>
      <c r="C20" s="9">
        <f>IF(B20&lt;2,"n/a",(A20/D20))</f>
        <v>1.0398998857559476</v>
      </c>
      <c r="D20" s="10">
        <f>IFERROR(ROUND(AVERAGE(H3:H17),2),"")</f>
        <v>0.51</v>
      </c>
      <c r="E20" s="15">
        <f>IFERROR(ROUND(IF(B20&lt;2,"n/a",(IF(C20&lt;=25%,"n/a",AVERAGE(I3:I17)))),2),"n/a")</f>
        <v>0.14000000000000001</v>
      </c>
      <c r="F20" s="10">
        <f>IFERROR(ROUND(MEDIAN(H3:H17),2),"")</f>
        <v>0.41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8400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13</v>
      </c>
      <c r="B3" s="37" t="s">
        <v>63</v>
      </c>
      <c r="C3" s="40" t="s">
        <v>55</v>
      </c>
      <c r="D3" s="40">
        <v>60000</v>
      </c>
      <c r="E3" s="34">
        <f>IF(C20&lt;=25%,D20,MIN(E20:F20))</f>
        <v>0.06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>
        <f t="shared" ref="I4:I17" si="0">IF(H4="","",(IF($C$20&lt;25%,"n/a",IF(H4&lt;=($D$20+$A$20),H4,"Descartado"))))</f>
        <v>0.12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 t="str">
        <f t="shared" si="0"/>
        <v>Descartado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0.12</v>
      </c>
      <c r="I6" s="17">
        <f t="shared" si="0"/>
        <v>0.12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0.10922453936730518</v>
      </c>
      <c r="B20" s="8">
        <f>COUNT(H3:H17)</f>
        <v>5</v>
      </c>
      <c r="C20" s="9">
        <f>IF(B20&lt;2,"n/a",(A20/D20))</f>
        <v>1.0922453936730518</v>
      </c>
      <c r="D20" s="10">
        <f>IFERROR(ROUND(AVERAGE(H3:H17),2),"")</f>
        <v>0.1</v>
      </c>
      <c r="E20" s="15">
        <f>IFERROR(ROUND(IF(B20&lt;2,"n/a",(IF(C20&lt;=25%,"n/a",AVERAGE(I3:I17)))),2),"n/a")</f>
        <v>0.06</v>
      </c>
      <c r="F20" s="10">
        <f>IFERROR(ROUND(MEDIAN(H3:H17),2),"")</f>
        <v>0.12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0.06</v>
      </c>
    </row>
    <row r="23" spans="1:9" x14ac:dyDescent="0.25">
      <c r="G23" s="13" t="s">
        <v>6</v>
      </c>
      <c r="H23" s="14">
        <f>ROUND(H22,2)*D3</f>
        <v>3600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14</v>
      </c>
      <c r="B3" s="37" t="s">
        <v>64</v>
      </c>
      <c r="C3" s="40" t="s">
        <v>55</v>
      </c>
      <c r="D3" s="40">
        <v>60000</v>
      </c>
      <c r="E3" s="34">
        <f>IF(C20&lt;=25%,D20,MIN(E20:F20))</f>
        <v>0.09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>
        <f t="shared" si="0"/>
        <v>0.27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0.76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0.38085430285084082</v>
      </c>
      <c r="B20" s="8">
        <f>COUNT(H3:H17)</f>
        <v>5</v>
      </c>
      <c r="C20" s="9">
        <f>IF(B20&lt;2,"n/a",(A20/D20))</f>
        <v>1.0579286190301134</v>
      </c>
      <c r="D20" s="10">
        <f>IFERROR(ROUND(AVERAGE(H3:H17),2),"")</f>
        <v>0.36</v>
      </c>
      <c r="E20" s="15">
        <f>IFERROR(ROUND(IF(B20&lt;2,"n/a",(IF(C20&lt;=25%,"n/a",AVERAGE(I3:I17)))),2),"n/a")</f>
        <v>0.09</v>
      </c>
      <c r="F20" s="10">
        <f>IFERROR(ROUND(MEDIAN(H3:H17),2),"")</f>
        <v>0.27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0.09</v>
      </c>
    </row>
    <row r="23" spans="1:9" x14ac:dyDescent="0.25">
      <c r="G23" s="13" t="s">
        <v>6</v>
      </c>
      <c r="H23" s="14">
        <f>ROUND(H22,2)*D3</f>
        <v>5400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15</v>
      </c>
      <c r="B3" s="37" t="s">
        <v>65</v>
      </c>
      <c r="C3" s="40" t="s">
        <v>55</v>
      </c>
      <c r="D3" s="40">
        <v>60000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0.49</v>
      </c>
      <c r="I5" s="17">
        <f t="shared" si="0"/>
        <v>0.49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0.76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0.3682209481638255</v>
      </c>
      <c r="B20" s="8">
        <f>COUNT(H3:H17)</f>
        <v>6</v>
      </c>
      <c r="C20" s="9">
        <f>IF(B20&lt;2,"n/a",(A20/D20))</f>
        <v>1.0520598518966444</v>
      </c>
      <c r="D20" s="10">
        <f>IFERROR(ROUND(AVERAGE(H3:H17),2),"")</f>
        <v>0.35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8400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16</v>
      </c>
      <c r="B3" s="37" t="s">
        <v>66</v>
      </c>
      <c r="C3" s="40" t="s">
        <v>55</v>
      </c>
      <c r="D3" s="40">
        <v>30000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3.65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0.5</v>
      </c>
      <c r="I5" s="17">
        <f t="shared" si="0"/>
        <v>0.5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3.63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1.815636711092466</v>
      </c>
      <c r="B20" s="8">
        <f>COUNT(H3:H17)</f>
        <v>6</v>
      </c>
      <c r="C20" s="9">
        <f>IF(B20&lt;2,"n/a",(A20/D20))</f>
        <v>1.3859822222079894</v>
      </c>
      <c r="D20" s="10">
        <f>IFERROR(ROUND(AVERAGE(H3:H17),2),"")</f>
        <v>1.31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4200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17</v>
      </c>
      <c r="B3" s="37" t="s">
        <v>67</v>
      </c>
      <c r="C3" s="40" t="s">
        <v>68</v>
      </c>
      <c r="D3" s="40">
        <v>24</v>
      </c>
      <c r="E3" s="34">
        <f>IF(C20&lt;=25%,D20,MIN(E20:F20))</f>
        <v>2238.9299999999998</v>
      </c>
      <c r="F3" s="34">
        <f>MIN(H3:H17)</f>
        <v>305.89</v>
      </c>
      <c r="G3" s="5" t="s">
        <v>56</v>
      </c>
      <c r="H3" s="16">
        <v>4058.64</v>
      </c>
      <c r="I3" s="17">
        <f>IF(H3="","",(IF($C$20&lt;25%,"n/a",IF(H3&lt;=($D$20+$A$20),H3,"Descartado"))))</f>
        <v>4058.64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3673.9</v>
      </c>
      <c r="I4" s="17">
        <f t="shared" ref="I4:I17" si="0">IF(H4="","",(IF($C$20&lt;25%,"n/a",IF(H4&lt;=($D$20+$A$20),H4,"Descartado"))))</f>
        <v>3673.9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917.27</v>
      </c>
      <c r="I5" s="17">
        <f t="shared" si="0"/>
        <v>917.27</v>
      </c>
    </row>
    <row r="6" spans="1:9" x14ac:dyDescent="0.25">
      <c r="A6" s="35"/>
      <c r="B6" s="38"/>
      <c r="C6" s="41"/>
      <c r="D6" s="41"/>
      <c r="E6" s="34"/>
      <c r="F6" s="34"/>
      <c r="G6" s="5" t="s">
        <v>61</v>
      </c>
      <c r="H6" s="16">
        <v>305.89</v>
      </c>
      <c r="I6" s="17">
        <f t="shared" si="0"/>
        <v>305.89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1902.096403278937</v>
      </c>
      <c r="B20" s="8">
        <f>COUNT(H3:H17)</f>
        <v>4</v>
      </c>
      <c r="C20" s="9">
        <f>IF(B20&lt;2,"n/a",(A20/D20))</f>
        <v>0.84955599472915055</v>
      </c>
      <c r="D20" s="10">
        <f>IFERROR(ROUND(AVERAGE(H3:H17),2),"")</f>
        <v>2238.9299999999998</v>
      </c>
      <c r="E20" s="15">
        <f>IFERROR(ROUND(IF(B20&lt;2,"n/a",(IF(C20&lt;=25%,"n/a",AVERAGE(I3:I17)))),2),"n/a")</f>
        <v>2238.9299999999998</v>
      </c>
      <c r="F20" s="10">
        <f>IFERROR(ROUND(MEDIAN(H3:H17),2),"")</f>
        <v>2295.59</v>
      </c>
      <c r="G20" s="11" t="str">
        <f>IFERROR(INDEX(G3:G17,MATCH(H20,H3:H17,0)),"")</f>
        <v>TELEFONICA BRASIL S/A</v>
      </c>
      <c r="H20" s="12">
        <f>F3</f>
        <v>305.89</v>
      </c>
    </row>
    <row r="22" spans="1:9" x14ac:dyDescent="0.25">
      <c r="G22" s="13" t="s">
        <v>20</v>
      </c>
      <c r="H22" s="14">
        <f>IF(C20&lt;=25%,D20,MIN(E20:F20))</f>
        <v>2238.9299999999998</v>
      </c>
    </row>
    <row r="23" spans="1:9" x14ac:dyDescent="0.25">
      <c r="G23" s="13" t="s">
        <v>6</v>
      </c>
      <c r="H23" s="14">
        <f>ROUND(H22,2)*D3</f>
        <v>53734.319999999992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18</v>
      </c>
      <c r="B3" s="37" t="s">
        <v>69</v>
      </c>
      <c r="C3" s="40" t="s">
        <v>68</v>
      </c>
      <c r="D3" s="40">
        <v>24</v>
      </c>
      <c r="E3" s="34">
        <f>IF(C20&lt;=25%,D20,MIN(E20:F20))</f>
        <v>90.91</v>
      </c>
      <c r="F3" s="34">
        <f>MIN(H3:H17)</f>
        <v>0</v>
      </c>
      <c r="G3" s="5" t="s">
        <v>56</v>
      </c>
      <c r="H3" s="16">
        <v>0</v>
      </c>
      <c r="I3" s="17">
        <f>IF(H3="","",(IF($C$20&lt;25%,"n/a",IF(H3&lt;=($D$20+$A$20),H3,"Descartado"))))</f>
        <v>0</v>
      </c>
    </row>
    <row r="4" spans="1:9" x14ac:dyDescent="0.25">
      <c r="A4" s="35"/>
      <c r="B4" s="38"/>
      <c r="C4" s="41"/>
      <c r="D4" s="41"/>
      <c r="E4" s="34"/>
      <c r="F4" s="34"/>
      <c r="G4" s="5" t="s">
        <v>70</v>
      </c>
      <c r="H4" s="16">
        <v>174.21</v>
      </c>
      <c r="I4" s="17">
        <f t="shared" ref="I4:I17" si="0">IF(H4="","",(IF($C$20&lt;25%,"n/a",IF(H4&lt;=($D$20+$A$20),H4,"Descartado"))))</f>
        <v>174.21</v>
      </c>
    </row>
    <row r="5" spans="1:9" x14ac:dyDescent="0.25">
      <c r="A5" s="35"/>
      <c r="B5" s="38"/>
      <c r="C5" s="41"/>
      <c r="D5" s="41"/>
      <c r="E5" s="34"/>
      <c r="F5" s="34"/>
      <c r="G5" s="5" t="s">
        <v>71</v>
      </c>
      <c r="H5" s="16">
        <v>106.73</v>
      </c>
      <c r="I5" s="17">
        <f t="shared" si="0"/>
        <v>106.73</v>
      </c>
    </row>
    <row r="6" spans="1:9" x14ac:dyDescent="0.25">
      <c r="A6" s="35"/>
      <c r="B6" s="38"/>
      <c r="C6" s="41"/>
      <c r="D6" s="41"/>
      <c r="E6" s="34"/>
      <c r="F6" s="34"/>
      <c r="G6" s="5" t="s">
        <v>72</v>
      </c>
      <c r="H6" s="16">
        <v>173.61</v>
      </c>
      <c r="I6" s="17">
        <f t="shared" si="0"/>
        <v>173.61</v>
      </c>
    </row>
    <row r="7" spans="1:9" x14ac:dyDescent="0.25">
      <c r="A7" s="35"/>
      <c r="B7" s="38"/>
      <c r="C7" s="41"/>
      <c r="D7" s="41"/>
      <c r="E7" s="34"/>
      <c r="F7" s="34"/>
      <c r="G7" s="5" t="s">
        <v>73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87.403816564266805</v>
      </c>
      <c r="B20" s="8">
        <f>COUNT(H3:H17)</f>
        <v>5</v>
      </c>
      <c r="C20" s="9">
        <f>IF(B20&lt;2,"n/a",(A20/D20))</f>
        <v>0.96143236788325603</v>
      </c>
      <c r="D20" s="10">
        <f>IFERROR(ROUND(AVERAGE(H3:H17),2),"")</f>
        <v>90.91</v>
      </c>
      <c r="E20" s="15">
        <f>IFERROR(ROUND(IF(B20&lt;2,"n/a",(IF(C20&lt;=25%,"n/a",AVERAGE(I3:I17)))),2),"n/a")</f>
        <v>90.91</v>
      </c>
      <c r="F20" s="10">
        <f>IFERROR(ROUND(MEDIAN(H3:H17),2),"")</f>
        <v>106.73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90.91</v>
      </c>
    </row>
    <row r="23" spans="1:9" x14ac:dyDescent="0.25">
      <c r="G23" s="13" t="s">
        <v>6</v>
      </c>
      <c r="H23" s="14">
        <f>ROUND(H22,2)*D3</f>
        <v>2181.84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19</v>
      </c>
      <c r="B3" s="37" t="s">
        <v>74</v>
      </c>
      <c r="C3" s="40" t="s">
        <v>7</v>
      </c>
      <c r="D3" s="40">
        <v>1</v>
      </c>
      <c r="E3" s="34">
        <f>IF(C20&lt;=25%,D20,MIN(E20:F20))</f>
        <v>1498.76</v>
      </c>
      <c r="F3" s="34">
        <f>MIN(H3:H17)</f>
        <v>0</v>
      </c>
      <c r="G3" s="5" t="s">
        <v>56</v>
      </c>
      <c r="H3" s="16">
        <v>2029.32</v>
      </c>
      <c r="I3" s="17">
        <f>IF(H3="","",(IF($C$20&lt;25%,"n/a",IF(H3&lt;=($D$20+$A$20),H3,"Descartado"))))</f>
        <v>2029.32</v>
      </c>
    </row>
    <row r="4" spans="1:9" x14ac:dyDescent="0.25">
      <c r="A4" s="35"/>
      <c r="B4" s="38"/>
      <c r="C4" s="41"/>
      <c r="D4" s="41"/>
      <c r="E4" s="34"/>
      <c r="F4" s="34"/>
      <c r="G4" s="5" t="s">
        <v>58</v>
      </c>
      <c r="H4" s="16">
        <v>2466.9499999999998</v>
      </c>
      <c r="I4" s="17">
        <f t="shared" ref="I4:I17" si="0">IF(H4="","",(IF($C$20&lt;25%,"n/a",IF(H4&lt;=($D$20+$A$20),H4,"Descartado"))))</f>
        <v>2466.9499999999998</v>
      </c>
    </row>
    <row r="5" spans="1:9" x14ac:dyDescent="0.25">
      <c r="A5" s="35"/>
      <c r="B5" s="38"/>
      <c r="C5" s="41"/>
      <c r="D5" s="41"/>
      <c r="E5" s="34"/>
      <c r="F5" s="34"/>
      <c r="G5" s="5" t="s">
        <v>61</v>
      </c>
      <c r="H5" s="16">
        <v>0</v>
      </c>
      <c r="I5" s="17">
        <f t="shared" si="0"/>
        <v>0</v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1316.2764389114216</v>
      </c>
      <c r="B20" s="8">
        <f>COUNT(H3:H17)</f>
        <v>3</v>
      </c>
      <c r="C20" s="9">
        <f>IF(B20&lt;2,"n/a",(A20/D20))</f>
        <v>0.87824364068391303</v>
      </c>
      <c r="D20" s="10">
        <f>IFERROR(ROUND(AVERAGE(H3:H17),2),"")</f>
        <v>1498.76</v>
      </c>
      <c r="E20" s="15">
        <f>IFERROR(ROUND(IF(B20&lt;2,"n/a",(IF(C20&lt;=25%,"n/a",AVERAGE(I3:I17)))),2),"n/a")</f>
        <v>1498.76</v>
      </c>
      <c r="F20" s="10">
        <f>IFERROR(ROUND(MEDIAN(H3:H17),2),"")</f>
        <v>2029.32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1498.76</v>
      </c>
    </row>
    <row r="23" spans="1:9" x14ac:dyDescent="0.25">
      <c r="G23" s="13" t="s">
        <v>6</v>
      </c>
      <c r="H23" s="14">
        <f>ROUND(H22,2)*D3</f>
        <v>1498.76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2</v>
      </c>
      <c r="B3" s="37" t="s">
        <v>62</v>
      </c>
      <c r="C3" s="40" t="s">
        <v>55</v>
      </c>
      <c r="D3" s="40">
        <v>141000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1.06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0.41</v>
      </c>
      <c r="I5" s="17">
        <f t="shared" si="0"/>
        <v>0.41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1.06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0.53034894173553326</v>
      </c>
      <c r="B20" s="8">
        <f>COUNT(H3:H17)</f>
        <v>5</v>
      </c>
      <c r="C20" s="9">
        <f>IF(B20&lt;2,"n/a",(A20/D20))</f>
        <v>1.0398998857559476</v>
      </c>
      <c r="D20" s="10">
        <f>IFERROR(ROUND(AVERAGE(H3:H17),2),"")</f>
        <v>0.51</v>
      </c>
      <c r="E20" s="15">
        <f>IFERROR(ROUND(IF(B20&lt;2,"n/a",(IF(C20&lt;=25%,"n/a",AVERAGE(I3:I17)))),2),"n/a")</f>
        <v>0.14000000000000001</v>
      </c>
      <c r="F20" s="10">
        <f>IFERROR(ROUND(MEDIAN(H3:H17),2),"")</f>
        <v>0.41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19740.000000000004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20</v>
      </c>
      <c r="B3" s="37" t="s">
        <v>69</v>
      </c>
      <c r="C3" s="40" t="s">
        <v>7</v>
      </c>
      <c r="D3" s="40">
        <v>1</v>
      </c>
      <c r="E3" s="34">
        <f>IF(C20&lt;=25%,D20,MIN(E20:F20))</f>
        <v>0</v>
      </c>
      <c r="F3" s="34">
        <f>MIN(H3:H17)</f>
        <v>0</v>
      </c>
      <c r="G3" s="5" t="s">
        <v>56</v>
      </c>
      <c r="H3" s="16">
        <v>0</v>
      </c>
      <c r="I3" s="17" t="e">
        <f>IF(H3="","",(IF($C$20&lt;25%,"n/a",IF(H3&lt;=($D$20+$A$20),H3,"Descartado"))))</f>
        <v>#VALUE!</v>
      </c>
    </row>
    <row r="4" spans="1:9" x14ac:dyDescent="0.25">
      <c r="A4" s="35"/>
      <c r="B4" s="38"/>
      <c r="C4" s="41"/>
      <c r="D4" s="41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8"/>
      <c r="C5" s="41"/>
      <c r="D5" s="41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0</v>
      </c>
      <c r="E20" s="15" t="str">
        <f>IFERROR(ROUND(IF(B20&lt;2,"n/a",(IF(C20&lt;=25%,"n/a",AVERAGE(I3:I17)))),2),"n/a")</f>
        <v>n/a</v>
      </c>
      <c r="F20" s="10">
        <f>IFERROR(ROUND(MEDIAN(H3:H17),2),"")</f>
        <v>0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5" sqref="G1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21</v>
      </c>
      <c r="B3" s="37" t="s">
        <v>54</v>
      </c>
      <c r="C3" s="40" t="s">
        <v>55</v>
      </c>
      <c r="D3" s="40">
        <v>660000</v>
      </c>
      <c r="E3" s="34">
        <f>IF(C20&lt;=25%,D20,MIN(E20:F20))</f>
        <v>0.03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7.0000000000000007E-2</v>
      </c>
      <c r="I5" s="17">
        <f t="shared" si="0"/>
        <v>7.0000000000000007E-2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0.04</v>
      </c>
      <c r="I6" s="17">
        <f t="shared" si="0"/>
        <v>0.04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0.12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5.2535702146254797E-2</v>
      </c>
      <c r="B20" s="8">
        <f>COUNT(H3:H17)</f>
        <v>6</v>
      </c>
      <c r="C20" s="9">
        <f>IF(B20&lt;2,"n/a",(A20/D20))</f>
        <v>0.87559503577091335</v>
      </c>
      <c r="D20" s="10">
        <f>IFERROR(ROUND(AVERAGE(H3:H17),2),"")</f>
        <v>0.06</v>
      </c>
      <c r="E20" s="15">
        <f>IFERROR(ROUND(IF(B20&lt;2,"n/a",(IF(C20&lt;=25%,"n/a",AVERAGE(I3:I17)))),2),"n/a")</f>
        <v>0.03</v>
      </c>
      <c r="F20" s="10">
        <f>IFERROR(ROUND(MEDIAN(H3:H17),2),"")</f>
        <v>0.06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0.03</v>
      </c>
    </row>
    <row r="23" spans="1:9" x14ac:dyDescent="0.25">
      <c r="G23" s="13" t="s">
        <v>6</v>
      </c>
      <c r="H23" s="14">
        <f>ROUND(H22,2)*D3</f>
        <v>19800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22</v>
      </c>
      <c r="B3" s="37" t="s">
        <v>62</v>
      </c>
      <c r="C3" s="40" t="s">
        <v>55</v>
      </c>
      <c r="D3" s="40">
        <v>135000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1.06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0.41</v>
      </c>
      <c r="I5" s="17">
        <f t="shared" si="0"/>
        <v>0.41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1.06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0.53034894173553326</v>
      </c>
      <c r="B20" s="8">
        <f>COUNT(H3:H17)</f>
        <v>5</v>
      </c>
      <c r="C20" s="9">
        <f>IF(B20&lt;2,"n/a",(A20/D20))</f>
        <v>1.0398998857559476</v>
      </c>
      <c r="D20" s="10">
        <f>IFERROR(ROUND(AVERAGE(H3:H17),2),"")</f>
        <v>0.51</v>
      </c>
      <c r="E20" s="15">
        <f>IFERROR(ROUND(IF(B20&lt;2,"n/a",(IF(C20&lt;=25%,"n/a",AVERAGE(I3:I17)))),2),"n/a")</f>
        <v>0.14000000000000001</v>
      </c>
      <c r="F20" s="10">
        <f>IFERROR(ROUND(MEDIAN(H3:H17),2),"")</f>
        <v>0.41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18900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23</v>
      </c>
      <c r="B3" s="37" t="s">
        <v>63</v>
      </c>
      <c r="C3" s="40" t="s">
        <v>55</v>
      </c>
      <c r="D3" s="40">
        <v>135000</v>
      </c>
      <c r="E3" s="34">
        <f>IF(C20&lt;=25%,D20,MIN(E20:F20))</f>
        <v>0.06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>
        <f t="shared" ref="I4:I17" si="0">IF(H4="","",(IF($C$20&lt;25%,"n/a",IF(H4&lt;=($D$20+$A$20),H4,"Descartado"))))</f>
        <v>0.12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 t="str">
        <f t="shared" si="0"/>
        <v>Descartado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0.12</v>
      </c>
      <c r="I6" s="17">
        <f t="shared" si="0"/>
        <v>0.12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0.10922453936730518</v>
      </c>
      <c r="B20" s="8">
        <f>COUNT(H3:H17)</f>
        <v>5</v>
      </c>
      <c r="C20" s="9">
        <f>IF(B20&lt;2,"n/a",(A20/D20))</f>
        <v>1.0922453936730518</v>
      </c>
      <c r="D20" s="10">
        <f>IFERROR(ROUND(AVERAGE(H3:H17),2),"")</f>
        <v>0.1</v>
      </c>
      <c r="E20" s="15">
        <f>IFERROR(ROUND(IF(B20&lt;2,"n/a",(IF(C20&lt;=25%,"n/a",AVERAGE(I3:I17)))),2),"n/a")</f>
        <v>0.06</v>
      </c>
      <c r="F20" s="10">
        <f>IFERROR(ROUND(MEDIAN(H3:H17),2),"")</f>
        <v>0.12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0.06</v>
      </c>
    </row>
    <row r="23" spans="1:9" x14ac:dyDescent="0.25">
      <c r="G23" s="13" t="s">
        <v>6</v>
      </c>
      <c r="H23" s="14">
        <f>ROUND(H22,2)*D3</f>
        <v>8100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24</v>
      </c>
      <c r="B3" s="37" t="s">
        <v>64</v>
      </c>
      <c r="C3" s="40" t="s">
        <v>55</v>
      </c>
      <c r="D3" s="40">
        <v>135000</v>
      </c>
      <c r="E3" s="34">
        <f>IF(C20&lt;=25%,D20,MIN(E20:F20))</f>
        <v>0.09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>
        <f t="shared" si="0"/>
        <v>0.27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0.76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0.38085430285084082</v>
      </c>
      <c r="B20" s="8">
        <f>COUNT(H3:H17)</f>
        <v>5</v>
      </c>
      <c r="C20" s="9">
        <f>IF(B20&lt;2,"n/a",(A20/D20))</f>
        <v>1.0579286190301134</v>
      </c>
      <c r="D20" s="10">
        <f>IFERROR(ROUND(AVERAGE(H3:H17),2),"")</f>
        <v>0.36</v>
      </c>
      <c r="E20" s="15">
        <f>IFERROR(ROUND(IF(B20&lt;2,"n/a",(IF(C20&lt;=25%,"n/a",AVERAGE(I3:I17)))),2),"n/a")</f>
        <v>0.09</v>
      </c>
      <c r="F20" s="10">
        <f>IFERROR(ROUND(MEDIAN(H3:H17),2),"")</f>
        <v>0.27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0.09</v>
      </c>
    </row>
    <row r="23" spans="1:9" x14ac:dyDescent="0.25">
      <c r="G23" s="13" t="s">
        <v>6</v>
      </c>
      <c r="H23" s="14">
        <f>ROUND(H22,2)*D3</f>
        <v>12150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7" sqref="G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25</v>
      </c>
      <c r="B3" s="37" t="s">
        <v>65</v>
      </c>
      <c r="C3" s="40" t="s">
        <v>55</v>
      </c>
      <c r="D3" s="40">
        <v>135000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0.49</v>
      </c>
      <c r="I5" s="17">
        <f t="shared" si="0"/>
        <v>0.49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0.76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0.3682209481638255</v>
      </c>
      <c r="B20" s="8">
        <f>COUNT(H3:H17)</f>
        <v>6</v>
      </c>
      <c r="C20" s="9">
        <f>IF(B20&lt;2,"n/a",(A20/D20))</f>
        <v>1.0520598518966444</v>
      </c>
      <c r="D20" s="10">
        <f>IFERROR(ROUND(AVERAGE(H3:H17),2),"")</f>
        <v>0.35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18900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5">
        <v>26</v>
      </c>
      <c r="B3" s="37" t="s">
        <v>66</v>
      </c>
      <c r="C3" s="40" t="s">
        <v>55</v>
      </c>
      <c r="D3" s="40">
        <v>75000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3.65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0.5</v>
      </c>
      <c r="I5" s="17">
        <f t="shared" si="0"/>
        <v>0.5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3.63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1.815636711092466</v>
      </c>
      <c r="B20" s="8">
        <f>COUNT(H3:H17)</f>
        <v>6</v>
      </c>
      <c r="C20" s="9">
        <f>IF(B20&lt;2,"n/a",(A20/D20))</f>
        <v>1.3859822222079894</v>
      </c>
      <c r="D20" s="10">
        <f>IFERROR(ROUND(AVERAGE(H3:H17),2),"")</f>
        <v>1.31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10500.000000000002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ht="15" customHeight="1" x14ac:dyDescent="0.25">
      <c r="A3" s="35">
        <v>27</v>
      </c>
      <c r="B3" s="37" t="s">
        <v>67</v>
      </c>
      <c r="C3" s="40" t="s">
        <v>68</v>
      </c>
      <c r="D3" s="40">
        <v>24</v>
      </c>
      <c r="E3" s="34">
        <f>IF(C20&lt;=25%,D20,MIN(E20:F20))</f>
        <v>1632.35</v>
      </c>
      <c r="F3" s="34">
        <f>MIN(H3:H17)</f>
        <v>305.89</v>
      </c>
      <c r="G3" s="5" t="s">
        <v>56</v>
      </c>
      <c r="H3" s="16">
        <v>6087.96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3673.9</v>
      </c>
      <c r="I4" s="17">
        <f t="shared" ref="I4:I17" si="0">IF(H4="","",(IF($C$20&lt;25%,"n/a",IF(H4&lt;=($D$20+$A$20),H4,"Descartado"))))</f>
        <v>3673.9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917.27</v>
      </c>
      <c r="I5" s="17">
        <f t="shared" si="0"/>
        <v>917.27</v>
      </c>
    </row>
    <row r="6" spans="1:9" x14ac:dyDescent="0.25">
      <c r="A6" s="35"/>
      <c r="B6" s="38"/>
      <c r="C6" s="41"/>
      <c r="D6" s="41"/>
      <c r="E6" s="34"/>
      <c r="F6" s="34"/>
      <c r="G6" s="5" t="s">
        <v>61</v>
      </c>
      <c r="H6" s="16">
        <v>305.89</v>
      </c>
      <c r="I6" s="17">
        <f t="shared" si="0"/>
        <v>305.89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2666.3386266876655</v>
      </c>
      <c r="B20" s="8">
        <f>COUNT(H3:H17)</f>
        <v>4</v>
      </c>
      <c r="C20" s="9">
        <f>IF(B20&lt;2,"n/a",(A20/D20))</f>
        <v>0.97089810385311848</v>
      </c>
      <c r="D20" s="10">
        <f>IFERROR(ROUND(AVERAGE(H3:H17),2),"")</f>
        <v>2746.26</v>
      </c>
      <c r="E20" s="15">
        <f>IFERROR(ROUND(IF(B20&lt;2,"n/a",(IF(C20&lt;=25%,"n/a",AVERAGE(I3:I17)))),2),"n/a")</f>
        <v>1632.35</v>
      </c>
      <c r="F20" s="10">
        <f>IFERROR(ROUND(MEDIAN(H3:H17),2),"")</f>
        <v>2295.59</v>
      </c>
      <c r="G20" s="11" t="str">
        <f>IFERROR(INDEX(G3:G17,MATCH(H20,H3:H17,0)),"")</f>
        <v>TELEFONICA BRASIL S/A</v>
      </c>
      <c r="H20" s="12">
        <f>F3</f>
        <v>305.89</v>
      </c>
    </row>
    <row r="22" spans="1:9" x14ac:dyDescent="0.25">
      <c r="G22" s="13" t="s">
        <v>20</v>
      </c>
      <c r="H22" s="14">
        <f>IF(C20&lt;=25%,D20,MIN(E20:F20))</f>
        <v>1632.35</v>
      </c>
    </row>
    <row r="23" spans="1:9" x14ac:dyDescent="0.25">
      <c r="G23" s="13" t="s">
        <v>6</v>
      </c>
      <c r="H23" s="14">
        <f>ROUND(H22,2)*D3</f>
        <v>39176.399999999994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28</v>
      </c>
      <c r="B3" s="37" t="s">
        <v>69</v>
      </c>
      <c r="C3" s="40" t="s">
        <v>68</v>
      </c>
      <c r="D3" s="40">
        <v>24</v>
      </c>
      <c r="E3" s="34">
        <f>IF(C20&lt;=25%,D20,MIN(E20:F20))</f>
        <v>90.91</v>
      </c>
      <c r="F3" s="34">
        <f>MIN(H3:H17)</f>
        <v>0</v>
      </c>
      <c r="G3" s="5" t="s">
        <v>56</v>
      </c>
      <c r="H3" s="16">
        <v>0</v>
      </c>
      <c r="I3" s="17">
        <f>IF(H3="","",(IF($C$20&lt;25%,"n/a",IF(H3&lt;=($D$20+$A$20),H3,"Descartado"))))</f>
        <v>0</v>
      </c>
    </row>
    <row r="4" spans="1:9" x14ac:dyDescent="0.25">
      <c r="A4" s="35"/>
      <c r="B4" s="38"/>
      <c r="C4" s="41"/>
      <c r="D4" s="41"/>
      <c r="E4" s="34"/>
      <c r="F4" s="34"/>
      <c r="G4" s="5" t="s">
        <v>70</v>
      </c>
      <c r="H4" s="16">
        <v>174.21</v>
      </c>
      <c r="I4" s="17">
        <f t="shared" ref="I4:I17" si="0">IF(H4="","",(IF($C$20&lt;25%,"n/a",IF(H4&lt;=($D$20+$A$20),H4,"Descartado"))))</f>
        <v>174.21</v>
      </c>
    </row>
    <row r="5" spans="1:9" x14ac:dyDescent="0.25">
      <c r="A5" s="35"/>
      <c r="B5" s="38"/>
      <c r="C5" s="41"/>
      <c r="D5" s="41"/>
      <c r="E5" s="34"/>
      <c r="F5" s="34"/>
      <c r="G5" s="5" t="s">
        <v>71</v>
      </c>
      <c r="H5" s="16">
        <v>106.73</v>
      </c>
      <c r="I5" s="17">
        <f t="shared" si="0"/>
        <v>106.73</v>
      </c>
    </row>
    <row r="6" spans="1:9" x14ac:dyDescent="0.25">
      <c r="A6" s="35"/>
      <c r="B6" s="38"/>
      <c r="C6" s="41"/>
      <c r="D6" s="41"/>
      <c r="E6" s="34"/>
      <c r="F6" s="34"/>
      <c r="G6" s="5" t="s">
        <v>72</v>
      </c>
      <c r="H6" s="16">
        <v>173.61</v>
      </c>
      <c r="I6" s="17">
        <f t="shared" si="0"/>
        <v>173.61</v>
      </c>
    </row>
    <row r="7" spans="1:9" x14ac:dyDescent="0.25">
      <c r="A7" s="35"/>
      <c r="B7" s="38"/>
      <c r="C7" s="41"/>
      <c r="D7" s="41"/>
      <c r="E7" s="34"/>
      <c r="F7" s="34"/>
      <c r="G7" s="5" t="s">
        <v>73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87.403816564266805</v>
      </c>
      <c r="B20" s="8">
        <f>COUNT(H3:H17)</f>
        <v>5</v>
      </c>
      <c r="C20" s="9">
        <f>IF(B20&lt;2,"n/a",(A20/D20))</f>
        <v>0.96143236788325603</v>
      </c>
      <c r="D20" s="10">
        <f>IFERROR(ROUND(AVERAGE(H3:H17),2),"")</f>
        <v>90.91</v>
      </c>
      <c r="E20" s="15">
        <f>IFERROR(ROUND(IF(B20&lt;2,"n/a",(IF(C20&lt;=25%,"n/a",AVERAGE(I3:I17)))),2),"n/a")</f>
        <v>90.91</v>
      </c>
      <c r="F20" s="10">
        <f>IFERROR(ROUND(MEDIAN(H3:H17),2),"")</f>
        <v>106.73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90.91</v>
      </c>
    </row>
    <row r="23" spans="1:9" x14ac:dyDescent="0.25">
      <c r="G23" s="13" t="s">
        <v>6</v>
      </c>
      <c r="H23" s="14">
        <f>ROUND(H22,2)*D3</f>
        <v>2181.84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5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29</v>
      </c>
      <c r="B3" s="37" t="s">
        <v>74</v>
      </c>
      <c r="C3" s="40" t="s">
        <v>7</v>
      </c>
      <c r="D3" s="40">
        <v>1</v>
      </c>
      <c r="E3" s="34">
        <f>IF(C20&lt;=25%,D20,MIN(E20:F20))</f>
        <v>1498.76</v>
      </c>
      <c r="F3" s="34">
        <f>MIN(H3:H17)</f>
        <v>0</v>
      </c>
      <c r="G3" s="5" t="s">
        <v>56</v>
      </c>
      <c r="H3" s="16">
        <v>2029.32</v>
      </c>
      <c r="I3" s="17">
        <f>IF(H3="","",(IF($C$20&lt;25%,"n/a",IF(H3&lt;=($D$20+$A$20),H3,"Descartado"))))</f>
        <v>2029.32</v>
      </c>
    </row>
    <row r="4" spans="1:9" x14ac:dyDescent="0.25">
      <c r="A4" s="35"/>
      <c r="B4" s="38"/>
      <c r="C4" s="41"/>
      <c r="D4" s="41"/>
      <c r="E4" s="34"/>
      <c r="F4" s="34"/>
      <c r="G4" s="5" t="s">
        <v>58</v>
      </c>
      <c r="H4" s="16">
        <v>2466.9499999999998</v>
      </c>
      <c r="I4" s="17">
        <f t="shared" ref="I4:I17" si="0">IF(H4="","",(IF($C$20&lt;25%,"n/a",IF(H4&lt;=($D$20+$A$20),H4,"Descartado"))))</f>
        <v>2466.9499999999998</v>
      </c>
    </row>
    <row r="5" spans="1:9" x14ac:dyDescent="0.25">
      <c r="A5" s="35"/>
      <c r="B5" s="38"/>
      <c r="C5" s="41"/>
      <c r="D5" s="41"/>
      <c r="E5" s="34"/>
      <c r="F5" s="34"/>
      <c r="G5" s="5" t="s">
        <v>61</v>
      </c>
      <c r="H5" s="16">
        <v>0</v>
      </c>
      <c r="I5" s="17">
        <f t="shared" si="0"/>
        <v>0</v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1316.2764389114216</v>
      </c>
      <c r="B20" s="8">
        <f>COUNT(H3:H17)</f>
        <v>3</v>
      </c>
      <c r="C20" s="9">
        <f>IF(B20&lt;2,"n/a",(A20/D20))</f>
        <v>0.87824364068391303</v>
      </c>
      <c r="D20" s="10">
        <f>IFERROR(ROUND(AVERAGE(H3:H17),2),"")</f>
        <v>1498.76</v>
      </c>
      <c r="E20" s="15">
        <f>IFERROR(ROUND(IF(B20&lt;2,"n/a",(IF(C20&lt;=25%,"n/a",AVERAGE(I3:I17)))),2),"n/a")</f>
        <v>1498.76</v>
      </c>
      <c r="F20" s="10">
        <f>IFERROR(ROUND(MEDIAN(H3:H17),2),"")</f>
        <v>2029.32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1498.76</v>
      </c>
    </row>
    <row r="23" spans="1:9" x14ac:dyDescent="0.25">
      <c r="G23" s="13" t="s">
        <v>6</v>
      </c>
      <c r="H23" s="14">
        <f>ROUND(H22,2)*D3</f>
        <v>1498.76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3</v>
      </c>
      <c r="B3" s="37" t="s">
        <v>63</v>
      </c>
      <c r="C3" s="40" t="s">
        <v>55</v>
      </c>
      <c r="D3" s="40">
        <v>141000</v>
      </c>
      <c r="E3" s="34">
        <f>IF(C20&lt;=25%,D20,MIN(E20:F20))</f>
        <v>0.06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0.12</v>
      </c>
      <c r="I4" s="17">
        <f t="shared" ref="I4:I17" si="0">IF(H4="","",(IF($C$20&lt;25%,"n/a",IF(H4&lt;=($D$20+$A$20),H4,"Descartado"))))</f>
        <v>0.12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 t="str">
        <f t="shared" si="0"/>
        <v>Descartado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0.12</v>
      </c>
      <c r="I6" s="17">
        <f t="shared" si="0"/>
        <v>0.12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0.10922453936730518</v>
      </c>
      <c r="B20" s="8">
        <f>COUNT(H3:H17)</f>
        <v>5</v>
      </c>
      <c r="C20" s="9">
        <f>IF(B20&lt;2,"n/a",(A20/D20))</f>
        <v>1.0922453936730518</v>
      </c>
      <c r="D20" s="10">
        <f>IFERROR(ROUND(AVERAGE(H3:H17),2),"")</f>
        <v>0.1</v>
      </c>
      <c r="E20" s="15">
        <f>IFERROR(ROUND(IF(B20&lt;2,"n/a",(IF(C20&lt;=25%,"n/a",AVERAGE(I3:I17)))),2),"n/a")</f>
        <v>0.06</v>
      </c>
      <c r="F20" s="10">
        <f>IFERROR(ROUND(MEDIAN(H3:H17),2),"")</f>
        <v>0.12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0.06</v>
      </c>
    </row>
    <row r="23" spans="1:9" x14ac:dyDescent="0.25">
      <c r="G23" s="13" t="s">
        <v>6</v>
      </c>
      <c r="H23" s="14">
        <f>ROUND(H22,2)*D3</f>
        <v>8460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30</v>
      </c>
      <c r="B3" s="37" t="s">
        <v>69</v>
      </c>
      <c r="C3" s="40" t="s">
        <v>7</v>
      </c>
      <c r="D3" s="40">
        <v>1</v>
      </c>
      <c r="E3" s="34">
        <f>IF(C20&lt;=25%,D20,MIN(E20:F20))</f>
        <v>0</v>
      </c>
      <c r="F3" s="34">
        <f>MIN(H3:H17)</f>
        <v>0</v>
      </c>
      <c r="G3" s="5" t="s">
        <v>56</v>
      </c>
      <c r="H3" s="16">
        <v>0</v>
      </c>
      <c r="I3" s="17" t="e">
        <f>IF(H3="","",(IF($C$20&lt;25%,"n/a",IF(H3&lt;=($D$20+$A$20),H3,"Descartado"))))</f>
        <v>#VALUE!</v>
      </c>
    </row>
    <row r="4" spans="1:9" x14ac:dyDescent="0.25">
      <c r="A4" s="35"/>
      <c r="B4" s="38"/>
      <c r="C4" s="41"/>
      <c r="D4" s="41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8"/>
      <c r="C5" s="41"/>
      <c r="D5" s="41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1</v>
      </c>
      <c r="C20" s="9" t="str">
        <f>IF(B20&lt;2,"n/a",(A20/D20))</f>
        <v>n/a</v>
      </c>
      <c r="D20" s="10">
        <f>IFERROR(ROUND(AVERAGE(H3:H17),2),"")</f>
        <v>0</v>
      </c>
      <c r="E20" s="15" t="str">
        <f>IFERROR(ROUND(IF(B20&lt;2,"n/a",(IF(C20&lt;=25%,"n/a",AVERAGE(I3:I17)))),2),"n/a")</f>
        <v>n/a</v>
      </c>
      <c r="F20" s="10">
        <f>IFERROR(ROUND(MEDIAN(H3:H17),2),"")</f>
        <v>0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31</v>
      </c>
      <c r="B3" s="37" t="s">
        <v>75</v>
      </c>
      <c r="C3" s="40" t="s">
        <v>55</v>
      </c>
      <c r="D3" s="40">
        <v>120000</v>
      </c>
      <c r="E3" s="34">
        <f>IF(C20&lt;=25%,D20,MIN(E20:F20))</f>
        <v>7.0000000000000007E-2</v>
      </c>
      <c r="F3" s="34">
        <f>MIN(H3:H17)</f>
        <v>0.01</v>
      </c>
      <c r="G3" s="5" t="s">
        <v>56</v>
      </c>
      <c r="H3" s="16">
        <v>0.51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76</v>
      </c>
      <c r="H4" s="16">
        <v>0.01</v>
      </c>
      <c r="I4" s="17">
        <f t="shared" ref="I4:I17" si="0">IF(H4="","",(IF($C$20&lt;25%,"n/a",IF(H4&lt;=($D$20+$A$20),H4,"Descartado"))))</f>
        <v>0.01</v>
      </c>
    </row>
    <row r="5" spans="1:9" x14ac:dyDescent="0.25">
      <c r="A5" s="35"/>
      <c r="B5" s="38"/>
      <c r="C5" s="41"/>
      <c r="D5" s="41"/>
      <c r="E5" s="34"/>
      <c r="F5" s="34"/>
      <c r="G5" s="5" t="s">
        <v>77</v>
      </c>
      <c r="H5" s="16">
        <v>0.1</v>
      </c>
      <c r="I5" s="17">
        <f t="shared" si="0"/>
        <v>0.1</v>
      </c>
    </row>
    <row r="6" spans="1:9" x14ac:dyDescent="0.25">
      <c r="A6" s="35"/>
      <c r="B6" s="38"/>
      <c r="C6" s="41"/>
      <c r="D6" s="41"/>
      <c r="E6" s="34"/>
      <c r="F6" s="34"/>
      <c r="G6" s="5" t="s">
        <v>57</v>
      </c>
      <c r="H6" s="16">
        <v>0.1</v>
      </c>
      <c r="I6" s="17">
        <f t="shared" si="0"/>
        <v>0.1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0.2240535650240808</v>
      </c>
      <c r="B20" s="8">
        <f>COUNT(H3:H17)</f>
        <v>4</v>
      </c>
      <c r="C20" s="9">
        <f>IF(B20&lt;2,"n/a",(A20/D20))</f>
        <v>1.24474202791156</v>
      </c>
      <c r="D20" s="10">
        <f>IFERROR(ROUND(AVERAGE(H3:H17),2),"")</f>
        <v>0.18</v>
      </c>
      <c r="E20" s="15">
        <f>IFERROR(ROUND(IF(B20&lt;2,"n/a",(IF(C20&lt;=25%,"n/a",AVERAGE(I3:I17)))),2),"n/a")</f>
        <v>7.0000000000000007E-2</v>
      </c>
      <c r="F20" s="10">
        <f>IFERROR(ROUND(MEDIAN(H3:H17),2),"")</f>
        <v>0.1</v>
      </c>
      <c r="G20" s="11" t="str">
        <f>IFERROR(INDEX(G3:G17,MATCH(H20,H3:H17,0)),"")</f>
        <v>ALGAR TELECOM S/A</v>
      </c>
      <c r="H20" s="12">
        <f>F3</f>
        <v>0.01</v>
      </c>
    </row>
    <row r="22" spans="1:9" x14ac:dyDescent="0.25">
      <c r="G22" s="13" t="s">
        <v>20</v>
      </c>
      <c r="H22" s="14">
        <f>IF(C20&lt;=25%,D20,MIN(E20:F20))</f>
        <v>7.0000000000000007E-2</v>
      </c>
    </row>
    <row r="23" spans="1:9" x14ac:dyDescent="0.25">
      <c r="G23" s="13" t="s">
        <v>6</v>
      </c>
      <c r="H23" s="14">
        <f>ROUND(H22,2)*D3</f>
        <v>8400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32</v>
      </c>
      <c r="B3" s="37" t="s">
        <v>78</v>
      </c>
      <c r="C3" s="40" t="s">
        <v>55</v>
      </c>
      <c r="D3" s="40">
        <v>240000</v>
      </c>
      <c r="E3" s="34">
        <f>IF(C20&lt;=25%,D20,MIN(E20:F20))</f>
        <v>0.1</v>
      </c>
      <c r="F3" s="34">
        <f>MIN(H3:H17)</f>
        <v>0.09</v>
      </c>
      <c r="G3" s="5" t="s">
        <v>56</v>
      </c>
      <c r="H3" s="16">
        <v>0.81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76</v>
      </c>
      <c r="H4" s="16">
        <v>0.09</v>
      </c>
      <c r="I4" s="17">
        <f t="shared" ref="I4:I17" si="0">IF(H4="","",(IF($C$20&lt;25%,"n/a",IF(H4&lt;=($D$20+$A$20),H4,"Descartado"))))</f>
        <v>0.09</v>
      </c>
    </row>
    <row r="5" spans="1:9" x14ac:dyDescent="0.25">
      <c r="A5" s="35"/>
      <c r="B5" s="38"/>
      <c r="C5" s="41"/>
      <c r="D5" s="41"/>
      <c r="E5" s="34"/>
      <c r="F5" s="34"/>
      <c r="G5" s="5" t="s">
        <v>77</v>
      </c>
      <c r="H5" s="16">
        <v>0.11</v>
      </c>
      <c r="I5" s="17">
        <f t="shared" si="0"/>
        <v>0.11</v>
      </c>
    </row>
    <row r="6" spans="1:9" x14ac:dyDescent="0.25">
      <c r="A6" s="35"/>
      <c r="B6" s="38"/>
      <c r="C6" s="41"/>
      <c r="D6" s="41"/>
      <c r="E6" s="34"/>
      <c r="F6" s="34"/>
      <c r="G6" s="5" t="s">
        <v>57</v>
      </c>
      <c r="H6" s="16">
        <v>0.11</v>
      </c>
      <c r="I6" s="17">
        <f t="shared" si="0"/>
        <v>0.11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0.35345909711497503</v>
      </c>
      <c r="B20" s="8">
        <f>COUNT(H3:H17)</f>
        <v>4</v>
      </c>
      <c r="C20" s="9">
        <f>IF(B20&lt;2,"n/a",(A20/D20))</f>
        <v>1.2623539182677679</v>
      </c>
      <c r="D20" s="10">
        <f>IFERROR(ROUND(AVERAGE(H3:H17),2),"")</f>
        <v>0.28000000000000003</v>
      </c>
      <c r="E20" s="15">
        <f>IFERROR(ROUND(IF(B20&lt;2,"n/a",(IF(C20&lt;=25%,"n/a",AVERAGE(I3:I17)))),2),"n/a")</f>
        <v>0.1</v>
      </c>
      <c r="F20" s="10">
        <f>IFERROR(ROUND(MEDIAN(H3:H17),2),"")</f>
        <v>0.11</v>
      </c>
      <c r="G20" s="11" t="str">
        <f>IFERROR(INDEX(G3:G17,MATCH(H20,H3:H17,0)),"")</f>
        <v>ALGAR TELECOM S/A</v>
      </c>
      <c r="H20" s="12">
        <f>F3</f>
        <v>0.09</v>
      </c>
    </row>
    <row r="22" spans="1:9" x14ac:dyDescent="0.25">
      <c r="G22" s="13" t="s">
        <v>20</v>
      </c>
      <c r="H22" s="14">
        <f>IF(C20&lt;=25%,D20,MIN(E20:F20))</f>
        <v>0.1</v>
      </c>
    </row>
    <row r="23" spans="1:9" x14ac:dyDescent="0.25">
      <c r="G23" s="13" t="s">
        <v>6</v>
      </c>
      <c r="H23" s="14">
        <f>ROUND(H22,2)*D3</f>
        <v>24000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ht="15" customHeight="1" x14ac:dyDescent="0.25">
      <c r="A3" s="35">
        <v>33</v>
      </c>
      <c r="B3" s="37" t="s">
        <v>79</v>
      </c>
      <c r="C3" s="40" t="s">
        <v>55</v>
      </c>
      <c r="D3" s="40">
        <v>60000</v>
      </c>
      <c r="E3" s="34">
        <f>IF(C20&lt;=25%,D20,MIN(E20:F20))</f>
        <v>0.09</v>
      </c>
      <c r="F3" s="34">
        <f>MIN(H3:H17)</f>
        <v>7.0000000000000007E-2</v>
      </c>
      <c r="G3" s="5" t="s">
        <v>56</v>
      </c>
      <c r="H3" s="16">
        <v>0.51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76</v>
      </c>
      <c r="H4" s="16">
        <v>7.0000000000000007E-2</v>
      </c>
      <c r="I4" s="17">
        <f t="shared" ref="I4:I17" si="0">IF(H4="","",(IF($C$20&lt;25%,"n/a",IF(H4&lt;=($D$20+$A$20),H4,"Descartado"))))</f>
        <v>7.0000000000000007E-2</v>
      </c>
    </row>
    <row r="5" spans="1:9" x14ac:dyDescent="0.25">
      <c r="A5" s="35"/>
      <c r="B5" s="38"/>
      <c r="C5" s="41"/>
      <c r="D5" s="41"/>
      <c r="E5" s="34"/>
      <c r="F5" s="34"/>
      <c r="G5" s="5" t="s">
        <v>77</v>
      </c>
      <c r="H5" s="16">
        <v>0.1</v>
      </c>
      <c r="I5" s="17">
        <f t="shared" si="0"/>
        <v>0.1</v>
      </c>
    </row>
    <row r="6" spans="1:9" x14ac:dyDescent="0.25">
      <c r="A6" s="35"/>
      <c r="B6" s="38"/>
      <c r="C6" s="41"/>
      <c r="D6" s="41"/>
      <c r="E6" s="34"/>
      <c r="F6" s="34"/>
      <c r="G6" s="5" t="s">
        <v>57</v>
      </c>
      <c r="H6" s="16">
        <v>0.1</v>
      </c>
      <c r="I6" s="17">
        <f t="shared" si="0"/>
        <v>0.1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0.2104756517984919</v>
      </c>
      <c r="B20" s="8">
        <f>COUNT(H3:H17)</f>
        <v>4</v>
      </c>
      <c r="C20" s="9">
        <f>IF(B20&lt;2,"n/a",(A20/D20))</f>
        <v>1.0523782589924595</v>
      </c>
      <c r="D20" s="10">
        <f>IFERROR(ROUND(AVERAGE(H3:H17),2),"")</f>
        <v>0.2</v>
      </c>
      <c r="E20" s="15">
        <f>IFERROR(ROUND(IF(B20&lt;2,"n/a",(IF(C20&lt;=25%,"n/a",AVERAGE(I3:I17)))),2),"n/a")</f>
        <v>0.09</v>
      </c>
      <c r="F20" s="10">
        <f>IFERROR(ROUND(MEDIAN(H3:H17),2),"")</f>
        <v>0.1</v>
      </c>
      <c r="G20" s="11" t="str">
        <f>IFERROR(INDEX(G3:G17,MATCH(H20,H3:H17,0)),"")</f>
        <v>ALGAR TELECOM S/A</v>
      </c>
      <c r="H20" s="12">
        <f>F3</f>
        <v>7.0000000000000007E-2</v>
      </c>
    </row>
    <row r="22" spans="1:9" x14ac:dyDescent="0.25">
      <c r="G22" s="13" t="s">
        <v>20</v>
      </c>
      <c r="H22" s="14">
        <f>IF(C20&lt;=25%,D20,MIN(E20:F20))</f>
        <v>0.09</v>
      </c>
    </row>
    <row r="23" spans="1:9" x14ac:dyDescent="0.25">
      <c r="G23" s="13" t="s">
        <v>6</v>
      </c>
      <c r="H23" s="14">
        <f>ROUND(H22,2)*D3</f>
        <v>5400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ht="15" customHeight="1" x14ac:dyDescent="0.25">
      <c r="A3" s="35">
        <v>34</v>
      </c>
      <c r="B3" s="37" t="s">
        <v>80</v>
      </c>
      <c r="C3" s="40" t="s">
        <v>55</v>
      </c>
      <c r="D3" s="40">
        <v>120000</v>
      </c>
      <c r="E3" s="34">
        <f>IF(C20&lt;=25%,D20,MIN(E20:F20))</f>
        <v>0.1</v>
      </c>
      <c r="F3" s="34">
        <f>MIN(H3:H17)</f>
        <v>0.09</v>
      </c>
      <c r="G3" s="5" t="s">
        <v>56</v>
      </c>
      <c r="H3" s="16">
        <v>0.81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76</v>
      </c>
      <c r="H4" s="16">
        <v>0.09</v>
      </c>
      <c r="I4" s="17">
        <f t="shared" ref="I4:I17" si="0">IF(H4="","",(IF($C$20&lt;25%,"n/a",IF(H4&lt;=($D$20+$A$20),H4,"Descartado"))))</f>
        <v>0.09</v>
      </c>
    </row>
    <row r="5" spans="1:9" x14ac:dyDescent="0.25">
      <c r="A5" s="35"/>
      <c r="B5" s="38"/>
      <c r="C5" s="41"/>
      <c r="D5" s="41"/>
      <c r="E5" s="34"/>
      <c r="F5" s="34"/>
      <c r="G5" s="5" t="s">
        <v>77</v>
      </c>
      <c r="H5" s="16">
        <v>0.11</v>
      </c>
      <c r="I5" s="17">
        <f t="shared" si="0"/>
        <v>0.11</v>
      </c>
    </row>
    <row r="6" spans="1:9" x14ac:dyDescent="0.25">
      <c r="A6" s="35"/>
      <c r="B6" s="38"/>
      <c r="C6" s="41"/>
      <c r="D6" s="41"/>
      <c r="E6" s="34"/>
      <c r="F6" s="34"/>
      <c r="G6" s="5" t="s">
        <v>57</v>
      </c>
      <c r="H6" s="16">
        <v>0.11</v>
      </c>
      <c r="I6" s="17">
        <f t="shared" si="0"/>
        <v>0.11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0.35345909711497503</v>
      </c>
      <c r="B20" s="8">
        <f>COUNT(H3:H17)</f>
        <v>4</v>
      </c>
      <c r="C20" s="9">
        <f>IF(B20&lt;2,"n/a",(A20/D20))</f>
        <v>1.2623539182677679</v>
      </c>
      <c r="D20" s="10">
        <f>IFERROR(ROUND(AVERAGE(H3:H17),2),"")</f>
        <v>0.28000000000000003</v>
      </c>
      <c r="E20" s="15">
        <f>IFERROR(ROUND(IF(B20&lt;2,"n/a",(IF(C20&lt;=25%,"n/a",AVERAGE(I3:I17)))),2),"n/a")</f>
        <v>0.1</v>
      </c>
      <c r="F20" s="10">
        <f>IFERROR(ROUND(MEDIAN(H3:H17),2),"")</f>
        <v>0.11</v>
      </c>
      <c r="G20" s="11" t="str">
        <f>IFERROR(INDEX(G3:G17,MATCH(H20,H3:H17,0)),"")</f>
        <v>ALGAR TELECOM S/A</v>
      </c>
      <c r="H20" s="12">
        <f>F3</f>
        <v>0.09</v>
      </c>
    </row>
    <row r="22" spans="1:9" x14ac:dyDescent="0.25">
      <c r="G22" s="13" t="s">
        <v>20</v>
      </c>
      <c r="H22" s="14">
        <f>IF(C20&lt;=25%,D20,MIN(E20:F20))</f>
        <v>0.1</v>
      </c>
    </row>
    <row r="23" spans="1:9" x14ac:dyDescent="0.25">
      <c r="G23" s="13" t="s">
        <v>6</v>
      </c>
      <c r="H23" s="14">
        <f>ROUND(H22,2)*D3</f>
        <v>12000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ht="15" customHeight="1" x14ac:dyDescent="0.25">
      <c r="A3" s="35">
        <v>35</v>
      </c>
      <c r="B3" s="37" t="s">
        <v>81</v>
      </c>
      <c r="C3" s="40" t="s">
        <v>68</v>
      </c>
      <c r="D3" s="40">
        <v>24</v>
      </c>
      <c r="E3" s="34">
        <f>IF(C20&lt;=25%,D20,MIN(E20:F20))</f>
        <v>241.66</v>
      </c>
      <c r="F3" s="34">
        <f>MIN(H3:H17)</f>
        <v>111.26</v>
      </c>
      <c r="G3" s="5" t="s">
        <v>56</v>
      </c>
      <c r="H3" s="16">
        <v>2029.32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76</v>
      </c>
      <c r="H4" s="16">
        <v>111.26</v>
      </c>
      <c r="I4" s="17">
        <f t="shared" ref="I4:I17" si="0">IF(H4="","",(IF($C$20&lt;25%,"n/a",IF(H4&lt;=($D$20+$A$20),H4,"Descartado"))))</f>
        <v>111.26</v>
      </c>
    </row>
    <row r="5" spans="1:9" x14ac:dyDescent="0.25">
      <c r="A5" s="35"/>
      <c r="B5" s="38"/>
      <c r="C5" s="41"/>
      <c r="D5" s="41"/>
      <c r="E5" s="34"/>
      <c r="F5" s="34"/>
      <c r="G5" s="5" t="s">
        <v>77</v>
      </c>
      <c r="H5" s="16">
        <v>305.18</v>
      </c>
      <c r="I5" s="17">
        <f t="shared" si="0"/>
        <v>305.18</v>
      </c>
    </row>
    <row r="6" spans="1:9" x14ac:dyDescent="0.25">
      <c r="A6" s="35"/>
      <c r="B6" s="38"/>
      <c r="C6" s="41"/>
      <c r="D6" s="41"/>
      <c r="E6" s="34"/>
      <c r="F6" s="34"/>
      <c r="G6" s="5" t="s">
        <v>57</v>
      </c>
      <c r="H6" s="16">
        <v>308.54000000000002</v>
      </c>
      <c r="I6" s="17">
        <f t="shared" si="0"/>
        <v>308.54000000000002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898.57444349369291</v>
      </c>
      <c r="B20" s="8">
        <f>COUNT(H3:H17)</f>
        <v>4</v>
      </c>
      <c r="C20" s="9">
        <f>IF(B20&lt;2,"n/a",(A20/D20))</f>
        <v>1.3049673872225345</v>
      </c>
      <c r="D20" s="10">
        <f>IFERROR(ROUND(AVERAGE(H3:H17),2),"")</f>
        <v>688.58</v>
      </c>
      <c r="E20" s="15">
        <f>IFERROR(ROUND(IF(B20&lt;2,"n/a",(IF(C20&lt;=25%,"n/a",AVERAGE(I3:I17)))),2),"n/a")</f>
        <v>241.66</v>
      </c>
      <c r="F20" s="10">
        <f>IFERROR(ROUND(MEDIAN(H3:H17),2),"")</f>
        <v>306.86</v>
      </c>
      <c r="G20" s="11" t="str">
        <f>IFERROR(INDEX(G3:G17,MATCH(H20,H3:H17,0)),"")</f>
        <v>ALGAR TELECOM S/A</v>
      </c>
      <c r="H20" s="12">
        <f>F3</f>
        <v>111.26</v>
      </c>
    </row>
    <row r="22" spans="1:9" x14ac:dyDescent="0.25">
      <c r="G22" s="13" t="s">
        <v>20</v>
      </c>
      <c r="H22" s="14">
        <f>IF(C20&lt;=25%,D20,MIN(E20:F20))</f>
        <v>241.66</v>
      </c>
    </row>
    <row r="23" spans="1:9" x14ac:dyDescent="0.25">
      <c r="G23" s="13" t="s">
        <v>6</v>
      </c>
      <c r="H23" s="14">
        <f>ROUND(H22,2)*D3</f>
        <v>5799.84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36</v>
      </c>
      <c r="B3" s="31" t="s">
        <v>31</v>
      </c>
      <c r="C3" s="33" t="s">
        <v>7</v>
      </c>
      <c r="D3" s="33">
        <f>500*0.25</f>
        <v>125</v>
      </c>
      <c r="E3" s="34">
        <f>IF(C20&lt;=25%,D20,MIN(E20:F20))</f>
        <v>308.70999999999998</v>
      </c>
      <c r="F3" s="34">
        <f>MIN(H3:H17)</f>
        <v>193.62</v>
      </c>
      <c r="G3" s="5" t="s">
        <v>38</v>
      </c>
      <c r="H3" s="16">
        <v>339.68</v>
      </c>
      <c r="I3" s="17">
        <f>IF(H3="","",(IF($C$20&lt;25%,"n/a",IF(H3&lt;=($D$20+$A$20),H3,"Descartado"))))</f>
        <v>339.68</v>
      </c>
    </row>
    <row r="4" spans="1:9" x14ac:dyDescent="0.25">
      <c r="A4" s="35"/>
      <c r="B4" s="32"/>
      <c r="C4" s="33"/>
      <c r="D4" s="33"/>
      <c r="E4" s="34"/>
      <c r="F4" s="34"/>
      <c r="G4" s="5" t="s">
        <v>39</v>
      </c>
      <c r="H4" s="16">
        <v>387.98</v>
      </c>
      <c r="I4" s="17">
        <f t="shared" ref="I4:I17" si="0">IF(H4="","",(IF($C$20&lt;25%,"n/a",IF(H4&lt;=($D$20+$A$20),H4,"Descartado"))))</f>
        <v>387.98</v>
      </c>
    </row>
    <row r="5" spans="1:9" x14ac:dyDescent="0.25">
      <c r="A5" s="35"/>
      <c r="B5" s="32"/>
      <c r="C5" s="33"/>
      <c r="D5" s="33"/>
      <c r="E5" s="34"/>
      <c r="F5" s="34"/>
      <c r="G5" s="5" t="s">
        <v>37</v>
      </c>
      <c r="H5" s="16">
        <v>193.62</v>
      </c>
      <c r="I5" s="17">
        <f t="shared" si="0"/>
        <v>193.62</v>
      </c>
    </row>
    <row r="6" spans="1:9" x14ac:dyDescent="0.25">
      <c r="A6" s="35"/>
      <c r="B6" s="32"/>
      <c r="C6" s="33"/>
      <c r="D6" s="33"/>
      <c r="E6" s="34"/>
      <c r="F6" s="34"/>
      <c r="G6" s="5" t="s">
        <v>40</v>
      </c>
      <c r="H6" s="16">
        <v>565.9</v>
      </c>
      <c r="I6" s="17" t="str">
        <f t="shared" si="0"/>
        <v>Descartado</v>
      </c>
    </row>
    <row r="7" spans="1:9" x14ac:dyDescent="0.25">
      <c r="A7" s="35"/>
      <c r="B7" s="32"/>
      <c r="C7" s="33"/>
      <c r="D7" s="33"/>
      <c r="E7" s="34"/>
      <c r="F7" s="34"/>
      <c r="G7" s="5" t="s">
        <v>35</v>
      </c>
      <c r="H7" s="16">
        <v>313.57</v>
      </c>
      <c r="I7" s="17">
        <f t="shared" si="0"/>
        <v>313.57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135.4884954525659</v>
      </c>
      <c r="B20" s="8">
        <f>COUNT(H3:H17)</f>
        <v>5</v>
      </c>
      <c r="C20" s="9">
        <f>IF(B20&lt;2,"n/a",(A20/D20))</f>
        <v>0.37620018173695935</v>
      </c>
      <c r="D20" s="10">
        <f>IFERROR(ROUND(AVERAGE(H3:H17),2),"")</f>
        <v>360.15</v>
      </c>
      <c r="E20" s="15">
        <f>IFERROR(ROUND(IF(B20&lt;2,"n/a",(IF(C20&lt;=25%,"n/a",AVERAGE(I3:I17)))),2),"n/a")</f>
        <v>308.70999999999998</v>
      </c>
      <c r="F20" s="10">
        <f>IFERROR(ROUND(MEDIAN(H3:H17),2),"")</f>
        <v>339.68</v>
      </c>
      <c r="G20" s="11" t="str">
        <f>IFERROR(INDEX(G3:G17,MATCH(H20,H3:H17,0)),"")</f>
        <v>MAGAZINE LUIZA</v>
      </c>
      <c r="H20" s="12">
        <f>F3</f>
        <v>193.62</v>
      </c>
    </row>
    <row r="22" spans="1:9" x14ac:dyDescent="0.25">
      <c r="G22" s="13" t="s">
        <v>20</v>
      </c>
      <c r="H22" s="14">
        <f>IF(C20&lt;=25%,D20,MIN(E20:F20))</f>
        <v>308.70999999999998</v>
      </c>
    </row>
    <row r="23" spans="1:9" x14ac:dyDescent="0.25">
      <c r="G23" s="13" t="s">
        <v>6</v>
      </c>
      <c r="H23" s="14">
        <f>ROUND(H22,2)*D3</f>
        <v>38588.75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37</v>
      </c>
      <c r="B3" s="31" t="s">
        <v>32</v>
      </c>
      <c r="C3" s="33" t="s">
        <v>7</v>
      </c>
      <c r="D3" s="33">
        <f>(60+20)*0.25</f>
        <v>20</v>
      </c>
      <c r="E3" s="34">
        <f>IF(C20&lt;=25%,D20,MIN(E20:F20))</f>
        <v>1242.1600000000001</v>
      </c>
      <c r="F3" s="34">
        <f>MIN(H3:H17)</f>
        <v>1038.96</v>
      </c>
      <c r="G3" s="5" t="s">
        <v>42</v>
      </c>
      <c r="H3" s="16">
        <v>1329.91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43</v>
      </c>
      <c r="H4" s="16">
        <v>1253.05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41</v>
      </c>
      <c r="H5" s="16">
        <v>1189.9000000000001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44</v>
      </c>
      <c r="H6" s="16">
        <v>1038.96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45</v>
      </c>
      <c r="H7" s="16">
        <v>1399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138.23782742071722</v>
      </c>
      <c r="B20" s="8">
        <f>COUNT(H3:H17)</f>
        <v>5</v>
      </c>
      <c r="C20" s="9">
        <f>IF(B20&lt;2,"n/a",(A20/D20))</f>
        <v>0.11128826191530658</v>
      </c>
      <c r="D20" s="10">
        <f>IFERROR(ROUND(AVERAGE(H3:H17),2),"")</f>
        <v>1242.1600000000001</v>
      </c>
      <c r="E20" s="15" t="str">
        <f>IFERROR(ROUND(IF(B20&lt;2,"n/a",(IF(C20&lt;=25%,"n/a",AVERAGE(I3:I17)))),2),"n/a")</f>
        <v>n/a</v>
      </c>
      <c r="F20" s="10">
        <f>IFERROR(ROUND(MEDIAN(H3:H17),2),"")</f>
        <v>1253.05</v>
      </c>
      <c r="G20" s="11" t="str">
        <f>IFERROR(INDEX(G3:G17,MATCH(H20,H3:H17,0)),"")</f>
        <v>KABUM</v>
      </c>
      <c r="H20" s="12">
        <f>F3</f>
        <v>1038.96</v>
      </c>
    </row>
    <row r="22" spans="1:9" x14ac:dyDescent="0.25">
      <c r="G22" s="13" t="s">
        <v>20</v>
      </c>
      <c r="H22" s="14">
        <f>IF(C20&lt;=25%,D20,MIN(E20:F20))</f>
        <v>1242.1600000000001</v>
      </c>
    </row>
    <row r="23" spans="1:9" x14ac:dyDescent="0.25">
      <c r="G23" s="13" t="s">
        <v>6</v>
      </c>
      <c r="H23" s="14">
        <f>ROUND(H22,2)*D3</f>
        <v>24843.200000000001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38</v>
      </c>
      <c r="B3" s="31" t="s">
        <v>33</v>
      </c>
      <c r="C3" s="33" t="s">
        <v>7</v>
      </c>
      <c r="D3" s="33">
        <v>2</v>
      </c>
      <c r="E3" s="34">
        <f>IF(C20&lt;=25%,D20,MIN(E20:F20))</f>
        <v>33782.480000000003</v>
      </c>
      <c r="F3" s="34">
        <f>MIN(H3:H17)</f>
        <v>28990</v>
      </c>
      <c r="G3" s="5" t="s">
        <v>46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47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48</v>
      </c>
      <c r="H5" s="16">
        <v>34999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49</v>
      </c>
      <c r="H6" s="16">
        <v>34090.92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67564.960000000006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39</v>
      </c>
      <c r="B3" s="31" t="s">
        <v>34</v>
      </c>
      <c r="C3" s="33" t="s">
        <v>7</v>
      </c>
      <c r="D3" s="33">
        <f>300*0.25</f>
        <v>75</v>
      </c>
      <c r="E3" s="34">
        <f>IF(C20&lt;=25%,D20,MIN(E20:F20))</f>
        <v>919.45</v>
      </c>
      <c r="F3" s="34">
        <f>MIN(H3:H17)</f>
        <v>724.14</v>
      </c>
      <c r="G3" s="5" t="s">
        <v>50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5"/>
      <c r="B4" s="32"/>
      <c r="C4" s="33"/>
      <c r="D4" s="33"/>
      <c r="E4" s="34"/>
      <c r="F4" s="34"/>
      <c r="G4" s="5" t="s">
        <v>51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5"/>
      <c r="B5" s="32"/>
      <c r="C5" s="33"/>
      <c r="D5" s="33"/>
      <c r="E5" s="34"/>
      <c r="F5" s="34"/>
      <c r="G5" s="5" t="s">
        <v>36</v>
      </c>
      <c r="H5" s="16">
        <v>799</v>
      </c>
      <c r="I5" s="17" t="str">
        <f t="shared" si="0"/>
        <v>n/a</v>
      </c>
    </row>
    <row r="6" spans="1:9" x14ac:dyDescent="0.25">
      <c r="A6" s="35"/>
      <c r="B6" s="32"/>
      <c r="C6" s="33"/>
      <c r="D6" s="33"/>
      <c r="E6" s="34"/>
      <c r="F6" s="34"/>
      <c r="G6" s="5" t="s">
        <v>37</v>
      </c>
      <c r="H6" s="16">
        <v>1088.0999999999999</v>
      </c>
      <c r="I6" s="17" t="str">
        <f t="shared" si="0"/>
        <v>n/a</v>
      </c>
    </row>
    <row r="7" spans="1:9" x14ac:dyDescent="0.25">
      <c r="A7" s="35"/>
      <c r="B7" s="32"/>
      <c r="C7" s="33"/>
      <c r="D7" s="33"/>
      <c r="E7" s="34"/>
      <c r="F7" s="34"/>
      <c r="G7" s="5" t="s">
        <v>52</v>
      </c>
      <c r="H7" s="16">
        <v>1148.99</v>
      </c>
      <c r="I7" s="17" t="str">
        <f t="shared" si="0"/>
        <v>n/a</v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68958.75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4</v>
      </c>
      <c r="B3" s="37" t="s">
        <v>64</v>
      </c>
      <c r="C3" s="40" t="s">
        <v>55</v>
      </c>
      <c r="D3" s="40">
        <v>141000</v>
      </c>
      <c r="E3" s="34">
        <f>IF(C20&lt;=25%,D20,MIN(E20:F20))</f>
        <v>0.09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0.27</v>
      </c>
      <c r="I5" s="17">
        <f t="shared" si="0"/>
        <v>0.27</v>
      </c>
    </row>
    <row r="6" spans="1:9" x14ac:dyDescent="0.25">
      <c r="A6" s="35"/>
      <c r="B6" s="38"/>
      <c r="C6" s="41"/>
      <c r="D6" s="41"/>
      <c r="E6" s="34"/>
      <c r="F6" s="34"/>
      <c r="G6" s="5" t="s">
        <v>60</v>
      </c>
      <c r="H6" s="16">
        <v>0.76</v>
      </c>
      <c r="I6" s="17" t="str">
        <f t="shared" si="0"/>
        <v>Descartado</v>
      </c>
    </row>
    <row r="7" spans="1:9" x14ac:dyDescent="0.25">
      <c r="A7" s="35"/>
      <c r="B7" s="38"/>
      <c r="C7" s="41"/>
      <c r="D7" s="41"/>
      <c r="E7" s="34"/>
      <c r="F7" s="34"/>
      <c r="G7" s="5" t="s">
        <v>61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0.38085430285084082</v>
      </c>
      <c r="B20" s="8">
        <f>COUNT(H3:H17)</f>
        <v>5</v>
      </c>
      <c r="C20" s="9">
        <f>IF(B20&lt;2,"n/a",(A20/D20))</f>
        <v>1.0579286190301134</v>
      </c>
      <c r="D20" s="10">
        <f>IFERROR(ROUND(AVERAGE(H3:H17),2),"")</f>
        <v>0.36</v>
      </c>
      <c r="E20" s="15">
        <f>IFERROR(ROUND(IF(B20&lt;2,"n/a",(IF(C20&lt;=25%,"n/a",AVERAGE(I3:I17)))),2),"n/a")</f>
        <v>0.09</v>
      </c>
      <c r="F20" s="10">
        <f>IFERROR(ROUND(MEDIAN(H3:H17),2),"")</f>
        <v>0.27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0.09</v>
      </c>
    </row>
    <row r="23" spans="1:9" x14ac:dyDescent="0.25">
      <c r="G23" s="13" t="s">
        <v>6</v>
      </c>
      <c r="H23" s="14">
        <f>ROUND(H22,2)*D3</f>
        <v>12690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40</v>
      </c>
      <c r="B3" s="31"/>
      <c r="C3" s="33" t="s">
        <v>7</v>
      </c>
      <c r="D3" s="33"/>
      <c r="E3" s="34">
        <f>IF(C20&lt;=25%,D20,MIN(E20:F20))</f>
        <v>0</v>
      </c>
      <c r="F3" s="34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5"/>
      <c r="B4" s="32"/>
      <c r="C4" s="33"/>
      <c r="D4" s="33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2"/>
      <c r="C5" s="33"/>
      <c r="D5" s="33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" x14ac:dyDescent="0.25">
      <c r="A2" s="28" t="s">
        <v>1</v>
      </c>
      <c r="B2" s="28" t="s">
        <v>2</v>
      </c>
      <c r="C2" s="28" t="s">
        <v>3</v>
      </c>
      <c r="D2" s="28" t="s">
        <v>4</v>
      </c>
      <c r="E2" s="28" t="s">
        <v>9</v>
      </c>
      <c r="F2" s="28" t="s">
        <v>10</v>
      </c>
      <c r="G2" s="28" t="s">
        <v>11</v>
      </c>
      <c r="H2" s="28" t="s">
        <v>12</v>
      </c>
      <c r="I2" s="28" t="s">
        <v>13</v>
      </c>
    </row>
    <row r="3" spans="1:9" x14ac:dyDescent="0.25">
      <c r="A3" s="35">
        <v>41</v>
      </c>
      <c r="B3" s="31"/>
      <c r="C3" s="33" t="s">
        <v>7</v>
      </c>
      <c r="D3" s="33"/>
      <c r="E3" s="34">
        <f>IF(C20&lt;=25%,D20,MIN(E20:F20))</f>
        <v>0</v>
      </c>
      <c r="F3" s="34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5"/>
      <c r="B4" s="32"/>
      <c r="C4" s="33"/>
      <c r="D4" s="33"/>
      <c r="E4" s="34"/>
      <c r="F4" s="34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5"/>
      <c r="B5" s="32"/>
      <c r="C5" s="33"/>
      <c r="D5" s="33"/>
      <c r="E5" s="34"/>
      <c r="F5" s="34"/>
      <c r="G5" s="5"/>
      <c r="H5" s="16"/>
      <c r="I5" s="17" t="str">
        <f t="shared" si="0"/>
        <v/>
      </c>
    </row>
    <row r="6" spans="1:9" x14ac:dyDescent="0.25">
      <c r="A6" s="35"/>
      <c r="B6" s="32"/>
      <c r="C6" s="33"/>
      <c r="D6" s="33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2"/>
      <c r="C7" s="33"/>
      <c r="D7" s="33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2"/>
      <c r="C8" s="33"/>
      <c r="D8" s="33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2"/>
      <c r="C9" s="33"/>
      <c r="D9" s="33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2"/>
      <c r="C10" s="33"/>
      <c r="D10" s="33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2"/>
      <c r="C11" s="33"/>
      <c r="D11" s="33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2"/>
      <c r="C12" s="33"/>
      <c r="D12" s="33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2"/>
      <c r="C13" s="33"/>
      <c r="D13" s="33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2"/>
      <c r="C14" s="33"/>
      <c r="D14" s="33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2"/>
      <c r="C15" s="33"/>
      <c r="D15" s="33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2"/>
      <c r="C16" s="33"/>
      <c r="D16" s="33"/>
      <c r="E16" s="34"/>
      <c r="F16" s="34"/>
      <c r="G16" s="5"/>
      <c r="H16" s="16"/>
      <c r="I16" s="17" t="str">
        <f t="shared" si="0"/>
        <v/>
      </c>
    </row>
    <row r="17" spans="1:9" x14ac:dyDescent="0.25">
      <c r="A17" s="35"/>
      <c r="B17" s="32"/>
      <c r="C17" s="33"/>
      <c r="D17" s="33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28" t="s">
        <v>14</v>
      </c>
      <c r="B19" s="28" t="s">
        <v>15</v>
      </c>
      <c r="C19" s="28" t="s">
        <v>25</v>
      </c>
      <c r="D19" s="28" t="s">
        <v>16</v>
      </c>
      <c r="E19" s="28" t="s">
        <v>17</v>
      </c>
      <c r="F19" s="28" t="s">
        <v>18</v>
      </c>
      <c r="G19" s="29" t="s">
        <v>19</v>
      </c>
      <c r="H19" s="29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view="pageBreakPreview" zoomScaleNormal="100" zoomScaleSheetLayoutView="100" workbookViewId="0">
      <selection activeCell="D43" sqref="D43"/>
    </sheetView>
  </sheetViews>
  <sheetFormatPr defaultRowHeight="15" x14ac:dyDescent="0.25"/>
  <cols>
    <col min="1" max="2" width="6.7109375" style="1" customWidth="1"/>
    <col min="3" max="3" width="36.7109375" style="4" customWidth="1"/>
    <col min="4" max="5" width="12.7109375" style="1" customWidth="1"/>
    <col min="6" max="7" width="15.7109375" style="1" customWidth="1"/>
    <col min="8" max="16384" width="9.140625" style="1"/>
  </cols>
  <sheetData>
    <row r="1" spans="1:7" ht="15.75" x14ac:dyDescent="0.25">
      <c r="A1" s="36" t="s">
        <v>0</v>
      </c>
      <c r="B1" s="36"/>
      <c r="C1" s="36"/>
      <c r="D1" s="36"/>
      <c r="E1" s="36"/>
      <c r="F1" s="36"/>
      <c r="G1" s="36"/>
    </row>
    <row r="2" spans="1:7" ht="24" x14ac:dyDescent="0.25">
      <c r="A2" s="6" t="s">
        <v>1</v>
      </c>
      <c r="B2" s="6" t="s">
        <v>82</v>
      </c>
      <c r="C2" s="6" t="s">
        <v>2</v>
      </c>
      <c r="D2" s="6" t="s">
        <v>3</v>
      </c>
      <c r="E2" s="6" t="s">
        <v>53</v>
      </c>
      <c r="F2" s="6" t="s">
        <v>5</v>
      </c>
      <c r="G2" s="6" t="s">
        <v>29</v>
      </c>
    </row>
    <row r="3" spans="1:7" x14ac:dyDescent="0.25">
      <c r="A3" s="25">
        <v>1</v>
      </c>
      <c r="B3" s="25">
        <f>Item1!A3</f>
        <v>1</v>
      </c>
      <c r="C3" s="27" t="str">
        <f>Item1!B3</f>
        <v>Tráfego Fixo-Fixo</v>
      </c>
      <c r="D3" s="25" t="str">
        <f>Item1!C3</f>
        <v>minuto</v>
      </c>
      <c r="E3" s="25">
        <f>Item1!D3</f>
        <v>930600</v>
      </c>
      <c r="F3" s="26">
        <f>Item1!E3</f>
        <v>0.03</v>
      </c>
      <c r="G3" s="26">
        <f>ROUND((E3*F3),2)</f>
        <v>27918</v>
      </c>
    </row>
    <row r="4" spans="1:7" x14ac:dyDescent="0.25">
      <c r="A4" s="25">
        <v>1</v>
      </c>
      <c r="B4" s="25">
        <f>Item2!A3</f>
        <v>2</v>
      </c>
      <c r="C4" s="27" t="str">
        <f>Item2!B3</f>
        <v>Tráfego Fixo-Móvel (VC-1)</v>
      </c>
      <c r="D4" s="25" t="str">
        <f>Item2!C3</f>
        <v>minuto</v>
      </c>
      <c r="E4" s="25">
        <f>Item2!D3</f>
        <v>141000</v>
      </c>
      <c r="F4" s="26">
        <f>Item2!E3</f>
        <v>0.14000000000000001</v>
      </c>
      <c r="G4" s="26">
        <f t="shared" ref="G4:G29" si="0">ROUND((E4*F4),2)</f>
        <v>19740</v>
      </c>
    </row>
    <row r="5" spans="1:7" x14ac:dyDescent="0.25">
      <c r="A5" s="25">
        <v>1</v>
      </c>
      <c r="B5" s="25">
        <f>Item3!A3</f>
        <v>3</v>
      </c>
      <c r="C5" s="27" t="str">
        <f>Item3!B3</f>
        <v>Fixo-Fixo Intrarregionais</v>
      </c>
      <c r="D5" s="25" t="str">
        <f>Item3!C3</f>
        <v>minuto</v>
      </c>
      <c r="E5" s="25">
        <f>Item3!D3</f>
        <v>141000</v>
      </c>
      <c r="F5" s="26">
        <f>Item3!E3</f>
        <v>0.06</v>
      </c>
      <c r="G5" s="26">
        <f t="shared" si="0"/>
        <v>8460</v>
      </c>
    </row>
    <row r="6" spans="1:7" x14ac:dyDescent="0.25">
      <c r="A6" s="25">
        <v>1</v>
      </c>
      <c r="B6" s="25">
        <f>Item4!A3</f>
        <v>4</v>
      </c>
      <c r="C6" s="27" t="str">
        <f>Item4!B3</f>
        <v>Fixo-Fixo Inter-Regionais</v>
      </c>
      <c r="D6" s="25" t="str">
        <f>Item4!C3</f>
        <v>minuto</v>
      </c>
      <c r="E6" s="25">
        <f>Item4!D3</f>
        <v>141000</v>
      </c>
      <c r="F6" s="26">
        <f>Item4!E3</f>
        <v>0.09</v>
      </c>
      <c r="G6" s="26">
        <f t="shared" si="0"/>
        <v>12690</v>
      </c>
    </row>
    <row r="7" spans="1:7" x14ac:dyDescent="0.25">
      <c r="A7" s="25">
        <v>1</v>
      </c>
      <c r="B7" s="25">
        <f>Item5!A3</f>
        <v>5</v>
      </c>
      <c r="C7" s="27" t="str">
        <f>Item5!B3</f>
        <v>Fixo-Móvel Intrarregionais (VC-2)</v>
      </c>
      <c r="D7" s="25" t="str">
        <f>Item5!C3</f>
        <v>minuto</v>
      </c>
      <c r="E7" s="25">
        <f>Item5!D3</f>
        <v>169200</v>
      </c>
      <c r="F7" s="26">
        <f>Item5!E3</f>
        <v>0.14000000000000001</v>
      </c>
      <c r="G7" s="26">
        <f t="shared" si="0"/>
        <v>23688</v>
      </c>
    </row>
    <row r="8" spans="1:7" x14ac:dyDescent="0.25">
      <c r="A8" s="25">
        <v>1</v>
      </c>
      <c r="B8" s="25">
        <f>Item6!A3</f>
        <v>6</v>
      </c>
      <c r="C8" s="27" t="str">
        <f>Item6!B3</f>
        <v>Fixo-Móvel Inter-Regionais (VC-3)</v>
      </c>
      <c r="D8" s="25" t="str">
        <f>Item6!C3</f>
        <v>minuto</v>
      </c>
      <c r="E8" s="25">
        <f>Item6!D3</f>
        <v>42300</v>
      </c>
      <c r="F8" s="26">
        <f>Item6!E3</f>
        <v>0.14000000000000001</v>
      </c>
      <c r="G8" s="26">
        <f t="shared" si="0"/>
        <v>5922</v>
      </c>
    </row>
    <row r="9" spans="1:7" ht="30" x14ac:dyDescent="0.25">
      <c r="A9" s="25">
        <v>1</v>
      </c>
      <c r="B9" s="25">
        <f>Item7!A3</f>
        <v>7</v>
      </c>
      <c r="C9" s="27" t="str">
        <f>Item7!B3</f>
        <v>Assinatura mensal de 2 (dois) troncos SIP (10 Mbps)</v>
      </c>
      <c r="D9" s="25" t="str">
        <f>Item7!C3</f>
        <v>mensalidade</v>
      </c>
      <c r="E9" s="25">
        <f>Item7!D3</f>
        <v>24</v>
      </c>
      <c r="F9" s="26">
        <f>Item7!E3</f>
        <v>1632.35</v>
      </c>
      <c r="G9" s="26">
        <f t="shared" si="0"/>
        <v>39176.400000000001</v>
      </c>
    </row>
    <row r="10" spans="1:7" x14ac:dyDescent="0.25">
      <c r="A10" s="25">
        <v>1</v>
      </c>
      <c r="B10" s="25">
        <f>Item8!A3</f>
        <v>8</v>
      </c>
      <c r="C10" s="27" t="str">
        <f>Item8!B3</f>
        <v>Outros (detalhar)</v>
      </c>
      <c r="D10" s="25" t="str">
        <f>Item8!C3</f>
        <v>mensalidade</v>
      </c>
      <c r="E10" s="25">
        <f>Item8!D3</f>
        <v>24</v>
      </c>
      <c r="F10" s="26">
        <f>Item8!E3</f>
        <v>90.91</v>
      </c>
      <c r="G10" s="26">
        <f t="shared" si="0"/>
        <v>2181.84</v>
      </c>
    </row>
    <row r="11" spans="1:7" ht="30" x14ac:dyDescent="0.25">
      <c r="A11" s="25">
        <v>1</v>
      </c>
      <c r="B11" s="25">
        <f>Item9!A3</f>
        <v>9</v>
      </c>
      <c r="C11" s="27" t="str">
        <f>Item9!B3</f>
        <v>Taxa de instalação dos 2 (dois) troncos SIP e faixas DDR</v>
      </c>
      <c r="D11" s="25" t="str">
        <f>Item9!C3</f>
        <v>unidade</v>
      </c>
      <c r="E11" s="25">
        <f>Item9!D3</f>
        <v>1</v>
      </c>
      <c r="F11" s="26">
        <f>Item9!E3</f>
        <v>1498.76</v>
      </c>
      <c r="G11" s="26">
        <f t="shared" si="0"/>
        <v>1498.76</v>
      </c>
    </row>
    <row r="12" spans="1:7" x14ac:dyDescent="0.25">
      <c r="A12" s="25">
        <v>1</v>
      </c>
      <c r="B12" s="25">
        <f>Item10!A3</f>
        <v>10</v>
      </c>
      <c r="C12" s="27" t="str">
        <f>Item10!B3</f>
        <v>Outros (detalhar)</v>
      </c>
      <c r="D12" s="25" t="str">
        <f>Item10!C3</f>
        <v>unidade</v>
      </c>
      <c r="E12" s="25">
        <f>Item10!D3</f>
        <v>1</v>
      </c>
      <c r="F12" s="26">
        <f>Item10!E3</f>
        <v>0</v>
      </c>
      <c r="G12" s="26">
        <f t="shared" si="0"/>
        <v>0</v>
      </c>
    </row>
    <row r="13" spans="1:7" x14ac:dyDescent="0.25">
      <c r="A13" s="25">
        <v>2</v>
      </c>
      <c r="B13" s="25">
        <f>Item11!A3</f>
        <v>11</v>
      </c>
      <c r="C13" s="27" t="str">
        <f>Item11!B3</f>
        <v>Tráfego Fixo-Fixo</v>
      </c>
      <c r="D13" s="25" t="str">
        <f>Item11!C3</f>
        <v>minuto</v>
      </c>
      <c r="E13" s="25">
        <f>Item11!D3</f>
        <v>300000</v>
      </c>
      <c r="F13" s="26">
        <f>Item11!E3</f>
        <v>0.03</v>
      </c>
      <c r="G13" s="26">
        <f t="shared" si="0"/>
        <v>9000</v>
      </c>
    </row>
    <row r="14" spans="1:7" x14ac:dyDescent="0.25">
      <c r="A14" s="25">
        <v>2</v>
      </c>
      <c r="B14" s="25">
        <f>Item12!A3</f>
        <v>12</v>
      </c>
      <c r="C14" s="27" t="str">
        <f>Item12!B3</f>
        <v>Tráfego Fixo-Móvel (VC-1)</v>
      </c>
      <c r="D14" s="25" t="str">
        <f>Item12!C3</f>
        <v>minuto</v>
      </c>
      <c r="E14" s="25">
        <f>Item12!D3</f>
        <v>60000</v>
      </c>
      <c r="F14" s="26">
        <f>Item12!E3</f>
        <v>0.14000000000000001</v>
      </c>
      <c r="G14" s="26">
        <f t="shared" si="0"/>
        <v>8400</v>
      </c>
    </row>
    <row r="15" spans="1:7" x14ac:dyDescent="0.25">
      <c r="A15" s="25">
        <v>2</v>
      </c>
      <c r="B15" s="25">
        <f>Item13!A3</f>
        <v>13</v>
      </c>
      <c r="C15" s="27" t="str">
        <f>Item13!B3</f>
        <v>Fixo-Fixo Intrarregionais</v>
      </c>
      <c r="D15" s="25" t="str">
        <f>Item13!C3</f>
        <v>minuto</v>
      </c>
      <c r="E15" s="25">
        <f>Item13!D3</f>
        <v>60000</v>
      </c>
      <c r="F15" s="26">
        <f>Item13!E3</f>
        <v>0.06</v>
      </c>
      <c r="G15" s="26">
        <f t="shared" si="0"/>
        <v>3600</v>
      </c>
    </row>
    <row r="16" spans="1:7" x14ac:dyDescent="0.25">
      <c r="A16" s="25">
        <v>2</v>
      </c>
      <c r="B16" s="25">
        <f>Item14!A3</f>
        <v>14</v>
      </c>
      <c r="C16" s="27" t="str">
        <f>Item14!B3</f>
        <v>Fixo-Fixo Inter-Regionais</v>
      </c>
      <c r="D16" s="25" t="str">
        <f>Item14!C3</f>
        <v>minuto</v>
      </c>
      <c r="E16" s="25">
        <f>Item14!D3</f>
        <v>60000</v>
      </c>
      <c r="F16" s="26">
        <f>Item14!E3</f>
        <v>0.09</v>
      </c>
      <c r="G16" s="26">
        <f t="shared" si="0"/>
        <v>5400</v>
      </c>
    </row>
    <row r="17" spans="1:7" x14ac:dyDescent="0.25">
      <c r="A17" s="25">
        <v>2</v>
      </c>
      <c r="B17" s="25">
        <f>Item15!A3</f>
        <v>15</v>
      </c>
      <c r="C17" s="27" t="str">
        <f>Item15!B3</f>
        <v>Fixo-Móvel Intrarregionais (VC-2)</v>
      </c>
      <c r="D17" s="25" t="str">
        <f>Item15!C3</f>
        <v>minuto</v>
      </c>
      <c r="E17" s="25">
        <f>Item15!D3</f>
        <v>60000</v>
      </c>
      <c r="F17" s="26">
        <f>Item15!E3</f>
        <v>0.14000000000000001</v>
      </c>
      <c r="G17" s="26">
        <f t="shared" si="0"/>
        <v>8400</v>
      </c>
    </row>
    <row r="18" spans="1:7" x14ac:dyDescent="0.25">
      <c r="A18" s="25">
        <v>2</v>
      </c>
      <c r="B18" s="25">
        <f>Item16!A3</f>
        <v>16</v>
      </c>
      <c r="C18" s="27" t="str">
        <f>Item16!B3</f>
        <v>Fixo-Móvel Inter-Regionais (VC-3)</v>
      </c>
      <c r="D18" s="25" t="str">
        <f>Item16!C3</f>
        <v>minuto</v>
      </c>
      <c r="E18" s="25">
        <f>Item16!D3</f>
        <v>30000</v>
      </c>
      <c r="F18" s="26">
        <f>Item16!E3</f>
        <v>0.14000000000000001</v>
      </c>
      <c r="G18" s="26">
        <f t="shared" si="0"/>
        <v>4200</v>
      </c>
    </row>
    <row r="19" spans="1:7" ht="30" x14ac:dyDescent="0.25">
      <c r="A19" s="25">
        <v>2</v>
      </c>
      <c r="B19" s="25">
        <f>Item17!A3</f>
        <v>17</v>
      </c>
      <c r="C19" s="27" t="str">
        <f>Item17!B3</f>
        <v>Assinatura mensal de 2 (dois) troncos SIP (10 Mbps)</v>
      </c>
      <c r="D19" s="25" t="str">
        <f>Item17!C3</f>
        <v>mensalidade</v>
      </c>
      <c r="E19" s="25">
        <f>Item17!D3</f>
        <v>24</v>
      </c>
      <c r="F19" s="26">
        <f>Item17!E3</f>
        <v>2238.9299999999998</v>
      </c>
      <c r="G19" s="26">
        <f t="shared" si="0"/>
        <v>53734.32</v>
      </c>
    </row>
    <row r="20" spans="1:7" x14ac:dyDescent="0.25">
      <c r="A20" s="25">
        <v>2</v>
      </c>
      <c r="B20" s="25">
        <f>Item18!A3</f>
        <v>18</v>
      </c>
      <c r="C20" s="27" t="str">
        <f>Item18!B3</f>
        <v>Outros (detalhar)</v>
      </c>
      <c r="D20" s="25" t="str">
        <f>Item18!C3</f>
        <v>mensalidade</v>
      </c>
      <c r="E20" s="25">
        <f>Item18!D3</f>
        <v>24</v>
      </c>
      <c r="F20" s="26">
        <f>Item18!E3</f>
        <v>90.91</v>
      </c>
      <c r="G20" s="26">
        <f t="shared" si="0"/>
        <v>2181.84</v>
      </c>
    </row>
    <row r="21" spans="1:7" ht="30" x14ac:dyDescent="0.25">
      <c r="A21" s="25">
        <v>2</v>
      </c>
      <c r="B21" s="25">
        <f>Item19!A3</f>
        <v>19</v>
      </c>
      <c r="C21" s="27" t="str">
        <f>Item19!B3</f>
        <v>Taxa de instalação dos 2 (dois) troncos SIP e faixas DDR</v>
      </c>
      <c r="D21" s="25" t="str">
        <f>Item19!C3</f>
        <v>unidade</v>
      </c>
      <c r="E21" s="25">
        <f>Item19!D3</f>
        <v>1</v>
      </c>
      <c r="F21" s="26">
        <f>Item19!E3</f>
        <v>1498.76</v>
      </c>
      <c r="G21" s="26">
        <f t="shared" si="0"/>
        <v>1498.76</v>
      </c>
    </row>
    <row r="22" spans="1:7" x14ac:dyDescent="0.25">
      <c r="A22" s="25">
        <v>2</v>
      </c>
      <c r="B22" s="25">
        <f>Item20!A3</f>
        <v>20</v>
      </c>
      <c r="C22" s="27" t="str">
        <f>Item20!B3</f>
        <v>Outros (detalhar)</v>
      </c>
      <c r="D22" s="25" t="str">
        <f>Item20!C3</f>
        <v>unidade</v>
      </c>
      <c r="E22" s="25">
        <f>Item20!D3</f>
        <v>1</v>
      </c>
      <c r="F22" s="26">
        <f>Item20!E3</f>
        <v>0</v>
      </c>
      <c r="G22" s="26">
        <f t="shared" si="0"/>
        <v>0</v>
      </c>
    </row>
    <row r="23" spans="1:7" x14ac:dyDescent="0.25">
      <c r="A23" s="25">
        <v>3</v>
      </c>
      <c r="B23" s="25">
        <f>Item21!A3</f>
        <v>21</v>
      </c>
      <c r="C23" s="27" t="str">
        <f>Item21!B3</f>
        <v>Tráfego Fixo-Fixo</v>
      </c>
      <c r="D23" s="25" t="str">
        <f>Item21!C3</f>
        <v>minuto</v>
      </c>
      <c r="E23" s="25">
        <f>Item21!D3</f>
        <v>660000</v>
      </c>
      <c r="F23" s="26">
        <f>Item21!E3</f>
        <v>0.03</v>
      </c>
      <c r="G23" s="26">
        <f t="shared" si="0"/>
        <v>19800</v>
      </c>
    </row>
    <row r="24" spans="1:7" x14ac:dyDescent="0.25">
      <c r="A24" s="25">
        <v>3</v>
      </c>
      <c r="B24" s="25">
        <f>Item22!A3</f>
        <v>22</v>
      </c>
      <c r="C24" s="27" t="str">
        <f>Item22!B3</f>
        <v>Tráfego Fixo-Móvel (VC-1)</v>
      </c>
      <c r="D24" s="25" t="str">
        <f>Item22!C3</f>
        <v>minuto</v>
      </c>
      <c r="E24" s="25">
        <f>Item22!D3</f>
        <v>135000</v>
      </c>
      <c r="F24" s="26">
        <f>Item22!E3</f>
        <v>0.14000000000000001</v>
      </c>
      <c r="G24" s="26">
        <f t="shared" si="0"/>
        <v>18900</v>
      </c>
    </row>
    <row r="25" spans="1:7" x14ac:dyDescent="0.25">
      <c r="A25" s="25">
        <v>3</v>
      </c>
      <c r="B25" s="25">
        <f>Item23!A3</f>
        <v>23</v>
      </c>
      <c r="C25" s="27" t="str">
        <f>Item23!B3</f>
        <v>Fixo-Fixo Intrarregionais</v>
      </c>
      <c r="D25" s="25" t="str">
        <f>Item23!C3</f>
        <v>minuto</v>
      </c>
      <c r="E25" s="25">
        <f>Item23!D3</f>
        <v>135000</v>
      </c>
      <c r="F25" s="26">
        <f>Item23!E3</f>
        <v>0.06</v>
      </c>
      <c r="G25" s="26">
        <f t="shared" si="0"/>
        <v>8100</v>
      </c>
    </row>
    <row r="26" spans="1:7" x14ac:dyDescent="0.25">
      <c r="A26" s="25">
        <v>3</v>
      </c>
      <c r="B26" s="25">
        <f>Item24!A3</f>
        <v>24</v>
      </c>
      <c r="C26" s="27" t="str">
        <f>Item24!B3</f>
        <v>Fixo-Fixo Inter-Regionais</v>
      </c>
      <c r="D26" s="25" t="str">
        <f>Item24!C3</f>
        <v>minuto</v>
      </c>
      <c r="E26" s="25">
        <f>Item24!D3</f>
        <v>135000</v>
      </c>
      <c r="F26" s="26">
        <f>Item24!E3</f>
        <v>0.09</v>
      </c>
      <c r="G26" s="26">
        <f t="shared" si="0"/>
        <v>12150</v>
      </c>
    </row>
    <row r="27" spans="1:7" x14ac:dyDescent="0.25">
      <c r="A27" s="25">
        <v>3</v>
      </c>
      <c r="B27" s="25">
        <f>Item25!A3</f>
        <v>25</v>
      </c>
      <c r="C27" s="27" t="str">
        <f>Item25!B3</f>
        <v>Fixo-Móvel Intrarregionais (VC-2)</v>
      </c>
      <c r="D27" s="25" t="str">
        <f>Item25!C3</f>
        <v>minuto</v>
      </c>
      <c r="E27" s="25">
        <f>Item25!D3</f>
        <v>135000</v>
      </c>
      <c r="F27" s="26">
        <f>Item25!E3</f>
        <v>0.14000000000000001</v>
      </c>
      <c r="G27" s="26">
        <f t="shared" si="0"/>
        <v>18900</v>
      </c>
    </row>
    <row r="28" spans="1:7" x14ac:dyDescent="0.25">
      <c r="A28" s="25">
        <v>3</v>
      </c>
      <c r="B28" s="25">
        <f>Item26!A3</f>
        <v>26</v>
      </c>
      <c r="C28" s="27" t="str">
        <f>Item26!B3</f>
        <v>Fixo-Móvel Inter-Regionais (VC-3)</v>
      </c>
      <c r="D28" s="25" t="str">
        <f>Item26!C3</f>
        <v>minuto</v>
      </c>
      <c r="E28" s="25">
        <f>Item26!D3</f>
        <v>75000</v>
      </c>
      <c r="F28" s="26">
        <f>Item26!E3</f>
        <v>0.14000000000000001</v>
      </c>
      <c r="G28" s="26">
        <f t="shared" si="0"/>
        <v>10500</v>
      </c>
    </row>
    <row r="29" spans="1:7" ht="30" x14ac:dyDescent="0.25">
      <c r="A29" s="25">
        <v>3</v>
      </c>
      <c r="B29" s="25">
        <f>Item27!A3</f>
        <v>27</v>
      </c>
      <c r="C29" s="27" t="str">
        <f>Item27!B3</f>
        <v>Assinatura mensal de 2 (dois) troncos SIP (10 Mbps)</v>
      </c>
      <c r="D29" s="25" t="str">
        <f>Item27!C3</f>
        <v>mensalidade</v>
      </c>
      <c r="E29" s="25">
        <f>Item27!D3</f>
        <v>24</v>
      </c>
      <c r="F29" s="26">
        <f>Item27!E3</f>
        <v>1632.35</v>
      </c>
      <c r="G29" s="26">
        <f t="shared" si="0"/>
        <v>39176.400000000001</v>
      </c>
    </row>
    <row r="30" spans="1:7" x14ac:dyDescent="0.25">
      <c r="A30" s="25">
        <v>3</v>
      </c>
      <c r="B30" s="25">
        <f>Item28!A3</f>
        <v>28</v>
      </c>
      <c r="C30" s="27" t="str">
        <f>Item28!B3</f>
        <v>Outros (detalhar)</v>
      </c>
      <c r="D30" s="25" t="str">
        <f>Item28!C3</f>
        <v>mensalidade</v>
      </c>
      <c r="E30" s="25">
        <f>Item28!D3</f>
        <v>24</v>
      </c>
      <c r="F30" s="26">
        <f>Item28!E3</f>
        <v>90.91</v>
      </c>
      <c r="G30" s="26">
        <f t="shared" ref="G30:G37" si="1">ROUND((E30*F30),2)</f>
        <v>2181.84</v>
      </c>
    </row>
    <row r="31" spans="1:7" ht="30" x14ac:dyDescent="0.25">
      <c r="A31" s="25">
        <v>3</v>
      </c>
      <c r="B31" s="25">
        <f>Item29!A3</f>
        <v>29</v>
      </c>
      <c r="C31" s="27" t="str">
        <f>Item29!B3</f>
        <v>Taxa de instalação dos 2 (dois) troncos SIP e faixas DDR</v>
      </c>
      <c r="D31" s="25" t="str">
        <f>Item29!C3</f>
        <v>unidade</v>
      </c>
      <c r="E31" s="25">
        <f>Item29!D3</f>
        <v>1</v>
      </c>
      <c r="F31" s="26">
        <f>Item29!E3</f>
        <v>1498.76</v>
      </c>
      <c r="G31" s="26">
        <f t="shared" si="1"/>
        <v>1498.76</v>
      </c>
    </row>
    <row r="32" spans="1:7" x14ac:dyDescent="0.25">
      <c r="A32" s="25">
        <v>3</v>
      </c>
      <c r="B32" s="25">
        <f>Item30!A3</f>
        <v>30</v>
      </c>
      <c r="C32" s="27" t="str">
        <f>Item30!B3</f>
        <v>Outros (detalhar)</v>
      </c>
      <c r="D32" s="25" t="str">
        <f>Item30!C3</f>
        <v>unidade</v>
      </c>
      <c r="E32" s="25">
        <f>Item30!D3</f>
        <v>1</v>
      </c>
      <c r="F32" s="26">
        <f>Item30!E3</f>
        <v>0</v>
      </c>
      <c r="G32" s="26">
        <f t="shared" si="1"/>
        <v>0</v>
      </c>
    </row>
    <row r="33" spans="1:7" x14ac:dyDescent="0.25">
      <c r="A33" s="25">
        <v>4</v>
      </c>
      <c r="B33" s="25">
        <f>Item31!A3</f>
        <v>31</v>
      </c>
      <c r="C33" s="27" t="str">
        <f>Item31!B3</f>
        <v>Ligações recebidas de telefone fixo</v>
      </c>
      <c r="D33" s="25" t="str">
        <f>Item31!C3</f>
        <v>minuto</v>
      </c>
      <c r="E33" s="25">
        <f>Item31!D3</f>
        <v>120000</v>
      </c>
      <c r="F33" s="26">
        <f>Item31!E3</f>
        <v>7.0000000000000007E-2</v>
      </c>
      <c r="G33" s="26">
        <f t="shared" si="1"/>
        <v>8400</v>
      </c>
    </row>
    <row r="34" spans="1:7" x14ac:dyDescent="0.25">
      <c r="A34" s="25">
        <v>4</v>
      </c>
      <c r="B34" s="25">
        <f>Item32!A3</f>
        <v>32</v>
      </c>
      <c r="C34" s="27" t="str">
        <f>Item32!B3</f>
        <v>Ligações recebidas de telefone móvel</v>
      </c>
      <c r="D34" s="25" t="str">
        <f>Item32!C3</f>
        <v>minuto</v>
      </c>
      <c r="E34" s="25">
        <f>Item32!D3</f>
        <v>240000</v>
      </c>
      <c r="F34" s="26">
        <f>Item32!E3</f>
        <v>0.1</v>
      </c>
      <c r="G34" s="26">
        <f t="shared" si="1"/>
        <v>24000</v>
      </c>
    </row>
    <row r="35" spans="1:7" ht="30" x14ac:dyDescent="0.25">
      <c r="A35" s="25">
        <v>4</v>
      </c>
      <c r="B35" s="25">
        <f>Item33!A3</f>
        <v>33</v>
      </c>
      <c r="C35" s="27" t="str">
        <f>Item33!B3</f>
        <v>Ligações intraestaduais recebidas de telefone fixo</v>
      </c>
      <c r="D35" s="25" t="str">
        <f>Item33!C3</f>
        <v>minuto</v>
      </c>
      <c r="E35" s="25">
        <f>Item33!D3</f>
        <v>60000</v>
      </c>
      <c r="F35" s="26">
        <f>Item33!E3</f>
        <v>0.09</v>
      </c>
      <c r="G35" s="26">
        <f t="shared" si="1"/>
        <v>5400</v>
      </c>
    </row>
    <row r="36" spans="1:7" ht="30" x14ac:dyDescent="0.25">
      <c r="A36" s="25">
        <v>4</v>
      </c>
      <c r="B36" s="25">
        <f>Item34!A3</f>
        <v>34</v>
      </c>
      <c r="C36" s="27" t="str">
        <f>Item34!B3</f>
        <v>Ligações intraestaduais recebidas de telefone móvel</v>
      </c>
      <c r="D36" s="25" t="str">
        <f>Item34!C3</f>
        <v>minuto</v>
      </c>
      <c r="E36" s="25">
        <f>Item34!D3</f>
        <v>120000</v>
      </c>
      <c r="F36" s="26">
        <f>Item34!E3</f>
        <v>0.1</v>
      </c>
      <c r="G36" s="26">
        <f t="shared" si="1"/>
        <v>12000</v>
      </c>
    </row>
    <row r="37" spans="1:7" x14ac:dyDescent="0.25">
      <c r="A37" s="25">
        <v>4</v>
      </c>
      <c r="B37" s="25">
        <f>Item35!A3</f>
        <v>35</v>
      </c>
      <c r="C37" s="27" t="str">
        <f>Item35!B3</f>
        <v>Assinatura mensal de 0800</v>
      </c>
      <c r="D37" s="25" t="str">
        <f>Item35!C3</f>
        <v>mensalidade</v>
      </c>
      <c r="E37" s="25">
        <f>Item35!D3</f>
        <v>24</v>
      </c>
      <c r="F37" s="26">
        <f>Item35!E3</f>
        <v>241.66</v>
      </c>
      <c r="G37" s="26">
        <f t="shared" si="1"/>
        <v>5799.84</v>
      </c>
    </row>
    <row r="38" spans="1:7" ht="15.75" thickBot="1" x14ac:dyDescent="0.3"/>
    <row r="39" spans="1:7" ht="16.5" thickTop="1" thickBot="1" x14ac:dyDescent="0.3">
      <c r="D39" s="22"/>
      <c r="E39" s="23" t="s">
        <v>30</v>
      </c>
      <c r="F39" s="24">
        <f>SUM(G:G)</f>
        <v>424496.76000000013</v>
      </c>
    </row>
    <row r="40" spans="1:7" ht="15.75" thickTop="1" x14ac:dyDescent="0.25">
      <c r="F40" s="3"/>
    </row>
    <row r="41" spans="1:7" x14ac:dyDescent="0.25">
      <c r="D41" s="21" t="s">
        <v>83</v>
      </c>
      <c r="E41" s="13">
        <f>MAX(A:A)</f>
        <v>4</v>
      </c>
    </row>
    <row r="43" spans="1:7" x14ac:dyDescent="0.25">
      <c r="D43" s="18" t="s">
        <v>84</v>
      </c>
      <c r="E43" s="19">
        <v>1</v>
      </c>
      <c r="F43" s="20">
        <f>SUMIF(A:A,E43,G:G)</f>
        <v>141275</v>
      </c>
    </row>
    <row r="44" spans="1:7" x14ac:dyDescent="0.25">
      <c r="D44" s="18" t="s">
        <v>84</v>
      </c>
      <c r="E44" s="19">
        <v>2</v>
      </c>
      <c r="F44" s="20">
        <f>SUMIF(A:A,E44,G:G)</f>
        <v>96414.92</v>
      </c>
    </row>
    <row r="45" spans="1:7" x14ac:dyDescent="0.25">
      <c r="D45" s="18" t="s">
        <v>84</v>
      </c>
      <c r="E45" s="19">
        <v>3</v>
      </c>
      <c r="F45" s="20">
        <f>SUMIF(A:A,E45,G:G)</f>
        <v>131207</v>
      </c>
    </row>
    <row r="46" spans="1:7" x14ac:dyDescent="0.25">
      <c r="D46" s="18" t="s">
        <v>84</v>
      </c>
      <c r="E46" s="19">
        <v>4</v>
      </c>
      <c r="F46" s="20">
        <f>SUMIF(A:A,E46,G:G)</f>
        <v>55599.839999999997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71" orientation="portrait" r:id="rId1"/>
  <headerFooter>
    <oddHeader>&amp;C&amp;G</oddHeader>
    <oddFooter>&amp;L&amp;"-,Negrito"Estimativa em &amp;D&amp;Rn/a = não se aplica</oddFooter>
  </headerFooter>
  <rowBreaks count="1" manualBreakCount="1">
    <brk id="2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5</v>
      </c>
      <c r="B3" s="37" t="s">
        <v>65</v>
      </c>
      <c r="C3" s="40" t="s">
        <v>55</v>
      </c>
      <c r="D3" s="40">
        <v>169200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0.76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0.49</v>
      </c>
      <c r="I5" s="17">
        <f t="shared" si="0"/>
        <v>0.49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0.76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0.3682209481638255</v>
      </c>
      <c r="B20" s="8">
        <f>COUNT(H3:H17)</f>
        <v>6</v>
      </c>
      <c r="C20" s="9">
        <f>IF(B20&lt;2,"n/a",(A20/D20))</f>
        <v>1.0520598518966444</v>
      </c>
      <c r="D20" s="10">
        <f>IFERROR(ROUND(AVERAGE(H3:H17),2),"")</f>
        <v>0.35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23688.000000000004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6</v>
      </c>
      <c r="B3" s="37" t="s">
        <v>66</v>
      </c>
      <c r="C3" s="40" t="s">
        <v>55</v>
      </c>
      <c r="D3" s="40">
        <v>42300</v>
      </c>
      <c r="E3" s="34">
        <f>IF(C20&lt;=25%,D20,MIN(E20:F20))</f>
        <v>0.14000000000000001</v>
      </c>
      <c r="F3" s="34">
        <f>MIN(H3:H17)</f>
        <v>0</v>
      </c>
      <c r="G3" s="5" t="s">
        <v>56</v>
      </c>
      <c r="H3" s="16">
        <v>0.01</v>
      </c>
      <c r="I3" s="17">
        <f>IF(H3="","",(IF($C$20&lt;25%,"n/a",IF(H3&lt;=($D$20+$A$20),H3,"Descartado"))))</f>
        <v>0.01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3.65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0.5</v>
      </c>
      <c r="I5" s="17">
        <f t="shared" si="0"/>
        <v>0.5</v>
      </c>
    </row>
    <row r="6" spans="1:9" x14ac:dyDescent="0.25">
      <c r="A6" s="35"/>
      <c r="B6" s="38"/>
      <c r="C6" s="41"/>
      <c r="D6" s="41"/>
      <c r="E6" s="34"/>
      <c r="F6" s="34"/>
      <c r="G6" s="5" t="s">
        <v>59</v>
      </c>
      <c r="H6" s="16">
        <v>0.06</v>
      </c>
      <c r="I6" s="17">
        <f t="shared" si="0"/>
        <v>0.06</v>
      </c>
    </row>
    <row r="7" spans="1:9" x14ac:dyDescent="0.25">
      <c r="A7" s="35"/>
      <c r="B7" s="38"/>
      <c r="C7" s="41"/>
      <c r="D7" s="41"/>
      <c r="E7" s="34"/>
      <c r="F7" s="34"/>
      <c r="G7" s="5" t="s">
        <v>60</v>
      </c>
      <c r="H7" s="16">
        <v>3.63</v>
      </c>
      <c r="I7" s="17" t="str">
        <f t="shared" si="0"/>
        <v>Descartado</v>
      </c>
    </row>
    <row r="8" spans="1:9" x14ac:dyDescent="0.25">
      <c r="A8" s="35"/>
      <c r="B8" s="38"/>
      <c r="C8" s="41"/>
      <c r="D8" s="41"/>
      <c r="E8" s="34"/>
      <c r="F8" s="34"/>
      <c r="G8" s="5" t="s">
        <v>61</v>
      </c>
      <c r="H8" s="16">
        <v>0</v>
      </c>
      <c r="I8" s="17">
        <f t="shared" si="0"/>
        <v>0</v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1.815636711092466</v>
      </c>
      <c r="B20" s="8">
        <f>COUNT(H3:H17)</f>
        <v>6</v>
      </c>
      <c r="C20" s="9">
        <f>IF(B20&lt;2,"n/a",(A20/D20))</f>
        <v>1.3859822222079894</v>
      </c>
      <c r="D20" s="10">
        <f>IFERROR(ROUND(AVERAGE(H3:H17),2),"")</f>
        <v>1.31</v>
      </c>
      <c r="E20" s="15">
        <f>IFERROR(ROUND(IF(B20&lt;2,"n/a",(IF(C20&lt;=25%,"n/a",AVERAGE(I3:I17)))),2),"n/a")</f>
        <v>0.14000000000000001</v>
      </c>
      <c r="F20" s="10">
        <f>IFERROR(ROUND(MEDIAN(H3:H17),2),"")</f>
        <v>0.28000000000000003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0.14000000000000001</v>
      </c>
    </row>
    <row r="23" spans="1:9" x14ac:dyDescent="0.25">
      <c r="G23" s="13" t="s">
        <v>6</v>
      </c>
      <c r="H23" s="14">
        <f>ROUND(H22,2)*D3</f>
        <v>5922.0000000000009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5">
        <v>7</v>
      </c>
      <c r="B3" s="37" t="s">
        <v>67</v>
      </c>
      <c r="C3" s="40" t="s">
        <v>68</v>
      </c>
      <c r="D3" s="40">
        <v>24</v>
      </c>
      <c r="E3" s="34">
        <f>IF(C20&lt;=25%,D20,MIN(E20:F20))</f>
        <v>1632.35</v>
      </c>
      <c r="F3" s="34">
        <f>MIN(H3:H17)</f>
        <v>305.89</v>
      </c>
      <c r="G3" s="5" t="s">
        <v>56</v>
      </c>
      <c r="H3" s="16">
        <v>22322.51</v>
      </c>
      <c r="I3" s="17" t="str">
        <f>IF(H3="","",(IF($C$20&lt;25%,"n/a",IF(H3&lt;=($D$20+$A$20),H3,"Descartado"))))</f>
        <v>Descartado</v>
      </c>
    </row>
    <row r="4" spans="1:9" x14ac:dyDescent="0.25">
      <c r="A4" s="35"/>
      <c r="B4" s="38"/>
      <c r="C4" s="41"/>
      <c r="D4" s="41"/>
      <c r="E4" s="34"/>
      <c r="F4" s="34"/>
      <c r="G4" s="5" t="s">
        <v>57</v>
      </c>
      <c r="H4" s="16">
        <v>3673.9</v>
      </c>
      <c r="I4" s="17">
        <f t="shared" ref="I4:I17" si="0">IF(H4="","",(IF($C$20&lt;25%,"n/a",IF(H4&lt;=($D$20+$A$20),H4,"Descartado"))))</f>
        <v>3673.9</v>
      </c>
    </row>
    <row r="5" spans="1:9" x14ac:dyDescent="0.25">
      <c r="A5" s="35"/>
      <c r="B5" s="38"/>
      <c r="C5" s="41"/>
      <c r="D5" s="41"/>
      <c r="E5" s="34"/>
      <c r="F5" s="34"/>
      <c r="G5" s="5" t="s">
        <v>58</v>
      </c>
      <c r="H5" s="16">
        <v>917.27</v>
      </c>
      <c r="I5" s="17">
        <f t="shared" si="0"/>
        <v>917.27</v>
      </c>
    </row>
    <row r="6" spans="1:9" x14ac:dyDescent="0.25">
      <c r="A6" s="35"/>
      <c r="B6" s="38"/>
      <c r="C6" s="41"/>
      <c r="D6" s="41"/>
      <c r="E6" s="34"/>
      <c r="F6" s="34"/>
      <c r="G6" s="5" t="s">
        <v>61</v>
      </c>
      <c r="H6" s="16">
        <v>305.89</v>
      </c>
      <c r="I6" s="17">
        <f t="shared" si="0"/>
        <v>305.89</v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10448.296497657324</v>
      </c>
      <c r="B20" s="8">
        <f>COUNT(H3:H17)</f>
        <v>4</v>
      </c>
      <c r="C20" s="9">
        <f>IF(B20&lt;2,"n/a",(A20/D20))</f>
        <v>1.5354100503692674</v>
      </c>
      <c r="D20" s="10">
        <f>IFERROR(ROUND(AVERAGE(H3:H17),2),"")</f>
        <v>6804.89</v>
      </c>
      <c r="E20" s="15">
        <f>IFERROR(ROUND(IF(B20&lt;2,"n/a",(IF(C20&lt;=25%,"n/a",AVERAGE(I3:I17)))),2),"n/a")</f>
        <v>1632.35</v>
      </c>
      <c r="F20" s="10">
        <f>IFERROR(ROUND(MEDIAN(H3:H17),2),"")</f>
        <v>2295.59</v>
      </c>
      <c r="G20" s="11" t="str">
        <f>IFERROR(INDEX(G3:G17,MATCH(H20,H3:H17,0)),"")</f>
        <v>TELEFONICA BRASIL S/A</v>
      </c>
      <c r="H20" s="12">
        <f>F3</f>
        <v>305.89</v>
      </c>
    </row>
    <row r="22" spans="1:9" x14ac:dyDescent="0.25">
      <c r="G22" s="13" t="s">
        <v>20</v>
      </c>
      <c r="H22" s="14">
        <f>IF(C20&lt;=25%,D20,MIN(E20:F20))</f>
        <v>1632.35</v>
      </c>
    </row>
    <row r="23" spans="1:9" x14ac:dyDescent="0.25">
      <c r="G23" s="13" t="s">
        <v>6</v>
      </c>
      <c r="H23" s="14">
        <f>ROUND(H22,2)*D3</f>
        <v>39176.399999999994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ht="15" customHeight="1" x14ac:dyDescent="0.25">
      <c r="A3" s="35">
        <v>8</v>
      </c>
      <c r="B3" s="37" t="s">
        <v>69</v>
      </c>
      <c r="C3" s="40" t="s">
        <v>68</v>
      </c>
      <c r="D3" s="40">
        <v>24</v>
      </c>
      <c r="E3" s="34">
        <f>IF(C20&lt;=25%,D20,MIN(E20:F20))</f>
        <v>90.91</v>
      </c>
      <c r="F3" s="34">
        <f>MIN(H3:H17)</f>
        <v>0</v>
      </c>
      <c r="G3" s="5" t="s">
        <v>56</v>
      </c>
      <c r="H3" s="16">
        <v>0</v>
      </c>
      <c r="I3" s="17">
        <f>IF(H3="","",(IF($C$20&lt;25%,"n/a",IF(H3&lt;=($D$20+$A$20),H3,"Descartado"))))</f>
        <v>0</v>
      </c>
    </row>
    <row r="4" spans="1:9" x14ac:dyDescent="0.25">
      <c r="A4" s="35"/>
      <c r="B4" s="38"/>
      <c r="C4" s="41"/>
      <c r="D4" s="41"/>
      <c r="E4" s="34"/>
      <c r="F4" s="34"/>
      <c r="G4" s="5" t="s">
        <v>70</v>
      </c>
      <c r="H4" s="16">
        <v>174.21</v>
      </c>
      <c r="I4" s="17">
        <f t="shared" ref="I4:I17" si="0">IF(H4="","",(IF($C$20&lt;25%,"n/a",IF(H4&lt;=($D$20+$A$20),H4,"Descartado"))))</f>
        <v>174.21</v>
      </c>
    </row>
    <row r="5" spans="1:9" x14ac:dyDescent="0.25">
      <c r="A5" s="35"/>
      <c r="B5" s="38"/>
      <c r="C5" s="41"/>
      <c r="D5" s="41"/>
      <c r="E5" s="34"/>
      <c r="F5" s="34"/>
      <c r="G5" s="5" t="s">
        <v>71</v>
      </c>
      <c r="H5" s="16">
        <v>106.73</v>
      </c>
      <c r="I5" s="17">
        <f t="shared" si="0"/>
        <v>106.73</v>
      </c>
    </row>
    <row r="6" spans="1:9" x14ac:dyDescent="0.25">
      <c r="A6" s="35"/>
      <c r="B6" s="38"/>
      <c r="C6" s="41"/>
      <c r="D6" s="41"/>
      <c r="E6" s="34"/>
      <c r="F6" s="34"/>
      <c r="G6" s="5" t="s">
        <v>72</v>
      </c>
      <c r="H6" s="16">
        <v>173.61</v>
      </c>
      <c r="I6" s="17">
        <f t="shared" si="0"/>
        <v>173.61</v>
      </c>
    </row>
    <row r="7" spans="1:9" x14ac:dyDescent="0.25">
      <c r="A7" s="35"/>
      <c r="B7" s="38"/>
      <c r="C7" s="41"/>
      <c r="D7" s="41"/>
      <c r="E7" s="34"/>
      <c r="F7" s="34"/>
      <c r="G7" s="5" t="s">
        <v>73</v>
      </c>
      <c r="H7" s="16">
        <v>0</v>
      </c>
      <c r="I7" s="17">
        <f t="shared" si="0"/>
        <v>0</v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87.403816564266805</v>
      </c>
      <c r="B20" s="8">
        <f>COUNT(H3:H17)</f>
        <v>5</v>
      </c>
      <c r="C20" s="9">
        <f>IF(B20&lt;2,"n/a",(A20/D20))</f>
        <v>0.96143236788325603</v>
      </c>
      <c r="D20" s="10">
        <f>IFERROR(ROUND(AVERAGE(H3:H17),2),"")</f>
        <v>90.91</v>
      </c>
      <c r="E20" s="15">
        <f>IFERROR(ROUND(IF(B20&lt;2,"n/a",(IF(C20&lt;=25%,"n/a",AVERAGE(I3:I17)))),2),"n/a")</f>
        <v>90.91</v>
      </c>
      <c r="F20" s="10">
        <f>IFERROR(ROUND(MEDIAN(H3:H17),2),"")</f>
        <v>106.73</v>
      </c>
      <c r="G20" s="11" t="str">
        <f>IFERROR(INDEX(G3:G17,MATCH(H20,H3:H17,0)),"")</f>
        <v>MÉTODO TELECOMUNICAÇÕES E COMERCIO LTDA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90.91</v>
      </c>
    </row>
    <row r="23" spans="1:9" x14ac:dyDescent="0.25">
      <c r="G23" s="13" t="s">
        <v>6</v>
      </c>
      <c r="H23" s="14">
        <f>ROUND(H22,2)*D3</f>
        <v>2181.84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0" t="s">
        <v>8</v>
      </c>
      <c r="B1" s="30"/>
      <c r="C1" s="30"/>
      <c r="D1" s="30"/>
      <c r="E1" s="30"/>
      <c r="F1" s="30"/>
      <c r="G1" s="30"/>
      <c r="H1" s="30"/>
      <c r="I1" s="30"/>
    </row>
    <row r="2" spans="1:9" s="4" customFormat="1" ht="36.75" thickBot="1" x14ac:dyDescent="0.3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5">
        <v>9</v>
      </c>
      <c r="B3" s="37" t="s">
        <v>74</v>
      </c>
      <c r="C3" s="40" t="s">
        <v>7</v>
      </c>
      <c r="D3" s="40">
        <v>1</v>
      </c>
      <c r="E3" s="34">
        <f>IF(C20&lt;=25%,D20,MIN(E20:F20))</f>
        <v>1498.76</v>
      </c>
      <c r="F3" s="34">
        <f>MIN(H3:H17)</f>
        <v>0</v>
      </c>
      <c r="G3" s="5" t="s">
        <v>56</v>
      </c>
      <c r="H3" s="16">
        <v>2029.32</v>
      </c>
      <c r="I3" s="17">
        <f>IF(H3="","",(IF($C$20&lt;25%,"n/a",IF(H3&lt;=($D$20+$A$20),H3,"Descartado"))))</f>
        <v>2029.32</v>
      </c>
    </row>
    <row r="4" spans="1:9" x14ac:dyDescent="0.25">
      <c r="A4" s="35"/>
      <c r="B4" s="38"/>
      <c r="C4" s="41"/>
      <c r="D4" s="41"/>
      <c r="E4" s="34"/>
      <c r="F4" s="34"/>
      <c r="G4" s="5" t="s">
        <v>58</v>
      </c>
      <c r="H4" s="16">
        <v>2466.9499999999998</v>
      </c>
      <c r="I4" s="17">
        <f t="shared" ref="I4:I17" si="0">IF(H4="","",(IF($C$20&lt;25%,"n/a",IF(H4&lt;=($D$20+$A$20),H4,"Descartado"))))</f>
        <v>2466.9499999999998</v>
      </c>
    </row>
    <row r="5" spans="1:9" x14ac:dyDescent="0.25">
      <c r="A5" s="35"/>
      <c r="B5" s="38"/>
      <c r="C5" s="41"/>
      <c r="D5" s="41"/>
      <c r="E5" s="34"/>
      <c r="F5" s="34"/>
      <c r="G5" s="5" t="s">
        <v>61</v>
      </c>
      <c r="H5" s="16">
        <v>0</v>
      </c>
      <c r="I5" s="17">
        <f t="shared" si="0"/>
        <v>0</v>
      </c>
    </row>
    <row r="6" spans="1:9" x14ac:dyDescent="0.25">
      <c r="A6" s="35"/>
      <c r="B6" s="38"/>
      <c r="C6" s="41"/>
      <c r="D6" s="41"/>
      <c r="E6" s="34"/>
      <c r="F6" s="34"/>
      <c r="G6" s="5"/>
      <c r="H6" s="16"/>
      <c r="I6" s="17" t="str">
        <f t="shared" si="0"/>
        <v/>
      </c>
    </row>
    <row r="7" spans="1:9" x14ac:dyDescent="0.25">
      <c r="A7" s="35"/>
      <c r="B7" s="38"/>
      <c r="C7" s="41"/>
      <c r="D7" s="41"/>
      <c r="E7" s="34"/>
      <c r="F7" s="34"/>
      <c r="G7" s="5"/>
      <c r="H7" s="16"/>
      <c r="I7" s="17" t="str">
        <f t="shared" si="0"/>
        <v/>
      </c>
    </row>
    <row r="8" spans="1:9" x14ac:dyDescent="0.25">
      <c r="A8" s="35"/>
      <c r="B8" s="38"/>
      <c r="C8" s="41"/>
      <c r="D8" s="41"/>
      <c r="E8" s="34"/>
      <c r="F8" s="34"/>
      <c r="G8" s="5"/>
      <c r="H8" s="16"/>
      <c r="I8" s="17" t="str">
        <f t="shared" si="0"/>
        <v/>
      </c>
    </row>
    <row r="9" spans="1:9" x14ac:dyDescent="0.25">
      <c r="A9" s="35"/>
      <c r="B9" s="38"/>
      <c r="C9" s="41"/>
      <c r="D9" s="41"/>
      <c r="E9" s="34"/>
      <c r="F9" s="34"/>
      <c r="G9" s="5"/>
      <c r="H9" s="16"/>
      <c r="I9" s="17" t="str">
        <f t="shared" si="0"/>
        <v/>
      </c>
    </row>
    <row r="10" spans="1:9" x14ac:dyDescent="0.25">
      <c r="A10" s="35"/>
      <c r="B10" s="38"/>
      <c r="C10" s="41"/>
      <c r="D10" s="41"/>
      <c r="E10" s="34"/>
      <c r="F10" s="34"/>
      <c r="G10" s="5"/>
      <c r="H10" s="16"/>
      <c r="I10" s="17" t="str">
        <f t="shared" si="0"/>
        <v/>
      </c>
    </row>
    <row r="11" spans="1:9" x14ac:dyDescent="0.25">
      <c r="A11" s="35"/>
      <c r="B11" s="38"/>
      <c r="C11" s="41"/>
      <c r="D11" s="41"/>
      <c r="E11" s="34"/>
      <c r="F11" s="34"/>
      <c r="G11" s="5"/>
      <c r="H11" s="16"/>
      <c r="I11" s="17" t="str">
        <f t="shared" si="0"/>
        <v/>
      </c>
    </row>
    <row r="12" spans="1:9" x14ac:dyDescent="0.25">
      <c r="A12" s="35"/>
      <c r="B12" s="38"/>
      <c r="C12" s="41"/>
      <c r="D12" s="41"/>
      <c r="E12" s="34"/>
      <c r="F12" s="34"/>
      <c r="G12" s="5"/>
      <c r="H12" s="16"/>
      <c r="I12" s="17" t="str">
        <f t="shared" si="0"/>
        <v/>
      </c>
    </row>
    <row r="13" spans="1:9" x14ac:dyDescent="0.25">
      <c r="A13" s="35"/>
      <c r="B13" s="38"/>
      <c r="C13" s="41"/>
      <c r="D13" s="41"/>
      <c r="E13" s="34"/>
      <c r="F13" s="34"/>
      <c r="G13" s="5"/>
      <c r="H13" s="16"/>
      <c r="I13" s="17" t="str">
        <f t="shared" si="0"/>
        <v/>
      </c>
    </row>
    <row r="14" spans="1:9" x14ac:dyDescent="0.25">
      <c r="A14" s="35"/>
      <c r="B14" s="38"/>
      <c r="C14" s="41"/>
      <c r="D14" s="41"/>
      <c r="E14" s="34"/>
      <c r="F14" s="34"/>
      <c r="G14" s="5"/>
      <c r="H14" s="16"/>
      <c r="I14" s="17" t="str">
        <f t="shared" si="0"/>
        <v/>
      </c>
    </row>
    <row r="15" spans="1:9" x14ac:dyDescent="0.25">
      <c r="A15" s="35"/>
      <c r="B15" s="38"/>
      <c r="C15" s="41"/>
      <c r="D15" s="41"/>
      <c r="E15" s="34"/>
      <c r="F15" s="34"/>
      <c r="G15" s="5"/>
      <c r="H15" s="16"/>
      <c r="I15" s="17" t="str">
        <f t="shared" si="0"/>
        <v/>
      </c>
    </row>
    <row r="16" spans="1:9" x14ac:dyDescent="0.25">
      <c r="A16" s="35"/>
      <c r="B16" s="38"/>
      <c r="C16" s="41"/>
      <c r="D16" s="41"/>
      <c r="E16" s="34"/>
      <c r="F16" s="34"/>
      <c r="G16" s="5"/>
      <c r="H16" s="16"/>
      <c r="I16" s="17" t="str">
        <f t="shared" si="0"/>
        <v/>
      </c>
    </row>
    <row r="17" spans="1:9" ht="15.75" thickBot="1" x14ac:dyDescent="0.3">
      <c r="A17" s="35"/>
      <c r="B17" s="39"/>
      <c r="C17" s="42"/>
      <c r="D17" s="42"/>
      <c r="E17" s="34"/>
      <c r="F17" s="34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29" t="s">
        <v>19</v>
      </c>
      <c r="H19" s="29"/>
    </row>
    <row r="20" spans="1:9" x14ac:dyDescent="0.25">
      <c r="A20" s="8">
        <f>IF(B20&lt;2,"n/a",(_xlfn.STDEV.S(H3:H17)))</f>
        <v>1316.2764389114216</v>
      </c>
      <c r="B20" s="8">
        <f>COUNT(H3:H17)</f>
        <v>3</v>
      </c>
      <c r="C20" s="9">
        <f>IF(B20&lt;2,"n/a",(A20/D20))</f>
        <v>0.87824364068391303</v>
      </c>
      <c r="D20" s="10">
        <f>IFERROR(ROUND(AVERAGE(H3:H17),2),"")</f>
        <v>1498.76</v>
      </c>
      <c r="E20" s="15">
        <f>IFERROR(ROUND(IF(B20&lt;2,"n/a",(IF(C20&lt;=25%,"n/a",AVERAGE(I3:I17)))),2),"n/a")</f>
        <v>1498.76</v>
      </c>
      <c r="F20" s="10">
        <f>IFERROR(ROUND(MEDIAN(H3:H17),2),"")</f>
        <v>2029.32</v>
      </c>
      <c r="G20" s="11" t="str">
        <f>IFERROR(INDEX(G3:G17,MATCH(H20,H3:H17,0)),"")</f>
        <v>TELEFONICA BRASIL S/A</v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1498.76</v>
      </c>
    </row>
    <row r="23" spans="1:9" x14ac:dyDescent="0.25">
      <c r="G23" s="13" t="s">
        <v>6</v>
      </c>
      <c r="H23" s="14">
        <f>ROUND(H22,2)*D3</f>
        <v>1498.76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42</vt:i4>
      </vt:variant>
      <vt:variant>
        <vt:lpstr>Intervalos nomeados</vt:lpstr>
      </vt:variant>
      <vt:variant>
        <vt:i4>2</vt:i4>
      </vt:variant>
    </vt:vector>
  </HeadingPairs>
  <TitlesOfParts>
    <vt:vector size="44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2024-02-15T20:04:30Z</cp:lastPrinted>
  <dcterms:created xsi:type="dcterms:W3CDTF">2023-11-07T17:10:34Z</dcterms:created>
  <dcterms:modified xsi:type="dcterms:W3CDTF">2024-11-27T15:38:07Z</dcterms:modified>
</cp:coreProperties>
</file>