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total!$A$1:$I$17</definedName>
    <definedName name="_xlnm.Print_Titles" localSheetId="27">total!$1:$2</definedName>
  </definedNames>
  <calcPr calcId="145621"/>
</workbook>
</file>

<file path=xl/calcChain.xml><?xml version="1.0" encoding="utf-8"?>
<calcChain xmlns="http://schemas.openxmlformats.org/spreadsheetml/2006/main">
  <c r="E14" i="23" l="1"/>
  <c r="E13" i="23"/>
  <c r="E12" i="23"/>
  <c r="E11" i="23"/>
  <c r="E10" i="23"/>
  <c r="E9" i="23"/>
  <c r="E8" i="23"/>
  <c r="E7" i="23"/>
  <c r="E6" i="23"/>
  <c r="E5" i="23"/>
  <c r="E4" i="23"/>
  <c r="E3" i="23"/>
  <c r="D3" i="8"/>
  <c r="D3" i="7"/>
  <c r="D3" i="13"/>
  <c r="D3" i="6"/>
  <c r="D3" i="5"/>
  <c r="D3" i="11"/>
  <c r="D3" i="4"/>
  <c r="D3" i="1"/>
  <c r="H24"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G19" i="23"/>
  <c r="C4" i="23"/>
  <c r="D4" i="23"/>
  <c r="G4" i="23"/>
  <c r="C5" i="23"/>
  <c r="D5" i="23"/>
  <c r="G5" i="23"/>
  <c r="C6" i="23"/>
  <c r="D6" i="23"/>
  <c r="G6" i="23"/>
  <c r="C7" i="23"/>
  <c r="D7" i="23"/>
  <c r="G7" i="23"/>
  <c r="C8" i="23"/>
  <c r="D8" i="23"/>
  <c r="G8" i="23"/>
  <c r="C9" i="23"/>
  <c r="D9" i="23"/>
  <c r="G9" i="23"/>
  <c r="C10" i="23"/>
  <c r="D10" i="23"/>
  <c r="G10" i="23"/>
  <c r="C11" i="23"/>
  <c r="D11" i="23"/>
  <c r="G11" i="23"/>
  <c r="C12" i="23"/>
  <c r="D12" i="23"/>
  <c r="G12" i="23"/>
  <c r="C13" i="23"/>
  <c r="D13" i="23"/>
  <c r="G13" i="23"/>
  <c r="C14" i="23"/>
  <c r="D14" i="23"/>
  <c r="G14" i="23"/>
  <c r="B14" i="23"/>
  <c r="B13" i="23"/>
  <c r="B12" i="23"/>
  <c r="B11" i="23"/>
  <c r="B10" i="23"/>
  <c r="B9" i="23"/>
  <c r="B8" i="23"/>
  <c r="B7" i="23"/>
  <c r="B6" i="23"/>
  <c r="B5" i="23"/>
  <c r="B4" i="23"/>
  <c r="C3" i="23"/>
  <c r="D3" i="23"/>
  <c r="G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12" i="5"/>
  <c r="I17" i="5"/>
  <c r="I11" i="5"/>
  <c r="I16" i="5"/>
  <c r="I8" i="5"/>
  <c r="I13" i="5"/>
  <c r="I15" i="5"/>
  <c r="I14" i="5"/>
  <c r="A20" i="4"/>
  <c r="C20" i="4" s="1"/>
  <c r="C20" i="1"/>
  <c r="I5" i="6" l="1"/>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H14" i="23" s="1"/>
  <c r="I14" i="23"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H12" i="23" s="1"/>
  <c r="I12" i="23" s="1"/>
  <c r="E3" i="8"/>
  <c r="H8" i="23" s="1"/>
  <c r="I8" i="23" s="1"/>
  <c r="E3" i="6"/>
  <c r="H6" i="23" s="1"/>
  <c r="I6" i="23" s="1"/>
  <c r="E20" i="5"/>
  <c r="E3" i="5" s="1"/>
  <c r="H5" i="23" s="1"/>
  <c r="I5" i="23" s="1"/>
  <c r="H22" i="30"/>
  <c r="H23" i="30" s="1"/>
  <c r="E3" i="29"/>
  <c r="E3" i="25"/>
  <c r="E3" i="22"/>
  <c r="E20" i="21"/>
  <c r="H22" i="21" s="1"/>
  <c r="H23" i="21" s="1"/>
  <c r="E20" i="19"/>
  <c r="H22" i="19" s="1"/>
  <c r="H23" i="19" s="1"/>
  <c r="E3" i="18"/>
  <c r="E20" i="15"/>
  <c r="H22" i="15" s="1"/>
  <c r="H23" i="15" s="1"/>
  <c r="E20" i="13"/>
  <c r="E3" i="13" s="1"/>
  <c r="H13" i="23" s="1"/>
  <c r="I13" i="23" s="1"/>
  <c r="E20" i="11"/>
  <c r="H22" i="11" s="1"/>
  <c r="H23" i="11" s="1"/>
  <c r="E20" i="10"/>
  <c r="H22" i="10" s="1"/>
  <c r="H23" i="10" s="1"/>
  <c r="E3" i="9"/>
  <c r="H9" i="23" s="1"/>
  <c r="I9" i="23" s="1"/>
  <c r="E20" i="7"/>
  <c r="E20" i="4"/>
  <c r="E3" i="4" s="1"/>
  <c r="H4" i="23" s="1"/>
  <c r="I4" i="23" s="1"/>
  <c r="E20" i="17"/>
  <c r="E20" i="1"/>
  <c r="E3" i="21" l="1"/>
  <c r="E3" i="19"/>
  <c r="E3" i="15"/>
  <c r="H22" i="13"/>
  <c r="H23" i="13" s="1"/>
  <c r="E3" i="10"/>
  <c r="H10" i="23" s="1"/>
  <c r="I10" i="23" s="1"/>
  <c r="H23" i="23" s="1"/>
  <c r="H22" i="5"/>
  <c r="H23" i="5" s="1"/>
  <c r="H22" i="4"/>
  <c r="H23" i="4" s="1"/>
  <c r="E3" i="11"/>
  <c r="H11" i="23" s="1"/>
  <c r="I11" i="23" s="1"/>
  <c r="H22" i="7"/>
  <c r="H23" i="7" s="1"/>
  <c r="E3" i="7"/>
  <c r="H7" i="23" s="1"/>
  <c r="I7" i="23" s="1"/>
  <c r="H22" i="17"/>
  <c r="H23" i="17" s="1"/>
  <c r="E3" i="17"/>
  <c r="E3" i="1"/>
  <c r="H3" i="23" s="1"/>
  <c r="I3" i="23" s="1"/>
  <c r="H22" i="1"/>
  <c r="H23" i="1" s="1"/>
  <c r="H22" i="23" l="1"/>
  <c r="H21" i="23"/>
  <c r="H17" i="23"/>
</calcChain>
</file>

<file path=xl/sharedStrings.xml><?xml version="1.0" encoding="utf-8"?>
<sst xmlns="http://schemas.openxmlformats.org/spreadsheetml/2006/main" count="935" uniqueCount="158">
  <si>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</si>
  <si>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</si>
  <si>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</si>
  <si>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</si>
  <si>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</si>
  <si>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</si>
  <si>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</si>
  <si>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</si>
  <si>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</si>
  <si>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</si>
  <si>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</si>
  <si>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</si>
  <si>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</si>
  <si>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</si>
  <si>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</si>
  <si>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</si>
  <si>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</si>
  <si>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</si>
  <si>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</si>
  <si>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</si>
  <si>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</si>
  <si>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</si>
  <si>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</si>
  <si>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</si>
  <si>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</si>
  <si>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</si>
  <si>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</si>
  <si>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</si>
  <si>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</si>
  <si>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</si>
  <si>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</si>
  <si>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</si>
  <si>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</si>
  <si>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</si>
  <si>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</si>
  <si>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</si>
  <si>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</si>
  <si>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</si>
  <si>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</si>
  <si>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</si>
  <si>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</si>
  <si>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</si>
  <si>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</si>
  <si>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</si>
  <si>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</si>
  <si>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</si>
  <si>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</si>
  <si>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</si>
  <si>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</si>
  <si>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</si>
  <si>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M2Z SOLUCOES INTEGRADAS LTDA</t>
  </si>
  <si>
    <t>RAUL MUELLER SCHRAMM</t>
  </si>
  <si>
    <t>BRUNO DIGITAL COMERCIO DE MERCADORIA EM GERAL LTDA</t>
  </si>
  <si>
    <t>CLAVES E NOTAS COMERCIO DE INSTRUMENTOS MUSICAIS LTDA</t>
  </si>
  <si>
    <t>CR3 COMERCIO ELETRONICO LTDA</t>
  </si>
  <si>
    <t>CLAUDINEI TONIETTI</t>
  </si>
  <si>
    <t>PEDRO G.FERNANDES</t>
  </si>
  <si>
    <t>PROAV CAMPINAS LTDA</t>
  </si>
  <si>
    <t>17.410.769 VALNEIDES ARAUJO DA COSTA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</si>
  <si>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</si>
  <si>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</si>
  <si>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</si>
  <si>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</si>
  <si>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</si>
  <si>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</si>
  <si>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</si>
  <si>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</si>
  <si>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</si>
  <si>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</si>
  <si>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</si>
  <si>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</si>
  <si>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</si>
  <si>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</si>
  <si>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</si>
  <si>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</si>
  <si>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</si>
  <si>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</si>
  <si>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</si>
  <si>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</si>
  <si>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</si>
  <si>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</si>
  <si>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</si>
  <si>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</si>
  <si>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</si>
  <si>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</si>
  <si>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</si>
  <si>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</si>
  <si>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</si>
  <si>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</si>
  <si>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</si>
  <si>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</si>
  <si>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</si>
  <si>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</si>
  <si>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</si>
  <si>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</si>
  <si>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</si>
  <si>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</si>
  <si>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</si>
  <si>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</si>
  <si>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</si>
  <si>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</si>
  <si>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</si>
  <si>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</si>
  <si>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</si>
  <si>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KABUM</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</si>
  <si>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</si>
  <si>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</si>
  <si>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</si>
  <si>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</si>
  <si>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</si>
  <si>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</si>
  <si>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</si>
  <si>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</si>
  <si>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</si>
  <si>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</si>
  <si>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</si>
  <si>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</si>
  <si>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</si>
  <si>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</si>
  <si>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</si>
  <si>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</si>
  <si>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</si>
  <si>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</si>
  <si>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</si>
  <si>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</si>
  <si>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</si>
  <si>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</si>
  <si>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</si>
  <si>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</si>
  <si>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</si>
  <si>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</si>
  <si>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AMERICANAS </t>
  </si>
  <si>
    <t>POLO AR</t>
  </si>
  <si>
    <t>BUSCAPÉ</t>
  </si>
  <si>
    <t>FRIO PEÇAS</t>
  </si>
  <si>
    <t>AMAZON</t>
  </si>
  <si>
    <t>PONTO FRIO</t>
  </si>
  <si>
    <t>DUFRIO</t>
  </si>
  <si>
    <t>Condicionador de ar “split system” do tipo “Hi Wall”, com as seguintes especificações:
Capacidade de refrigeração entre 22.000 e 26.000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t>
  </si>
  <si>
    <t>Condicionador de ar “split system” do tipo “Hi Wall”, com as seguintes especificações:
Capacidade de refrigeração entre 16.000 e 20.000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t>
  </si>
  <si>
    <t>Condicionador de ar “split system” do tipo “Hi Wall”, com as seguintes especificações:
Capacidade de refrigeração entre 11.000 e 14.000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t>
  </si>
  <si>
    <t xml:space="preserve">FERREIRA COSTA </t>
  </si>
  <si>
    <t>CENTRAL AR</t>
  </si>
  <si>
    <t>Condicionador de ar “split system” do tipo “Piso-Teto”, com as seguintes especificações:
Capacidade de refrigeração entre 34.000 e 38.000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t>
  </si>
  <si>
    <t xml:space="preserve">CENTRAL AR </t>
  </si>
  <si>
    <t>FRIGELAR</t>
  </si>
  <si>
    <t>LEVEROS</t>
  </si>
  <si>
    <t>Condicionador de ar “split system” do tipo
“Piso-Teto”, com as seguintes especificações:
Capacidade de refrigeração entre 46.000 e 50.000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t>
  </si>
  <si>
    <t>AMARICANAS</t>
  </si>
  <si>
    <t>AR CERTO</t>
  </si>
  <si>
    <t>TOTAL AR</t>
  </si>
  <si>
    <t>Condicionador de ar “split system” do tipo
“Piso-Teto”, com as seguintes especificações:
Capacidade de refrigeração entre 54.000 e 62.000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t>
  </si>
  <si>
    <t>ZOOM</t>
  </si>
  <si>
    <t>ÚNICA AR CONDICIONADO</t>
  </si>
  <si>
    <t>A DIAS</t>
  </si>
  <si>
    <t>quantidade total</t>
  </si>
  <si>
    <t>quantidade TRE-BA</t>
  </si>
  <si>
    <t>quantidade ESFCEx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</si>
</sst>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73" formatCode="0;\-0;\-;@"/>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right/>
      <top style="hair">
        <color auto="1"/>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0" fontId="8" fillId="2" borderId="8" xfId="0" applyFont="1" applyFill="1" applyBorder="1" applyAlignment="1">
      <alignment horizontal="center"/>
    </xf>
    <xf numFmtId="173" fontId="2" fillId="0" borderId="1" xfId="1" applyNumberFormat="1" applyFont="1" applyBorder="1" applyAlignment="1">
      <alignment horizontal="center" vertical="top"/>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v>
      </c>
      <c r="B3" s="35" t="s">
        <v>140</v>
      </c>
      <c r="C3" s="37" t="s">
        <v>7</v>
      </c>
      <c r="D3" s="37">
        <f>65-Item7!D3</f>
        <v>49</v>
      </c>
      <c r="E3" s="38">
        <f>IF(C20&lt;=25%,D20,MIN(E20:F20))</f>
        <v>2449.85</v>
      </c>
      <c r="F3" s="38">
        <f>MIN(H3:H17)</f>
        <v>2305.29</v>
      </c>
      <c r="G3" s="5" t="s">
        <v>131</v>
      </c>
      <c r="H3" s="16">
        <v>2447.91</v>
      </c>
      <c r="I3" s="17" t="str">
        <f>IF(H3="","",(IF($C$20&lt;25%,"n/a",IF(H3&lt;=($D$20+$A$20),H3,"Descartado"))))</f>
        <v>n/a</v>
      </c>
    </row>
    <row r="4" spans="1:9" x14ac:dyDescent="0.25">
      <c r="A4" s="39"/>
      <c r="B4" s="36"/>
      <c r="C4" s="37"/>
      <c r="D4" s="37"/>
      <c r="E4" s="38"/>
      <c r="F4" s="38"/>
      <c r="G4" s="5" t="s">
        <v>132</v>
      </c>
      <c r="H4" s="16">
        <v>2305.29</v>
      </c>
      <c r="I4" s="17" t="str">
        <f t="shared" ref="I4:I17" si="0">IF(H4="","",(IF($C$20&lt;25%,"n/a",IF(H4&lt;=($D$20+$A$20),H4,"Descartado"))))</f>
        <v>n/a</v>
      </c>
    </row>
    <row r="5" spans="1:9" x14ac:dyDescent="0.25">
      <c r="A5" s="39"/>
      <c r="B5" s="36"/>
      <c r="C5" s="37"/>
      <c r="D5" s="37"/>
      <c r="E5" s="38"/>
      <c r="F5" s="38"/>
      <c r="G5" s="5" t="s">
        <v>133</v>
      </c>
      <c r="H5" s="16">
        <v>2483.08</v>
      </c>
      <c r="I5" s="17" t="str">
        <f t="shared" si="0"/>
        <v>n/a</v>
      </c>
    </row>
    <row r="6" spans="1:9" x14ac:dyDescent="0.25">
      <c r="A6" s="39"/>
      <c r="B6" s="36"/>
      <c r="C6" s="37"/>
      <c r="D6" s="37"/>
      <c r="E6" s="38"/>
      <c r="F6" s="38"/>
      <c r="G6" s="5" t="s">
        <v>134</v>
      </c>
      <c r="H6" s="16">
        <v>2563.1</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107.75149264240687</v>
      </c>
      <c r="B20" s="8">
        <f>COUNT(H3:H17)</f>
        <v>4</v>
      </c>
      <c r="C20" s="9">
        <f>IF(B20&lt;2,"n/a",(A20/D20))</f>
        <v>4.3982893908772733E-2</v>
      </c>
      <c r="D20" s="10">
        <f>IFERROR(ROUND(AVERAGE(H3:H17),2),"")</f>
        <v>2449.85</v>
      </c>
      <c r="E20" s="15" t="str">
        <f>IFERROR(ROUND(IF(B20&lt;2,"n/a",(IF(C20&lt;=25%,"n/a",AVERAGE(I3:I17)))),2),"n/a")</f>
        <v>n/a</v>
      </c>
      <c r="F20" s="10">
        <f>IFERROR(ROUND(MEDIAN(H3:H17),2),"")</f>
        <v>2465.5</v>
      </c>
      <c r="G20" s="11" t="str">
        <f>IFERROR(INDEX(G3:G17,MATCH(H20,H3:H17,0)),"")</f>
        <v>POLO AR</v>
      </c>
      <c r="H20" s="12">
        <f>F3</f>
        <v>2305.29</v>
      </c>
    </row>
    <row r="22" spans="1:9" x14ac:dyDescent="0.25">
      <c r="G22" s="13" t="s">
        <v>20</v>
      </c>
      <c r="H22" s="14">
        <f>IF(C20&lt;=25%,D20,MIN(E20:F20))</f>
        <v>2449.85</v>
      </c>
    </row>
    <row r="23" spans="1:9" x14ac:dyDescent="0.25">
      <c r="G23" s="13" t="s">
        <v>6</v>
      </c>
      <c r="H23" s="14">
        <f>ROUND(H22,2)*D3</f>
        <v>120042.65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10</v>
      </c>
      <c r="B3" s="35" t="s">
        <v>143</v>
      </c>
      <c r="C3" s="37" t="s">
        <v>7</v>
      </c>
      <c r="D3" s="37">
        <v>10</v>
      </c>
      <c r="E3" s="38">
        <f>IF(C20&lt;=25%,D20,MIN(E20:F20))</f>
        <v>7951.76</v>
      </c>
      <c r="F3" s="38">
        <f>MIN(H3:H17)</f>
        <v>7124.05</v>
      </c>
      <c r="G3" s="5" t="s">
        <v>144</v>
      </c>
      <c r="H3" s="16">
        <v>8834.0499999999993</v>
      </c>
      <c r="I3" s="17" t="str">
        <f>IF(H3="","",(IF($C$20&lt;25%,"n/a",IF(H3&lt;=($D$20+$A$20),H3,"Descartado"))))</f>
        <v>n/a</v>
      </c>
    </row>
    <row r="4" spans="1:9" x14ac:dyDescent="0.25">
      <c r="A4" s="39"/>
      <c r="B4" s="36"/>
      <c r="C4" s="37"/>
      <c r="D4" s="37"/>
      <c r="E4" s="38"/>
      <c r="F4" s="38"/>
      <c r="G4" s="5" t="s">
        <v>145</v>
      </c>
      <c r="H4" s="16">
        <v>8234.59</v>
      </c>
      <c r="I4" s="17" t="str">
        <f t="shared" ref="I4:I17" si="0">IF(H4="","",(IF($C$20&lt;25%,"n/a",IF(H4&lt;=($D$20+$A$20),H4,"Descartado"))))</f>
        <v>n/a</v>
      </c>
    </row>
    <row r="5" spans="1:9" x14ac:dyDescent="0.25">
      <c r="A5" s="39"/>
      <c r="B5" s="36"/>
      <c r="C5" s="37"/>
      <c r="D5" s="37"/>
      <c r="E5" s="38"/>
      <c r="F5" s="38"/>
      <c r="G5" s="5" t="s">
        <v>132</v>
      </c>
      <c r="H5" s="16">
        <v>7614.36</v>
      </c>
      <c r="I5" s="17" t="str">
        <f t="shared" si="0"/>
        <v>n/a</v>
      </c>
    </row>
    <row r="6" spans="1:9" x14ac:dyDescent="0.25">
      <c r="A6" s="39"/>
      <c r="B6" s="36"/>
      <c r="C6" s="37"/>
      <c r="D6" s="37"/>
      <c r="E6" s="38"/>
      <c r="F6" s="38"/>
      <c r="G6" s="5" t="s">
        <v>146</v>
      </c>
      <c r="H6" s="16">
        <v>7124.05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743.27452467106639</v>
      </c>
      <c r="B20" s="8">
        <f>COUNT(H3:H17)</f>
        <v>4</v>
      </c>
      <c r="C20" s="9">
        <f>IF(B20&lt;2,"n/a",(A20/D20))</f>
        <v>9.3472957517715116E-2</v>
      </c>
      <c r="D20" s="10">
        <f>IFERROR(ROUND(AVERAGE(H3:H17),2),"")</f>
        <v>7951.76</v>
      </c>
      <c r="E20" s="15" t="str">
        <f>IFERROR(ROUND(IF(B20&lt;2,"n/a",(IF(C20&lt;=25%,"n/a",AVERAGE(I3:I17)))),2),"n/a")</f>
        <v>n/a</v>
      </c>
      <c r="F20" s="10">
        <f>IFERROR(ROUND(MEDIAN(H3:H17),2),"")</f>
        <v>7924.48</v>
      </c>
      <c r="G20" s="11" t="str">
        <f>IFERROR(INDEX(G3:G17,MATCH(H20,H3:H17,0)),"")</f>
        <v>LEVEROS</v>
      </c>
      <c r="H20" s="12">
        <f>F3</f>
        <v>7124.05</v>
      </c>
    </row>
    <row r="22" spans="1:9" x14ac:dyDescent="0.25">
      <c r="G22" s="13" t="s">
        <v>20</v>
      </c>
      <c r="H22" s="14">
        <f>IF(C20&lt;=25%,D20,MIN(E20:F20))</f>
        <v>7951.76</v>
      </c>
    </row>
    <row r="23" spans="1:9" x14ac:dyDescent="0.25">
      <c r="G23" s="13" t="s">
        <v>6</v>
      </c>
      <c r="H23" s="14">
        <f>ROUND(H22,2)*D3</f>
        <v>79517.600000000006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11</v>
      </c>
      <c r="B3" s="35" t="s">
        <v>147</v>
      </c>
      <c r="C3" s="37" t="s">
        <v>7</v>
      </c>
      <c r="D3" s="37">
        <f>20*0.25</f>
        <v>5</v>
      </c>
      <c r="E3" s="38">
        <f>IF(C20&lt;=25%,D20,MIN(E20:F20))</f>
        <v>10225.870000000001</v>
      </c>
      <c r="F3" s="38">
        <f>MIN(H3:H17)</f>
        <v>8960.5499999999993</v>
      </c>
      <c r="G3" s="5" t="s">
        <v>148</v>
      </c>
      <c r="H3" s="16">
        <v>11889.9</v>
      </c>
      <c r="I3" s="17" t="str">
        <f>IF(H3="","",(IF($C$20&lt;25%,"n/a",IF(H3&lt;=($D$20+$A$20),H3,"Descartado"))))</f>
        <v>n/a</v>
      </c>
    </row>
    <row r="4" spans="1:9" x14ac:dyDescent="0.25">
      <c r="A4" s="39"/>
      <c r="B4" s="36"/>
      <c r="C4" s="37"/>
      <c r="D4" s="37"/>
      <c r="E4" s="38"/>
      <c r="F4" s="38"/>
      <c r="G4" s="5" t="s">
        <v>132</v>
      </c>
      <c r="H4" s="16">
        <v>10008.379999999999</v>
      </c>
      <c r="I4" s="17" t="str">
        <f t="shared" ref="I4:I17" si="0">IF(H4="","",(IF($C$20&lt;25%,"n/a",IF(H4&lt;=($D$20+$A$20),H4,"Descartado"))))</f>
        <v>n/a</v>
      </c>
    </row>
    <row r="5" spans="1:9" x14ac:dyDescent="0.25">
      <c r="A5" s="39"/>
      <c r="B5" s="36"/>
      <c r="C5" s="37"/>
      <c r="D5" s="37"/>
      <c r="E5" s="38"/>
      <c r="F5" s="38"/>
      <c r="G5" s="5" t="s">
        <v>149</v>
      </c>
      <c r="H5" s="16">
        <v>8960.5499999999993</v>
      </c>
      <c r="I5" s="17" t="str">
        <f t="shared" si="0"/>
        <v>n/a</v>
      </c>
    </row>
    <row r="6" spans="1:9" x14ac:dyDescent="0.25">
      <c r="A6" s="39"/>
      <c r="B6" s="36"/>
      <c r="C6" s="37"/>
      <c r="D6" s="37"/>
      <c r="E6" s="38"/>
      <c r="F6" s="38"/>
      <c r="G6" s="5" t="s">
        <v>150</v>
      </c>
      <c r="H6" s="16">
        <v>10044.65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1217.9454191109435</v>
      </c>
      <c r="B20" s="8">
        <f>COUNT(H3:H17)</f>
        <v>4</v>
      </c>
      <c r="C20" s="9">
        <f>IF(B20&lt;2,"n/a",(A20/D20))</f>
        <v>0.11910433235616563</v>
      </c>
      <c r="D20" s="10">
        <f>IFERROR(ROUND(AVERAGE(H3:H17),2),"")</f>
        <v>10225.870000000001</v>
      </c>
      <c r="E20" s="15" t="str">
        <f>IFERROR(ROUND(IF(B20&lt;2,"n/a",(IF(C20&lt;=25%,"n/a",AVERAGE(I3:I17)))),2),"n/a")</f>
        <v>n/a</v>
      </c>
      <c r="F20" s="10">
        <f>IFERROR(ROUND(MEDIAN(H3:H17),2),"")</f>
        <v>10026.52</v>
      </c>
      <c r="G20" s="11" t="str">
        <f>IFERROR(INDEX(G3:G17,MATCH(H20,H3:H17,0)),"")</f>
        <v>AR CERTO</v>
      </c>
      <c r="H20" s="12">
        <f>F3</f>
        <v>8960.5499999999993</v>
      </c>
    </row>
    <row r="22" spans="1:9" x14ac:dyDescent="0.25">
      <c r="G22" s="13" t="s">
        <v>20</v>
      </c>
      <c r="H22" s="14">
        <f>IF(C20&lt;=25%,D20,MIN(E20:F20))</f>
        <v>10225.870000000001</v>
      </c>
    </row>
    <row r="23" spans="1:9" x14ac:dyDescent="0.25">
      <c r="G23" s="13" t="s">
        <v>6</v>
      </c>
      <c r="H23" s="14">
        <f>ROUND(H22,2)*D3</f>
        <v>51129.350000000006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12</v>
      </c>
      <c r="B3" s="35" t="s">
        <v>151</v>
      </c>
      <c r="C3" s="37" t="s">
        <v>7</v>
      </c>
      <c r="D3" s="37">
        <v>6</v>
      </c>
      <c r="E3" s="38">
        <f>IF(C20&lt;=25%,D20,MIN(E20:F20))</f>
        <v>11764.92</v>
      </c>
      <c r="F3" s="38">
        <f>MIN(H3:H17)</f>
        <v>10998.24</v>
      </c>
      <c r="G3" s="5" t="s">
        <v>152</v>
      </c>
      <c r="H3" s="16">
        <v>10998.24</v>
      </c>
      <c r="I3" s="17" t="str">
        <f>IF(H3="","",(IF($C$20&lt;25%,"n/a",IF(H3&lt;=($D$20+$A$20),H3,"Descartado"))))</f>
        <v>n/a</v>
      </c>
    </row>
    <row r="4" spans="1:9" x14ac:dyDescent="0.25">
      <c r="A4" s="39"/>
      <c r="B4" s="36"/>
      <c r="C4" s="37"/>
      <c r="D4" s="37"/>
      <c r="E4" s="38"/>
      <c r="F4" s="38"/>
      <c r="G4" s="5" t="s">
        <v>145</v>
      </c>
      <c r="H4" s="16">
        <v>11249.02</v>
      </c>
      <c r="I4" s="17" t="str">
        <f t="shared" ref="I4:I17" si="0">IF(H4="","",(IF($C$20&lt;25%,"n/a",IF(H4&lt;=($D$20+$A$20),H4,"Descartado"))))</f>
        <v>n/a</v>
      </c>
    </row>
    <row r="5" spans="1:9" x14ac:dyDescent="0.25">
      <c r="A5" s="39"/>
      <c r="B5" s="36"/>
      <c r="C5" s="37"/>
      <c r="D5" s="37"/>
      <c r="E5" s="38"/>
      <c r="F5" s="38"/>
      <c r="G5" s="5" t="s">
        <v>153</v>
      </c>
      <c r="H5" s="16">
        <v>12978.22</v>
      </c>
      <c r="I5" s="17" t="str">
        <f t="shared" si="0"/>
        <v>n/a</v>
      </c>
    </row>
    <row r="6" spans="1:9" x14ac:dyDescent="0.25">
      <c r="A6" s="39"/>
      <c r="B6" s="36"/>
      <c r="C6" s="37"/>
      <c r="D6" s="37"/>
      <c r="E6" s="38"/>
      <c r="F6" s="38"/>
      <c r="G6" s="5" t="s">
        <v>154</v>
      </c>
      <c r="H6" s="16">
        <v>11834.2</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881.44722678104756</v>
      </c>
      <c r="B20" s="8">
        <f>COUNT(H3:H17)</f>
        <v>4</v>
      </c>
      <c r="C20" s="9">
        <f>IF(B20&lt;2,"n/a",(A20/D20))</f>
        <v>7.4921650702346257E-2</v>
      </c>
      <c r="D20" s="10">
        <f>IFERROR(ROUND(AVERAGE(H3:H17),2),"")</f>
        <v>11764.92</v>
      </c>
      <c r="E20" s="15" t="str">
        <f>IFERROR(ROUND(IF(B20&lt;2,"n/a",(IF(C20&lt;=25%,"n/a",AVERAGE(I3:I17)))),2),"n/a")</f>
        <v>n/a</v>
      </c>
      <c r="F20" s="10">
        <f>IFERROR(ROUND(MEDIAN(H3:H17),2),"")</f>
        <v>11541.61</v>
      </c>
      <c r="G20" s="11" t="str">
        <f>IFERROR(INDEX(G3:G17,MATCH(H20,H3:H17,0)),"")</f>
        <v>ZOOM</v>
      </c>
      <c r="H20" s="12">
        <f>F3</f>
        <v>10998.24</v>
      </c>
    </row>
    <row r="22" spans="1:9" x14ac:dyDescent="0.25">
      <c r="G22" s="13" t="s">
        <v>20</v>
      </c>
      <c r="H22" s="14">
        <f>IF(C20&lt;=25%,D20,MIN(E20:F20))</f>
        <v>11764.92</v>
      </c>
    </row>
    <row r="23" spans="1:9" x14ac:dyDescent="0.25">
      <c r="G23" s="13" t="s">
        <v>6</v>
      </c>
      <c r="H23" s="14">
        <f>ROUND(H22,2)*D3</f>
        <v>70589.52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13</v>
      </c>
      <c r="B3" s="35" t="s">
        <v>34</v>
      </c>
      <c r="C3" s="37" t="s">
        <v>7</v>
      </c>
      <c r="D3" s="37">
        <v>2</v>
      </c>
      <c r="E3" s="38">
        <f>IF(C20&lt;=25%,D20,MIN(E20:F20))</f>
        <v>733.15</v>
      </c>
      <c r="F3" s="38">
        <f>MIN(H3:H17)</f>
        <v>530</v>
      </c>
      <c r="G3" s="5" t="s">
        <v>59</v>
      </c>
      <c r="H3" s="16">
        <v>2799.98</v>
      </c>
      <c r="I3" s="17" t="str">
        <f>IF(H3="","",(IF($C$20&lt;25%,"n/a",IF(H3&lt;=($D$20+$A$20),H3,"Descartado"))))</f>
        <v>Descartado</v>
      </c>
    </row>
    <row r="4" spans="1:9" x14ac:dyDescent="0.25">
      <c r="A4" s="39"/>
      <c r="B4" s="36"/>
      <c r="C4" s="37"/>
      <c r="D4" s="37"/>
      <c r="E4" s="38"/>
      <c r="F4" s="38"/>
      <c r="G4" s="5" t="s">
        <v>60</v>
      </c>
      <c r="H4" s="16">
        <v>839.76</v>
      </c>
      <c r="I4" s="17">
        <f t="shared" ref="I4:I17" si="0">IF(H4="","",(IF($C$20&lt;25%,"n/a",IF(H4&lt;=($D$20+$A$20),H4,"Descartado"))))</f>
        <v>839.76</v>
      </c>
    </row>
    <row r="5" spans="1:9" x14ac:dyDescent="0.25">
      <c r="A5" s="39"/>
      <c r="B5" s="36"/>
      <c r="C5" s="37"/>
      <c r="D5" s="37"/>
      <c r="E5" s="38"/>
      <c r="F5" s="38"/>
      <c r="G5" s="5" t="s">
        <v>61</v>
      </c>
      <c r="H5" s="16">
        <v>657.09</v>
      </c>
      <c r="I5" s="17">
        <f t="shared" si="0"/>
        <v>657.09</v>
      </c>
    </row>
    <row r="6" spans="1:9" x14ac:dyDescent="0.25">
      <c r="A6" s="39"/>
      <c r="B6" s="36"/>
      <c r="C6" s="37"/>
      <c r="D6" s="37"/>
      <c r="E6" s="38"/>
      <c r="F6" s="38"/>
      <c r="G6" s="5" t="s">
        <v>52</v>
      </c>
      <c r="H6" s="16">
        <v>939</v>
      </c>
      <c r="I6" s="17">
        <f t="shared" si="0"/>
        <v>939</v>
      </c>
    </row>
    <row r="7" spans="1:9" x14ac:dyDescent="0.25">
      <c r="A7" s="39"/>
      <c r="B7" s="36"/>
      <c r="C7" s="37"/>
      <c r="D7" s="37"/>
      <c r="E7" s="38"/>
      <c r="F7" s="38"/>
      <c r="G7" s="5" t="s">
        <v>105</v>
      </c>
      <c r="H7" s="16">
        <v>530</v>
      </c>
      <c r="I7" s="17">
        <f t="shared" si="0"/>
        <v>530</v>
      </c>
    </row>
    <row r="8" spans="1:9" x14ac:dyDescent="0.25">
      <c r="A8" s="39"/>
      <c r="B8" s="36"/>
      <c r="C8" s="37"/>
      <c r="D8" s="37"/>
      <c r="E8" s="38"/>
      <c r="F8" s="38"/>
      <c r="G8" s="5" t="s">
        <v>106</v>
      </c>
      <c r="H8" s="16">
        <v>699.9</v>
      </c>
      <c r="I8" s="17">
        <f t="shared" si="0"/>
        <v>699.9</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14</v>
      </c>
      <c r="B3" s="35" t="s">
        <v>35</v>
      </c>
      <c r="C3" s="37" t="s">
        <v>7</v>
      </c>
      <c r="D3" s="37">
        <v>2</v>
      </c>
      <c r="E3" s="38">
        <f>IF(C20&lt;=25%,D20,MIN(E20:F20))</f>
        <v>450</v>
      </c>
      <c r="F3" s="38">
        <f>MIN(H3:H17)</f>
        <v>305</v>
      </c>
      <c r="G3" s="5" t="s">
        <v>62</v>
      </c>
      <c r="H3" s="16">
        <v>450</v>
      </c>
      <c r="I3" s="17">
        <f>IF(H3="","",(IF($C$20&lt;25%,"n/a",IF(H3&lt;=($D$20+$A$20),H3,"Descartado"))))</f>
        <v>450</v>
      </c>
    </row>
    <row r="4" spans="1:9" x14ac:dyDescent="0.25">
      <c r="A4" s="39"/>
      <c r="B4" s="36"/>
      <c r="C4" s="37"/>
      <c r="D4" s="37"/>
      <c r="E4" s="38"/>
      <c r="F4" s="38"/>
      <c r="G4" s="5" t="s">
        <v>63</v>
      </c>
      <c r="H4" s="16">
        <v>425.7</v>
      </c>
      <c r="I4" s="17">
        <f t="shared" ref="I4:I17" si="0">IF(H4="","",(IF($C$20&lt;25%,"n/a",IF(H4&lt;=($D$20+$A$20),H4,"Descartado"))))</f>
        <v>425.7</v>
      </c>
    </row>
    <row r="5" spans="1:9" x14ac:dyDescent="0.25">
      <c r="A5" s="39"/>
      <c r="B5" s="36"/>
      <c r="C5" s="37"/>
      <c r="D5" s="37"/>
      <c r="E5" s="38"/>
      <c r="F5" s="38"/>
      <c r="G5" s="5" t="s">
        <v>54</v>
      </c>
      <c r="H5" s="16">
        <v>471.67</v>
      </c>
      <c r="I5" s="17">
        <f t="shared" si="0"/>
        <v>471.67</v>
      </c>
    </row>
    <row r="6" spans="1:9" x14ac:dyDescent="0.25">
      <c r="A6" s="39"/>
      <c r="B6" s="36"/>
      <c r="C6" s="37"/>
      <c r="D6" s="37"/>
      <c r="E6" s="38"/>
      <c r="F6" s="38"/>
      <c r="G6" s="5" t="s">
        <v>55</v>
      </c>
      <c r="H6" s="16">
        <v>749.5</v>
      </c>
      <c r="I6" s="17">
        <f t="shared" si="0"/>
        <v>749.5</v>
      </c>
    </row>
    <row r="7" spans="1:9" x14ac:dyDescent="0.25">
      <c r="A7" s="39"/>
      <c r="B7" s="36"/>
      <c r="C7" s="37"/>
      <c r="D7" s="37"/>
      <c r="E7" s="38"/>
      <c r="F7" s="38"/>
      <c r="G7" s="5" t="s">
        <v>64</v>
      </c>
      <c r="H7" s="16">
        <v>4000</v>
      </c>
      <c r="I7" s="17" t="str">
        <f t="shared" si="0"/>
        <v>Descartado</v>
      </c>
    </row>
    <row r="8" spans="1:9" x14ac:dyDescent="0.25">
      <c r="A8" s="39"/>
      <c r="B8" s="36"/>
      <c r="C8" s="37"/>
      <c r="D8" s="37"/>
      <c r="E8" s="38"/>
      <c r="F8" s="38"/>
      <c r="G8" s="5" t="s">
        <v>65</v>
      </c>
      <c r="H8" s="16">
        <v>305</v>
      </c>
      <c r="I8" s="17">
        <f t="shared" si="0"/>
        <v>305</v>
      </c>
    </row>
    <row r="9" spans="1:9" x14ac:dyDescent="0.25">
      <c r="A9" s="39"/>
      <c r="B9" s="36"/>
      <c r="C9" s="37"/>
      <c r="D9" s="37"/>
      <c r="E9" s="38"/>
      <c r="F9" s="38"/>
      <c r="G9" s="5" t="s">
        <v>103</v>
      </c>
      <c r="H9" s="16">
        <v>441</v>
      </c>
      <c r="I9" s="17">
        <f t="shared" si="0"/>
        <v>441</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15</v>
      </c>
      <c r="B3" s="35" t="s">
        <v>36</v>
      </c>
      <c r="C3" s="37" t="s">
        <v>7</v>
      </c>
      <c r="D3" s="37">
        <v>1</v>
      </c>
      <c r="E3" s="38">
        <f>IF(C20&lt;=25%,D20,MIN(E20:F20))</f>
        <v>793.68</v>
      </c>
      <c r="F3" s="38">
        <f>MIN(H3:H17)</f>
        <v>747.75</v>
      </c>
      <c r="G3" s="5" t="s">
        <v>66</v>
      </c>
      <c r="H3" s="16">
        <v>839.6</v>
      </c>
      <c r="I3" s="17">
        <f>IF(H3="","",(IF($C$20&lt;25%,"n/a",IF(H3&lt;=($D$20+$A$20),H3,"Descartado"))))</f>
        <v>839.6</v>
      </c>
    </row>
    <row r="4" spans="1:9" x14ac:dyDescent="0.25">
      <c r="A4" s="39"/>
      <c r="B4" s="36"/>
      <c r="C4" s="37"/>
      <c r="D4" s="37"/>
      <c r="E4" s="38"/>
      <c r="F4" s="38"/>
      <c r="G4" s="5" t="s">
        <v>67</v>
      </c>
      <c r="H4" s="16">
        <v>747.75</v>
      </c>
      <c r="I4" s="17">
        <f t="shared" ref="I4:I17" si="0">IF(H4="","",(IF($C$20&lt;25%,"n/a",IF(H4&lt;=($D$20+$A$20),H4,"Descartado"))))</f>
        <v>747.75</v>
      </c>
    </row>
    <row r="5" spans="1:9" x14ac:dyDescent="0.25">
      <c r="A5" s="39"/>
      <c r="B5" s="36"/>
      <c r="C5" s="37"/>
      <c r="D5" s="37"/>
      <c r="E5" s="38"/>
      <c r="F5" s="38"/>
      <c r="G5" s="5" t="s">
        <v>103</v>
      </c>
      <c r="H5" s="16">
        <v>1201.19</v>
      </c>
      <c r="I5" s="17" t="str">
        <f t="shared" si="0"/>
        <v>Descartado</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16</v>
      </c>
      <c r="B3" s="35" t="s">
        <v>37</v>
      </c>
      <c r="C3" s="37" t="s">
        <v>7</v>
      </c>
      <c r="D3" s="37">
        <v>1</v>
      </c>
      <c r="E3" s="38">
        <f>IF(C20&lt;=25%,D20,MIN(E20:F20))</f>
        <v>2798</v>
      </c>
      <c r="F3" s="38">
        <f>MIN(H3:H17)</f>
        <v>1999</v>
      </c>
      <c r="G3" s="5" t="s">
        <v>68</v>
      </c>
      <c r="H3" s="16">
        <v>43500</v>
      </c>
      <c r="I3" s="17" t="str">
        <f>IF(H3="","",(IF($C$20&lt;25%,"n/a",IF(H3&lt;=($D$20+$A$20),H3,"Descartado"))))</f>
        <v>Descartado</v>
      </c>
    </row>
    <row r="4" spans="1:9" x14ac:dyDescent="0.25">
      <c r="A4" s="39"/>
      <c r="B4" s="36"/>
      <c r="C4" s="37"/>
      <c r="D4" s="37"/>
      <c r="E4" s="38"/>
      <c r="F4" s="38"/>
      <c r="G4" s="5" t="s">
        <v>69</v>
      </c>
      <c r="H4" s="16">
        <v>3750</v>
      </c>
      <c r="I4" s="17">
        <f t="shared" ref="I4:I17" si="0">IF(H4="","",(IF($C$20&lt;25%,"n/a",IF(H4&lt;=($D$20+$A$20),H4,"Descartado"))))</f>
        <v>3750</v>
      </c>
    </row>
    <row r="5" spans="1:9" x14ac:dyDescent="0.25">
      <c r="A5" s="39"/>
      <c r="B5" s="36"/>
      <c r="C5" s="37"/>
      <c r="D5" s="37"/>
      <c r="E5" s="38"/>
      <c r="F5" s="38"/>
      <c r="G5" s="5" t="s">
        <v>70</v>
      </c>
      <c r="H5" s="16">
        <v>2000</v>
      </c>
      <c r="I5" s="17">
        <f t="shared" si="0"/>
        <v>2000</v>
      </c>
    </row>
    <row r="6" spans="1:9" x14ac:dyDescent="0.25">
      <c r="A6" s="39"/>
      <c r="B6" s="36"/>
      <c r="C6" s="37"/>
      <c r="D6" s="37"/>
      <c r="E6" s="38"/>
      <c r="F6" s="38"/>
      <c r="G6" s="5" t="s">
        <v>71</v>
      </c>
      <c r="H6" s="16">
        <v>19250</v>
      </c>
      <c r="I6" s="17">
        <f t="shared" si="0"/>
        <v>19250</v>
      </c>
    </row>
    <row r="7" spans="1:9" x14ac:dyDescent="0.25">
      <c r="A7" s="39"/>
      <c r="B7" s="36"/>
      <c r="C7" s="37"/>
      <c r="D7" s="37"/>
      <c r="E7" s="38"/>
      <c r="F7" s="38"/>
      <c r="G7" s="5" t="s">
        <v>102</v>
      </c>
      <c r="H7" s="16">
        <v>2778.37</v>
      </c>
      <c r="I7" s="17">
        <f t="shared" si="0"/>
        <v>2778.37</v>
      </c>
    </row>
    <row r="8" spans="1:9" x14ac:dyDescent="0.25">
      <c r="A8" s="39"/>
      <c r="B8" s="36"/>
      <c r="C8" s="37"/>
      <c r="D8" s="37"/>
      <c r="E8" s="38"/>
      <c r="F8" s="38"/>
      <c r="G8" s="5" t="s">
        <v>107</v>
      </c>
      <c r="H8" s="16">
        <v>1999</v>
      </c>
      <c r="I8" s="17">
        <f t="shared" si="0"/>
        <v>1999</v>
      </c>
    </row>
    <row r="9" spans="1:9" x14ac:dyDescent="0.25">
      <c r="A9" s="39"/>
      <c r="B9" s="36"/>
      <c r="C9" s="37"/>
      <c r="D9" s="37"/>
      <c r="E9" s="38"/>
      <c r="F9" s="38"/>
      <c r="G9" s="5" t="s">
        <v>108</v>
      </c>
      <c r="H9" s="16">
        <v>2798</v>
      </c>
      <c r="I9" s="17">
        <f t="shared" si="0"/>
        <v>2798</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17</v>
      </c>
      <c r="B3" s="35" t="s">
        <v>38</v>
      </c>
      <c r="C3" s="37" t="s">
        <v>7</v>
      </c>
      <c r="D3" s="37">
        <v>1</v>
      </c>
      <c r="E3" s="38">
        <f>IF(C20&lt;=25%,D20,MIN(E20:F20))</f>
        <v>420.75</v>
      </c>
      <c r="F3" s="38">
        <f>MIN(H3:H17)</f>
        <v>259.99</v>
      </c>
      <c r="G3" s="5" t="s">
        <v>72</v>
      </c>
      <c r="H3" s="16">
        <v>277.01</v>
      </c>
      <c r="I3" s="17">
        <f>IF(H3="","",(IF($C$20&lt;25%,"n/a",IF(H3&lt;=($D$20+$A$20),H3,"Descartado"))))</f>
        <v>277.01</v>
      </c>
    </row>
    <row r="4" spans="1:9" x14ac:dyDescent="0.25">
      <c r="A4" s="39"/>
      <c r="B4" s="36"/>
      <c r="C4" s="37"/>
      <c r="D4" s="37"/>
      <c r="E4" s="38"/>
      <c r="F4" s="38"/>
      <c r="G4" s="5" t="s">
        <v>73</v>
      </c>
      <c r="H4" s="16">
        <v>319</v>
      </c>
      <c r="I4" s="17">
        <f t="shared" ref="I4:I17" si="0">IF(H4="","",(IF($C$20&lt;25%,"n/a",IF(H4&lt;=($D$20+$A$20),H4,"Descartado"))))</f>
        <v>319</v>
      </c>
    </row>
    <row r="5" spans="1:9" x14ac:dyDescent="0.25">
      <c r="A5" s="39"/>
      <c r="B5" s="36"/>
      <c r="C5" s="37"/>
      <c r="D5" s="37"/>
      <c r="E5" s="38"/>
      <c r="F5" s="38"/>
      <c r="G5" s="5" t="s">
        <v>74</v>
      </c>
      <c r="H5" s="16">
        <v>308.55</v>
      </c>
      <c r="I5" s="17">
        <f t="shared" si="0"/>
        <v>308.55</v>
      </c>
    </row>
    <row r="6" spans="1:9" x14ac:dyDescent="0.25">
      <c r="A6" s="39"/>
      <c r="B6" s="36"/>
      <c r="C6" s="37"/>
      <c r="D6" s="37"/>
      <c r="E6" s="38"/>
      <c r="F6" s="38"/>
      <c r="G6" s="5" t="s">
        <v>50</v>
      </c>
      <c r="H6" s="16">
        <v>637.03</v>
      </c>
      <c r="I6" s="17">
        <f t="shared" si="0"/>
        <v>637.03</v>
      </c>
    </row>
    <row r="7" spans="1:9" x14ac:dyDescent="0.25">
      <c r="A7" s="39"/>
      <c r="B7" s="36"/>
      <c r="C7" s="37"/>
      <c r="D7" s="37"/>
      <c r="E7" s="38"/>
      <c r="F7" s="38"/>
      <c r="G7" s="5" t="s">
        <v>75</v>
      </c>
      <c r="H7" s="16">
        <v>4678</v>
      </c>
      <c r="I7" s="17" t="str">
        <f t="shared" si="0"/>
        <v>Descartado</v>
      </c>
    </row>
    <row r="8" spans="1:9" x14ac:dyDescent="0.25">
      <c r="A8" s="39"/>
      <c r="B8" s="36"/>
      <c r="C8" s="37"/>
      <c r="D8" s="37"/>
      <c r="E8" s="38"/>
      <c r="F8" s="38"/>
      <c r="G8" s="5" t="s">
        <v>57</v>
      </c>
      <c r="H8" s="16">
        <v>573.75</v>
      </c>
      <c r="I8" s="17">
        <f t="shared" si="0"/>
        <v>573.75</v>
      </c>
    </row>
    <row r="9" spans="1:9" x14ac:dyDescent="0.25">
      <c r="A9" s="39"/>
      <c r="B9" s="36"/>
      <c r="C9" s="37"/>
      <c r="D9" s="37"/>
      <c r="E9" s="38"/>
      <c r="F9" s="38"/>
      <c r="G9" s="5" t="s">
        <v>104</v>
      </c>
      <c r="H9" s="16">
        <v>259.99</v>
      </c>
      <c r="I9" s="17">
        <f t="shared" si="0"/>
        <v>259.99</v>
      </c>
    </row>
    <row r="10" spans="1:9" x14ac:dyDescent="0.25">
      <c r="A10" s="39"/>
      <c r="B10" s="36"/>
      <c r="C10" s="37"/>
      <c r="D10" s="37"/>
      <c r="E10" s="38"/>
      <c r="F10" s="38"/>
      <c r="G10" s="5" t="s">
        <v>109</v>
      </c>
      <c r="H10" s="16">
        <v>569.91</v>
      </c>
      <c r="I10" s="17">
        <f t="shared" si="0"/>
        <v>569.91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18</v>
      </c>
      <c r="B3" s="35" t="s">
        <v>39</v>
      </c>
      <c r="C3" s="37" t="s">
        <v>7</v>
      </c>
      <c r="D3" s="37">
        <v>1</v>
      </c>
      <c r="E3" s="38">
        <f>IF(C20&lt;=25%,D20,MIN(E20:F20))</f>
        <v>93.27</v>
      </c>
      <c r="F3" s="38">
        <f>MIN(H3:H17)</f>
        <v>31.88</v>
      </c>
      <c r="G3" s="5" t="s">
        <v>76</v>
      </c>
      <c r="H3" s="16">
        <v>60</v>
      </c>
      <c r="I3" s="17">
        <f>IF(H3="","",(IF($C$20&lt;25%,"n/a",IF(H3&lt;=($D$20+$A$20),H3,"Descartado"))))</f>
        <v>60</v>
      </c>
    </row>
    <row r="4" spans="1:9" x14ac:dyDescent="0.25">
      <c r="A4" s="39"/>
      <c r="B4" s="36"/>
      <c r="C4" s="37"/>
      <c r="D4" s="37"/>
      <c r="E4" s="38"/>
      <c r="F4" s="38"/>
      <c r="G4" s="5" t="s">
        <v>77</v>
      </c>
      <c r="H4" s="16">
        <v>212.4</v>
      </c>
      <c r="I4" s="17">
        <f t="shared" ref="I4:I17" si="0">IF(H4="","",(IF($C$20&lt;25%,"n/a",IF(H4&lt;=($D$20+$A$20),H4,"Descartado"))))</f>
        <v>212.4</v>
      </c>
    </row>
    <row r="5" spans="1:9" x14ac:dyDescent="0.25">
      <c r="A5" s="39"/>
      <c r="B5" s="36"/>
      <c r="C5" s="37"/>
      <c r="D5" s="37"/>
      <c r="E5" s="38"/>
      <c r="F5" s="38"/>
      <c r="G5" s="5" t="s">
        <v>78</v>
      </c>
      <c r="H5" s="16">
        <v>34.99</v>
      </c>
      <c r="I5" s="17">
        <f t="shared" si="0"/>
        <v>34.99</v>
      </c>
    </row>
    <row r="6" spans="1:9" x14ac:dyDescent="0.25">
      <c r="A6" s="39"/>
      <c r="B6" s="36"/>
      <c r="C6" s="37"/>
      <c r="D6" s="37"/>
      <c r="E6" s="38"/>
      <c r="F6" s="38"/>
      <c r="G6" s="5" t="s">
        <v>79</v>
      </c>
      <c r="H6" s="16">
        <v>31.88</v>
      </c>
      <c r="I6" s="17">
        <f t="shared" si="0"/>
        <v>31.88</v>
      </c>
    </row>
    <row r="7" spans="1:9" x14ac:dyDescent="0.25">
      <c r="A7" s="39"/>
      <c r="B7" s="36"/>
      <c r="C7" s="37"/>
      <c r="D7" s="37"/>
      <c r="E7" s="38"/>
      <c r="F7" s="38"/>
      <c r="G7" s="5" t="s">
        <v>80</v>
      </c>
      <c r="H7" s="16">
        <v>157</v>
      </c>
      <c r="I7" s="17">
        <f t="shared" si="0"/>
        <v>157</v>
      </c>
    </row>
    <row r="8" spans="1:9" x14ac:dyDescent="0.25">
      <c r="A8" s="39"/>
      <c r="B8" s="36"/>
      <c r="C8" s="37"/>
      <c r="D8" s="37"/>
      <c r="E8" s="38"/>
      <c r="F8" s="38"/>
      <c r="G8" s="5" t="s">
        <v>81</v>
      </c>
      <c r="H8" s="16">
        <v>32.08</v>
      </c>
      <c r="I8" s="17">
        <f t="shared" si="0"/>
        <v>32.08</v>
      </c>
    </row>
    <row r="9" spans="1:9" x14ac:dyDescent="0.25">
      <c r="A9" s="39"/>
      <c r="B9" s="36"/>
      <c r="C9" s="37"/>
      <c r="D9" s="37"/>
      <c r="E9" s="38"/>
      <c r="F9" s="38"/>
      <c r="G9" s="5" t="s">
        <v>82</v>
      </c>
      <c r="H9" s="16">
        <v>625.9</v>
      </c>
      <c r="I9" s="17" t="str">
        <f t="shared" si="0"/>
        <v>Descartado</v>
      </c>
    </row>
    <row r="10" spans="1:9" x14ac:dyDescent="0.25">
      <c r="A10" s="39"/>
      <c r="B10" s="36"/>
      <c r="C10" s="37"/>
      <c r="D10" s="37"/>
      <c r="E10" s="38"/>
      <c r="F10" s="38"/>
      <c r="G10" s="5" t="s">
        <v>104</v>
      </c>
      <c r="H10" s="16">
        <v>115.87</v>
      </c>
      <c r="I10" s="17">
        <f t="shared" si="0"/>
        <v>115.87</v>
      </c>
    </row>
    <row r="11" spans="1:9" x14ac:dyDescent="0.25">
      <c r="A11" s="39"/>
      <c r="B11" s="36"/>
      <c r="C11" s="37"/>
      <c r="D11" s="37"/>
      <c r="E11" s="38"/>
      <c r="F11" s="38"/>
      <c r="G11" s="5" t="s">
        <v>109</v>
      </c>
      <c r="H11" s="16">
        <v>101.9</v>
      </c>
      <c r="I11" s="17">
        <f t="shared" si="0"/>
        <v>101.9</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19</v>
      </c>
      <c r="B3" s="35" t="s">
        <v>40</v>
      </c>
      <c r="C3" s="37" t="s">
        <v>7</v>
      </c>
      <c r="D3" s="37">
        <v>2</v>
      </c>
      <c r="E3" s="38">
        <f>IF(C20&lt;=25%,D20,MIN(E20:F20))</f>
        <v>741.85</v>
      </c>
      <c r="F3" s="38">
        <f>MIN(H3:H17)</f>
        <v>569.99</v>
      </c>
      <c r="G3" s="5" t="s">
        <v>104</v>
      </c>
      <c r="H3" s="16">
        <v>1096.79</v>
      </c>
      <c r="I3" s="17" t="str">
        <f>IF(H3="","",(IF($C$20&lt;25%,"n/a",IF(H3&lt;=($D$20+$A$20),H3,"Descartado"))))</f>
        <v>Descartado</v>
      </c>
    </row>
    <row r="4" spans="1:9" x14ac:dyDescent="0.25">
      <c r="A4" s="39"/>
      <c r="B4" s="36"/>
      <c r="C4" s="37"/>
      <c r="D4" s="37"/>
      <c r="E4" s="38"/>
      <c r="F4" s="38"/>
      <c r="G4" s="5" t="s">
        <v>103</v>
      </c>
      <c r="H4" s="16">
        <v>998.9</v>
      </c>
      <c r="I4" s="17">
        <f t="shared" ref="I4:I17" si="0">IF(H4="","",(IF($C$20&lt;25%,"n/a",IF(H4&lt;=($D$20+$A$20),H4,"Descartado"))))</f>
        <v>998.9</v>
      </c>
    </row>
    <row r="5" spans="1:9" x14ac:dyDescent="0.25">
      <c r="A5" s="39"/>
      <c r="B5" s="36"/>
      <c r="C5" s="37"/>
      <c r="D5" s="37"/>
      <c r="E5" s="38"/>
      <c r="F5" s="38"/>
      <c r="G5" s="5" t="s">
        <v>110</v>
      </c>
      <c r="H5" s="16">
        <v>569.99</v>
      </c>
      <c r="I5" s="17">
        <f t="shared" si="0"/>
        <v>569.99</v>
      </c>
    </row>
    <row r="6" spans="1:9" x14ac:dyDescent="0.25">
      <c r="A6" s="39"/>
      <c r="B6" s="36"/>
      <c r="C6" s="37"/>
      <c r="D6" s="37"/>
      <c r="E6" s="38"/>
      <c r="F6" s="38"/>
      <c r="G6" s="5" t="s">
        <v>111</v>
      </c>
      <c r="H6" s="16">
        <v>599</v>
      </c>
      <c r="I6" s="17">
        <f t="shared" si="0"/>
        <v>599</v>
      </c>
    </row>
    <row r="7" spans="1:9" x14ac:dyDescent="0.25">
      <c r="A7" s="39"/>
      <c r="B7" s="36"/>
      <c r="C7" s="37"/>
      <c r="D7" s="37"/>
      <c r="E7" s="38"/>
      <c r="F7" s="38"/>
      <c r="G7" s="5" t="s">
        <v>112</v>
      </c>
      <c r="H7" s="16">
        <v>799.49</v>
      </c>
      <c r="I7" s="17">
        <f t="shared" si="0"/>
        <v>799.49</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v>
      </c>
      <c r="B3" s="35" t="s">
        <v>139</v>
      </c>
      <c r="C3" s="37" t="s">
        <v>7</v>
      </c>
      <c r="D3" s="37">
        <f>105-Item8!D3</f>
        <v>83</v>
      </c>
      <c r="E3" s="38">
        <f>IF(C20&lt;=25%,D20,MIN(E20:F20))</f>
        <v>3511.58</v>
      </c>
      <c r="F3" s="38">
        <f>MIN(H3:H17)</f>
        <v>3335.87</v>
      </c>
      <c r="G3" s="5" t="s">
        <v>134</v>
      </c>
      <c r="H3" s="16">
        <v>3504.55</v>
      </c>
      <c r="I3" s="17" t="str">
        <f>IF(H3="","",(IF($C$20&lt;25%,"n/a",IF(H3&lt;=($D$20+$A$20),H3,"Descartado"))))</f>
        <v>n/a</v>
      </c>
    </row>
    <row r="4" spans="1:9" x14ac:dyDescent="0.25">
      <c r="A4" s="39"/>
      <c r="B4" s="36"/>
      <c r="C4" s="37"/>
      <c r="D4" s="37"/>
      <c r="E4" s="38"/>
      <c r="F4" s="38"/>
      <c r="G4" s="5" t="s">
        <v>135</v>
      </c>
      <c r="H4" s="16">
        <v>3776.9</v>
      </c>
      <c r="I4" s="17" t="str">
        <f t="shared" ref="I4:I17" si="0">IF(H4="","",(IF($C$20&lt;25%,"n/a",IF(H4&lt;=($D$20+$A$20),H4,"Descartado"))))</f>
        <v>n/a</v>
      </c>
    </row>
    <row r="5" spans="1:9" x14ac:dyDescent="0.25">
      <c r="A5" s="39"/>
      <c r="B5" s="36"/>
      <c r="C5" s="37"/>
      <c r="D5" s="37"/>
      <c r="E5" s="38"/>
      <c r="F5" s="38"/>
      <c r="G5" s="5" t="s">
        <v>136</v>
      </c>
      <c r="H5" s="16">
        <v>3335.87</v>
      </c>
      <c r="I5" s="17" t="str">
        <f t="shared" si="0"/>
        <v>n/a</v>
      </c>
    </row>
    <row r="6" spans="1:9" x14ac:dyDescent="0.25">
      <c r="A6" s="39"/>
      <c r="B6" s="36"/>
      <c r="C6" s="37"/>
      <c r="D6" s="37"/>
      <c r="E6" s="38"/>
      <c r="F6" s="38"/>
      <c r="G6" s="5" t="s">
        <v>137</v>
      </c>
      <c r="H6" s="16">
        <v>3429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189.85747619376673</v>
      </c>
      <c r="B20" s="8">
        <f>COUNT(H3:H17)</f>
        <v>4</v>
      </c>
      <c r="C20" s="9">
        <f>IF(B20&lt;2,"n/a",(A20/D20))</f>
        <v>5.4066111606105152E-2</v>
      </c>
      <c r="D20" s="10">
        <f>IFERROR(ROUND(AVERAGE(H3:H17),2),"")</f>
        <v>3511.58</v>
      </c>
      <c r="E20" s="15" t="str">
        <f>IFERROR(ROUND(IF(B20&lt;2,"n/a",(IF(C20&lt;=25%,"n/a",AVERAGE(I3:I17)))),2),"n/a")</f>
        <v>n/a</v>
      </c>
      <c r="F20" s="10">
        <f>IFERROR(ROUND(MEDIAN(H3:H17),2),"")</f>
        <v>3466.78</v>
      </c>
      <c r="G20" s="11" t="str">
        <f>IFERROR(INDEX(G3:G17,MATCH(H20,H3:H17,0)),"")</f>
        <v>PONTO FRIO</v>
      </c>
      <c r="H20" s="12">
        <f>F3</f>
        <v>3335.87</v>
      </c>
    </row>
    <row r="22" spans="1:9" x14ac:dyDescent="0.25">
      <c r="G22" s="13" t="s">
        <v>20</v>
      </c>
      <c r="H22" s="14">
        <f>IF(C20&lt;=25%,D20,MIN(E20:F20))</f>
        <v>3511.58</v>
      </c>
    </row>
    <row r="23" spans="1:9" x14ac:dyDescent="0.25">
      <c r="G23" s="13" t="s">
        <v>6</v>
      </c>
      <c r="H23" s="14">
        <f>ROUND(H22,2)*D3</f>
        <v>291461.14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20</v>
      </c>
      <c r="B3" s="35" t="s">
        <v>41</v>
      </c>
      <c r="C3" s="37" t="s">
        <v>7</v>
      </c>
      <c r="D3" s="37">
        <v>8</v>
      </c>
      <c r="E3" s="38">
        <f>IF(C20&lt;=25%,D20,MIN(E20:F20))</f>
        <v>1288.28</v>
      </c>
      <c r="F3" s="38">
        <f>MIN(H3:H17)</f>
        <v>990</v>
      </c>
      <c r="G3" s="5" t="s">
        <v>113</v>
      </c>
      <c r="H3" s="16">
        <v>990</v>
      </c>
      <c r="I3" s="17" t="str">
        <f>IF(H3="","",(IF($C$20&lt;25%,"n/a",IF(H3&lt;=($D$20+$A$20),H3,"Descartado"))))</f>
        <v>n/a</v>
      </c>
    </row>
    <row r="4" spans="1:9" x14ac:dyDescent="0.25">
      <c r="A4" s="39"/>
      <c r="B4" s="36"/>
      <c r="C4" s="37"/>
      <c r="D4" s="37"/>
      <c r="E4" s="38"/>
      <c r="F4" s="38"/>
      <c r="G4" s="5" t="s">
        <v>114</v>
      </c>
      <c r="H4" s="16">
        <v>1399</v>
      </c>
      <c r="I4" s="17" t="str">
        <f t="shared" ref="I4:I17" si="0">IF(H4="","",(IF($C$20&lt;25%,"n/a",IF(H4&lt;=($D$20+$A$20),H4,"Descartado"))))</f>
        <v>n/a</v>
      </c>
    </row>
    <row r="5" spans="1:9" x14ac:dyDescent="0.25">
      <c r="A5" s="39"/>
      <c r="B5" s="36"/>
      <c r="C5" s="37"/>
      <c r="D5" s="37"/>
      <c r="E5" s="38"/>
      <c r="F5" s="38"/>
      <c r="G5" s="5" t="s">
        <v>115</v>
      </c>
      <c r="H5" s="16">
        <v>1265.0999999999999</v>
      </c>
      <c r="I5" s="17" t="str">
        <f t="shared" si="0"/>
        <v>n/a</v>
      </c>
    </row>
    <row r="6" spans="1:9" x14ac:dyDescent="0.25">
      <c r="A6" s="39"/>
      <c r="B6" s="36"/>
      <c r="C6" s="37"/>
      <c r="D6" s="37"/>
      <c r="E6" s="38"/>
      <c r="F6" s="38"/>
      <c r="G6" s="5" t="s">
        <v>116</v>
      </c>
      <c r="H6" s="16">
        <v>1499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21</v>
      </c>
      <c r="B3" s="35" t="s">
        <v>42</v>
      </c>
      <c r="C3" s="37" t="s">
        <v>7</v>
      </c>
      <c r="D3" s="37">
        <v>2</v>
      </c>
      <c r="E3" s="38">
        <f>IF(C20&lt;=25%,D20,MIN(E20:F20))</f>
        <v>454.84</v>
      </c>
      <c r="F3" s="38">
        <f>MIN(H3:H17)</f>
        <v>136</v>
      </c>
      <c r="G3" s="5" t="s">
        <v>83</v>
      </c>
      <c r="H3" s="16">
        <v>136</v>
      </c>
      <c r="I3" s="17">
        <f>IF(H3="","",(IF($C$20&lt;25%,"n/a",IF(H3&lt;=($D$20+$A$20),H3,"Descartado"))))</f>
        <v>136</v>
      </c>
    </row>
    <row r="4" spans="1:9" x14ac:dyDescent="0.25">
      <c r="A4" s="39"/>
      <c r="B4" s="36"/>
      <c r="C4" s="37"/>
      <c r="D4" s="37"/>
      <c r="E4" s="38"/>
      <c r="F4" s="38"/>
      <c r="G4" s="5" t="s">
        <v>84</v>
      </c>
      <c r="H4" s="16">
        <v>200</v>
      </c>
      <c r="I4" s="17">
        <f t="shared" ref="I4:I17" si="0">IF(H4="","",(IF($C$20&lt;25%,"n/a",IF(H4&lt;=($D$20+$A$20),H4,"Descartado"))))</f>
        <v>200</v>
      </c>
    </row>
    <row r="5" spans="1:9" x14ac:dyDescent="0.25">
      <c r="A5" s="39"/>
      <c r="B5" s="36"/>
      <c r="C5" s="37"/>
      <c r="D5" s="37"/>
      <c r="E5" s="38"/>
      <c r="F5" s="38"/>
      <c r="G5" s="5" t="s">
        <v>85</v>
      </c>
      <c r="H5" s="16">
        <v>300.99</v>
      </c>
      <c r="I5" s="17">
        <f t="shared" si="0"/>
        <v>300.99</v>
      </c>
    </row>
    <row r="6" spans="1:9" x14ac:dyDescent="0.25">
      <c r="A6" s="39"/>
      <c r="B6" s="36"/>
      <c r="C6" s="37"/>
      <c r="D6" s="37"/>
      <c r="E6" s="38"/>
      <c r="F6" s="38"/>
      <c r="G6" s="5" t="s">
        <v>86</v>
      </c>
      <c r="H6" s="16">
        <v>455</v>
      </c>
      <c r="I6" s="17">
        <f t="shared" si="0"/>
        <v>455</v>
      </c>
    </row>
    <row r="7" spans="1:9" x14ac:dyDescent="0.25">
      <c r="A7" s="39"/>
      <c r="B7" s="36"/>
      <c r="C7" s="37"/>
      <c r="D7" s="37"/>
      <c r="E7" s="38"/>
      <c r="F7" s="38"/>
      <c r="G7" s="5" t="s">
        <v>51</v>
      </c>
      <c r="H7" s="16">
        <v>554</v>
      </c>
      <c r="I7" s="17">
        <f t="shared" si="0"/>
        <v>554</v>
      </c>
    </row>
    <row r="8" spans="1:9" x14ac:dyDescent="0.25">
      <c r="A8" s="39"/>
      <c r="B8" s="36"/>
      <c r="C8" s="37"/>
      <c r="D8" s="37"/>
      <c r="E8" s="38"/>
      <c r="F8" s="38"/>
      <c r="G8" s="5" t="s">
        <v>66</v>
      </c>
      <c r="H8" s="16">
        <v>650.94000000000005</v>
      </c>
      <c r="I8" s="17">
        <f t="shared" si="0"/>
        <v>650.94000000000005</v>
      </c>
    </row>
    <row r="9" spans="1:9" x14ac:dyDescent="0.25">
      <c r="A9" s="39"/>
      <c r="B9" s="36"/>
      <c r="C9" s="37"/>
      <c r="D9" s="37"/>
      <c r="E9" s="38"/>
      <c r="F9" s="38"/>
      <c r="G9" s="5" t="s">
        <v>87</v>
      </c>
      <c r="H9" s="16">
        <v>683.75</v>
      </c>
      <c r="I9" s="17">
        <f t="shared" si="0"/>
        <v>683.75</v>
      </c>
    </row>
    <row r="10" spans="1:9" x14ac:dyDescent="0.25">
      <c r="A10" s="39"/>
      <c r="B10" s="36"/>
      <c r="C10" s="37"/>
      <c r="D10" s="37"/>
      <c r="E10" s="38"/>
      <c r="F10" s="38"/>
      <c r="G10" s="5" t="s">
        <v>88</v>
      </c>
      <c r="H10" s="16">
        <v>687</v>
      </c>
      <c r="I10" s="17">
        <f t="shared" si="0"/>
        <v>687</v>
      </c>
    </row>
    <row r="11" spans="1:9" x14ac:dyDescent="0.25">
      <c r="A11" s="39"/>
      <c r="B11" s="36"/>
      <c r="C11" s="37"/>
      <c r="D11" s="37"/>
      <c r="E11" s="38"/>
      <c r="F11" s="38"/>
      <c r="G11" s="5" t="s">
        <v>117</v>
      </c>
      <c r="H11" s="16">
        <v>565.11</v>
      </c>
      <c r="I11" s="17">
        <f t="shared" si="0"/>
        <v>565.11</v>
      </c>
    </row>
    <row r="12" spans="1:9" x14ac:dyDescent="0.25">
      <c r="A12" s="39"/>
      <c r="B12" s="36"/>
      <c r="C12" s="37"/>
      <c r="D12" s="37"/>
      <c r="E12" s="38"/>
      <c r="F12" s="38"/>
      <c r="G12" s="5" t="s">
        <v>101</v>
      </c>
      <c r="H12" s="16">
        <v>750</v>
      </c>
      <c r="I12" s="17" t="str">
        <f t="shared" si="0"/>
        <v>Descartado</v>
      </c>
    </row>
    <row r="13" spans="1:9" x14ac:dyDescent="0.25">
      <c r="A13" s="39"/>
      <c r="B13" s="36"/>
      <c r="C13" s="37"/>
      <c r="D13" s="37"/>
      <c r="E13" s="38"/>
      <c r="F13" s="38"/>
      <c r="G13" s="5" t="s">
        <v>118</v>
      </c>
      <c r="H13" s="16">
        <v>197.99</v>
      </c>
      <c r="I13" s="17">
        <f t="shared" si="0"/>
        <v>197.99</v>
      </c>
    </row>
    <row r="14" spans="1:9" x14ac:dyDescent="0.25">
      <c r="A14" s="39"/>
      <c r="B14" s="36"/>
      <c r="C14" s="37"/>
      <c r="D14" s="37"/>
      <c r="E14" s="38"/>
      <c r="F14" s="38"/>
      <c r="G14" s="5" t="s">
        <v>119</v>
      </c>
      <c r="H14" s="16">
        <v>572.5</v>
      </c>
      <c r="I14" s="17">
        <f t="shared" si="0"/>
        <v>572.5</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22</v>
      </c>
      <c r="B3" s="35" t="s">
        <v>43</v>
      </c>
      <c r="C3" s="37" t="s">
        <v>7</v>
      </c>
      <c r="D3" s="37">
        <v>15</v>
      </c>
      <c r="E3" s="38">
        <f>IF(C20&lt;=25%,D20,MIN(E20:F20))</f>
        <v>1692.18</v>
      </c>
      <c r="F3" s="38">
        <f>MIN(H3:H17)</f>
        <v>900.9</v>
      </c>
      <c r="G3" s="5" t="s">
        <v>61</v>
      </c>
      <c r="H3" s="16">
        <v>900.9</v>
      </c>
      <c r="I3" s="17">
        <f>IF(H3="","",(IF($C$20&lt;25%,"n/a",IF(H3&lt;=($D$20+$A$20),H3,"Descartado"))))</f>
        <v>900.9</v>
      </c>
    </row>
    <row r="4" spans="1:9" x14ac:dyDescent="0.25">
      <c r="A4" s="39"/>
      <c r="B4" s="36"/>
      <c r="C4" s="37"/>
      <c r="D4" s="37"/>
      <c r="E4" s="38"/>
      <c r="F4" s="38"/>
      <c r="G4" s="5" t="s">
        <v>89</v>
      </c>
      <c r="H4" s="16">
        <v>1650</v>
      </c>
      <c r="I4" s="17">
        <f t="shared" ref="I4:I17" si="0">IF(H4="","",(IF($C$20&lt;25%,"n/a",IF(H4&lt;=($D$20+$A$20),H4,"Descartado"))))</f>
        <v>1650</v>
      </c>
    </row>
    <row r="5" spans="1:9" x14ac:dyDescent="0.25">
      <c r="A5" s="39"/>
      <c r="B5" s="36"/>
      <c r="C5" s="37"/>
      <c r="D5" s="37"/>
      <c r="E5" s="38"/>
      <c r="F5" s="38"/>
      <c r="G5" s="5" t="s">
        <v>70</v>
      </c>
      <c r="H5" s="16">
        <v>2399</v>
      </c>
      <c r="I5" s="17">
        <f t="shared" si="0"/>
        <v>2399</v>
      </c>
    </row>
    <row r="6" spans="1:9" x14ac:dyDescent="0.25">
      <c r="A6" s="39"/>
      <c r="B6" s="36"/>
      <c r="C6" s="37"/>
      <c r="D6" s="37"/>
      <c r="E6" s="38"/>
      <c r="F6" s="38"/>
      <c r="G6" s="5" t="s">
        <v>90</v>
      </c>
      <c r="H6" s="16">
        <v>3034</v>
      </c>
      <c r="I6" s="17" t="str">
        <f t="shared" si="0"/>
        <v>Descartado</v>
      </c>
    </row>
    <row r="7" spans="1:9" x14ac:dyDescent="0.25">
      <c r="A7" s="39"/>
      <c r="B7" s="36"/>
      <c r="C7" s="37"/>
      <c r="D7" s="37"/>
      <c r="E7" s="38"/>
      <c r="F7" s="38"/>
      <c r="G7" s="5" t="s">
        <v>120</v>
      </c>
      <c r="H7" s="16">
        <v>2019</v>
      </c>
      <c r="I7" s="17">
        <f t="shared" si="0"/>
        <v>2019</v>
      </c>
    </row>
    <row r="8" spans="1:9" x14ac:dyDescent="0.25">
      <c r="A8" s="39"/>
      <c r="B8" s="36"/>
      <c r="C8" s="37"/>
      <c r="D8" s="37"/>
      <c r="E8" s="38"/>
      <c r="F8" s="38"/>
      <c r="G8" s="5" t="s">
        <v>121</v>
      </c>
      <c r="H8" s="16">
        <v>1492</v>
      </c>
      <c r="I8" s="17">
        <f t="shared" si="0"/>
        <v>1492</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23</v>
      </c>
      <c r="B3" s="35" t="s">
        <v>44</v>
      </c>
      <c r="C3" s="37" t="s">
        <v>7</v>
      </c>
      <c r="D3" s="37">
        <v>1</v>
      </c>
      <c r="E3" s="38">
        <f>IF(C20&lt;=25%,D20,MIN(E20:F20))</f>
        <v>2269.12</v>
      </c>
      <c r="F3" s="38">
        <f>MIN(H3:H17)</f>
        <v>1299</v>
      </c>
      <c r="G3" s="5" t="s">
        <v>91</v>
      </c>
      <c r="H3" s="16">
        <v>1299</v>
      </c>
      <c r="I3" s="17">
        <f>IF(H3="","",(IF($C$20&lt;25%,"n/a",IF(H3&lt;=($D$20+$A$20),H3,"Descartado"))))</f>
        <v>1299</v>
      </c>
    </row>
    <row r="4" spans="1:9" x14ac:dyDescent="0.25">
      <c r="A4" s="39"/>
      <c r="B4" s="36"/>
      <c r="C4" s="37"/>
      <c r="D4" s="37"/>
      <c r="E4" s="38"/>
      <c r="F4" s="38"/>
      <c r="G4" s="5" t="s">
        <v>53</v>
      </c>
      <c r="H4" s="16">
        <v>1689</v>
      </c>
      <c r="I4" s="17">
        <f t="shared" ref="I4:I17" si="0">IF(H4="","",(IF($C$20&lt;25%,"n/a",IF(H4&lt;=($D$20+$A$20),H4,"Descartado"))))</f>
        <v>1689</v>
      </c>
    </row>
    <row r="5" spans="1:9" x14ac:dyDescent="0.25">
      <c r="A5" s="39"/>
      <c r="B5" s="36"/>
      <c r="C5" s="37"/>
      <c r="D5" s="37"/>
      <c r="E5" s="38"/>
      <c r="F5" s="38"/>
      <c r="G5" s="5" t="s">
        <v>63</v>
      </c>
      <c r="H5" s="16">
        <v>4779.97</v>
      </c>
      <c r="I5" s="17" t="str">
        <f t="shared" si="0"/>
        <v>Descartado</v>
      </c>
    </row>
    <row r="6" spans="1:9" x14ac:dyDescent="0.25">
      <c r="A6" s="39"/>
      <c r="B6" s="36"/>
      <c r="C6" s="37"/>
      <c r="D6" s="37"/>
      <c r="E6" s="38"/>
      <c r="F6" s="38"/>
      <c r="G6" s="5" t="s">
        <v>92</v>
      </c>
      <c r="H6" s="16">
        <v>4768</v>
      </c>
      <c r="I6" s="17" t="str">
        <f t="shared" si="0"/>
        <v>Descartado</v>
      </c>
    </row>
    <row r="7" spans="1:9" x14ac:dyDescent="0.25">
      <c r="A7" s="39"/>
      <c r="B7" s="36"/>
      <c r="C7" s="37"/>
      <c r="D7" s="37"/>
      <c r="E7" s="38"/>
      <c r="F7" s="38"/>
      <c r="G7" s="5" t="s">
        <v>122</v>
      </c>
      <c r="H7" s="16">
        <v>2249.1</v>
      </c>
      <c r="I7" s="17">
        <f t="shared" si="0"/>
        <v>2249.1</v>
      </c>
    </row>
    <row r="8" spans="1:9" x14ac:dyDescent="0.25">
      <c r="A8" s="39"/>
      <c r="B8" s="36"/>
      <c r="C8" s="37"/>
      <c r="D8" s="37"/>
      <c r="E8" s="38"/>
      <c r="F8" s="38"/>
      <c r="G8" s="5" t="s">
        <v>123</v>
      </c>
      <c r="H8" s="16">
        <v>2554.9899999999998</v>
      </c>
      <c r="I8" s="17">
        <f t="shared" si="0"/>
        <v>2554.9899999999998</v>
      </c>
    </row>
    <row r="9" spans="1:9" x14ac:dyDescent="0.25">
      <c r="A9" s="39"/>
      <c r="B9" s="36"/>
      <c r="C9" s="37"/>
      <c r="D9" s="37"/>
      <c r="E9" s="38"/>
      <c r="F9" s="38"/>
      <c r="G9" s="5" t="s">
        <v>124</v>
      </c>
      <c r="H9" s="16">
        <v>4045.24</v>
      </c>
      <c r="I9" s="17">
        <f t="shared" si="0"/>
        <v>4045.24</v>
      </c>
    </row>
    <row r="10" spans="1:9" x14ac:dyDescent="0.25">
      <c r="A10" s="39"/>
      <c r="B10" s="36"/>
      <c r="C10" s="37"/>
      <c r="D10" s="37"/>
      <c r="E10" s="38"/>
      <c r="F10" s="38"/>
      <c r="G10" s="5" t="s">
        <v>125</v>
      </c>
      <c r="H10" s="16">
        <v>1777.41</v>
      </c>
      <c r="I10" s="17">
        <f t="shared" si="0"/>
        <v>1777.41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24</v>
      </c>
      <c r="B3" s="35" t="s">
        <v>45</v>
      </c>
      <c r="C3" s="37" t="s">
        <v>7</v>
      </c>
      <c r="D3" s="37">
        <v>6</v>
      </c>
      <c r="E3" s="38">
        <f>IF(C20&lt;=25%,D20,MIN(E20:F20))</f>
        <v>150.47</v>
      </c>
      <c r="F3" s="38">
        <f>MIN(H3:H17)</f>
        <v>116.55</v>
      </c>
      <c r="G3" s="5" t="s">
        <v>104</v>
      </c>
      <c r="H3" s="16">
        <v>116.55</v>
      </c>
      <c r="I3" s="17" t="str">
        <f>IF(H3="","",(IF($C$20&lt;25%,"n/a",IF(H3&lt;=($D$20+$A$20),H3,"Descartado"))))</f>
        <v>n/a</v>
      </c>
    </row>
    <row r="4" spans="1:9" x14ac:dyDescent="0.25">
      <c r="A4" s="39"/>
      <c r="B4" s="36"/>
      <c r="C4" s="37"/>
      <c r="D4" s="37"/>
      <c r="E4" s="38"/>
      <c r="F4" s="38"/>
      <c r="G4" s="5" t="s">
        <v>109</v>
      </c>
      <c r="H4" s="16">
        <v>189.9</v>
      </c>
      <c r="I4" s="17" t="str">
        <f t="shared" ref="I4:I17" si="0">IF(H4="","",(IF($C$20&lt;25%,"n/a",IF(H4&lt;=($D$20+$A$20),H4,"Descartado"))))</f>
        <v>n/a</v>
      </c>
    </row>
    <row r="5" spans="1:9" x14ac:dyDescent="0.25">
      <c r="A5" s="39"/>
      <c r="B5" s="36"/>
      <c r="C5" s="37"/>
      <c r="D5" s="37"/>
      <c r="E5" s="38"/>
      <c r="F5" s="38"/>
      <c r="G5" s="5" t="s">
        <v>126</v>
      </c>
      <c r="H5" s="16">
        <v>144.94999999999999</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25</v>
      </c>
      <c r="B3" s="35" t="s">
        <v>46</v>
      </c>
      <c r="C3" s="37" t="s">
        <v>7</v>
      </c>
      <c r="D3" s="37">
        <v>2</v>
      </c>
      <c r="E3" s="38">
        <f>IF(C20&lt;=25%,D20,MIN(E20:F20))</f>
        <v>701.53</v>
      </c>
      <c r="F3" s="38">
        <f>MIN(H3:H17)</f>
        <v>549</v>
      </c>
      <c r="G3" s="5" t="s">
        <v>127</v>
      </c>
      <c r="H3" s="16">
        <v>549</v>
      </c>
      <c r="I3" s="17">
        <f>IF(H3="","",(IF($C$20&lt;25%,"n/a",IF(H3&lt;=($D$20+$A$20),H3,"Descartado"))))</f>
        <v>549</v>
      </c>
    </row>
    <row r="4" spans="1:9" x14ac:dyDescent="0.25">
      <c r="A4" s="39"/>
      <c r="B4" s="36"/>
      <c r="C4" s="37"/>
      <c r="D4" s="37"/>
      <c r="E4" s="38"/>
      <c r="F4" s="38"/>
      <c r="G4" s="5" t="s">
        <v>104</v>
      </c>
      <c r="H4" s="16">
        <v>679.9</v>
      </c>
      <c r="I4" s="17">
        <f t="shared" ref="I4:I17" si="0">IF(H4="","",(IF($C$20&lt;25%,"n/a",IF(H4&lt;=($D$20+$A$20),H4,"Descartado"))))</f>
        <v>679.9</v>
      </c>
    </row>
    <row r="5" spans="1:9" x14ac:dyDescent="0.25">
      <c r="A5" s="39"/>
      <c r="B5" s="36"/>
      <c r="C5" s="37"/>
      <c r="D5" s="37"/>
      <c r="E5" s="38"/>
      <c r="F5" s="38"/>
      <c r="G5" s="5" t="s">
        <v>103</v>
      </c>
      <c r="H5" s="16">
        <v>998</v>
      </c>
      <c r="I5" s="17" t="str">
        <f t="shared" si="0"/>
        <v>Descartado</v>
      </c>
    </row>
    <row r="6" spans="1:9" x14ac:dyDescent="0.25">
      <c r="A6" s="39"/>
      <c r="B6" s="36"/>
      <c r="C6" s="37"/>
      <c r="D6" s="37"/>
      <c r="E6" s="38"/>
      <c r="F6" s="38"/>
      <c r="G6" s="5" t="s">
        <v>128</v>
      </c>
      <c r="H6" s="16">
        <v>875.69</v>
      </c>
      <c r="I6" s="17">
        <f t="shared" si="0"/>
        <v>875.69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26</v>
      </c>
      <c r="B3" s="35" t="s">
        <v>47</v>
      </c>
      <c r="C3" s="37" t="s">
        <v>7</v>
      </c>
      <c r="D3" s="37">
        <v>4</v>
      </c>
      <c r="E3" s="38">
        <f>IF(C20&lt;=25%,D20,MIN(E20:F20))</f>
        <v>314.5</v>
      </c>
      <c r="F3" s="38">
        <f>MIN(H3:H17)</f>
        <v>149.97</v>
      </c>
      <c r="G3" s="5" t="s">
        <v>93</v>
      </c>
      <c r="H3" s="16">
        <v>1257</v>
      </c>
      <c r="I3" s="17" t="str">
        <f>IF(H3="","",(IF($C$20&lt;25%,"n/a",IF(H3&lt;=($D$20+$A$20),H3,"Descartado"))))</f>
        <v>Descartado</v>
      </c>
    </row>
    <row r="4" spans="1:9" x14ac:dyDescent="0.25">
      <c r="A4" s="39"/>
      <c r="B4" s="36"/>
      <c r="C4" s="37"/>
      <c r="D4" s="37"/>
      <c r="E4" s="38"/>
      <c r="F4" s="38"/>
      <c r="G4" s="5" t="s">
        <v>53</v>
      </c>
      <c r="H4" s="16">
        <v>160</v>
      </c>
      <c r="I4" s="17">
        <f t="shared" ref="I4:I17" si="0">IF(H4="","",(IF($C$20&lt;25%,"n/a",IF(H4&lt;=($D$20+$A$20),H4,"Descartado"))))</f>
        <v>160</v>
      </c>
    </row>
    <row r="5" spans="1:9" x14ac:dyDescent="0.25">
      <c r="A5" s="39"/>
      <c r="B5" s="36"/>
      <c r="C5" s="37"/>
      <c r="D5" s="37"/>
      <c r="E5" s="38"/>
      <c r="F5" s="38"/>
      <c r="G5" s="5" t="s">
        <v>94</v>
      </c>
      <c r="H5" s="16">
        <v>330</v>
      </c>
      <c r="I5" s="17">
        <f t="shared" si="0"/>
        <v>330</v>
      </c>
    </row>
    <row r="6" spans="1:9" x14ac:dyDescent="0.25">
      <c r="A6" s="39"/>
      <c r="B6" s="36"/>
      <c r="C6" s="37"/>
      <c r="D6" s="37"/>
      <c r="E6" s="38"/>
      <c r="F6" s="38"/>
      <c r="G6" s="5" t="s">
        <v>56</v>
      </c>
      <c r="H6" s="16">
        <v>259</v>
      </c>
      <c r="I6" s="17">
        <f t="shared" si="0"/>
        <v>259</v>
      </c>
    </row>
    <row r="7" spans="1:9" x14ac:dyDescent="0.25">
      <c r="A7" s="39"/>
      <c r="B7" s="36"/>
      <c r="C7" s="37"/>
      <c r="D7" s="37"/>
      <c r="E7" s="38"/>
      <c r="F7" s="38"/>
      <c r="G7" s="5" t="s">
        <v>58</v>
      </c>
      <c r="H7" s="16">
        <v>1000</v>
      </c>
      <c r="I7" s="17">
        <f t="shared" si="0"/>
        <v>1000</v>
      </c>
    </row>
    <row r="8" spans="1:9" x14ac:dyDescent="0.25">
      <c r="A8" s="39"/>
      <c r="B8" s="36"/>
      <c r="C8" s="37"/>
      <c r="D8" s="37"/>
      <c r="E8" s="38"/>
      <c r="F8" s="38"/>
      <c r="G8" s="5" t="s">
        <v>95</v>
      </c>
      <c r="H8" s="16">
        <v>177.5</v>
      </c>
      <c r="I8" s="17">
        <f t="shared" si="0"/>
        <v>177.5</v>
      </c>
    </row>
    <row r="9" spans="1:9" x14ac:dyDescent="0.25">
      <c r="A9" s="39"/>
      <c r="B9" s="36"/>
      <c r="C9" s="37"/>
      <c r="D9" s="37"/>
      <c r="E9" s="38"/>
      <c r="F9" s="38"/>
      <c r="G9" s="5" t="s">
        <v>54</v>
      </c>
      <c r="H9" s="16">
        <v>160</v>
      </c>
      <c r="I9" s="17">
        <f t="shared" si="0"/>
        <v>160</v>
      </c>
    </row>
    <row r="10" spans="1:9" x14ac:dyDescent="0.25">
      <c r="A10" s="39"/>
      <c r="B10" s="36"/>
      <c r="C10" s="37"/>
      <c r="D10" s="37"/>
      <c r="E10" s="38"/>
      <c r="F10" s="38"/>
      <c r="G10" s="5" t="s">
        <v>96</v>
      </c>
      <c r="H10" s="16">
        <v>1342</v>
      </c>
      <c r="I10" s="17" t="str">
        <f t="shared" si="0"/>
        <v>Descartado</v>
      </c>
    </row>
    <row r="11" spans="1:9" x14ac:dyDescent="0.25">
      <c r="A11" s="39"/>
      <c r="B11" s="36"/>
      <c r="C11" s="37"/>
      <c r="D11" s="37"/>
      <c r="E11" s="38"/>
      <c r="F11" s="38"/>
      <c r="G11" s="5" t="s">
        <v>97</v>
      </c>
      <c r="H11" s="16">
        <v>1650</v>
      </c>
      <c r="I11" s="17" t="str">
        <f t="shared" si="0"/>
        <v>Descartado</v>
      </c>
    </row>
    <row r="12" spans="1:9" x14ac:dyDescent="0.25">
      <c r="A12" s="39"/>
      <c r="B12" s="36"/>
      <c r="C12" s="37"/>
      <c r="D12" s="37"/>
      <c r="E12" s="38"/>
      <c r="F12" s="38"/>
      <c r="G12" s="5" t="s">
        <v>65</v>
      </c>
      <c r="H12" s="16">
        <v>149.97</v>
      </c>
      <c r="I12" s="17">
        <f t="shared" si="0"/>
        <v>149.97</v>
      </c>
    </row>
    <row r="13" spans="1:9" x14ac:dyDescent="0.25">
      <c r="A13" s="39"/>
      <c r="B13" s="36"/>
      <c r="C13" s="37"/>
      <c r="D13" s="37"/>
      <c r="E13" s="38"/>
      <c r="F13" s="38"/>
      <c r="G13" s="5" t="s">
        <v>120</v>
      </c>
      <c r="H13" s="16">
        <v>299</v>
      </c>
      <c r="I13" s="17">
        <f t="shared" si="0"/>
        <v>299</v>
      </c>
    </row>
    <row r="14" spans="1:9" x14ac:dyDescent="0.25">
      <c r="A14" s="39"/>
      <c r="B14" s="36"/>
      <c r="C14" s="37"/>
      <c r="D14" s="37"/>
      <c r="E14" s="38"/>
      <c r="F14" s="38"/>
      <c r="G14" s="5" t="s">
        <v>129</v>
      </c>
      <c r="H14" s="16">
        <v>341.01</v>
      </c>
      <c r="I14" s="17">
        <f t="shared" si="0"/>
        <v>341.01</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27</v>
      </c>
      <c r="B3" s="35" t="s">
        <v>48</v>
      </c>
      <c r="C3" s="37" t="s">
        <v>7</v>
      </c>
      <c r="D3" s="37">
        <v>2</v>
      </c>
      <c r="E3" s="38">
        <f>IF(C20&lt;=25%,D20,MIN(E20:F20))</f>
        <v>2336.66</v>
      </c>
      <c r="F3" s="38">
        <f>MIN(H3:H17)</f>
        <v>985</v>
      </c>
      <c r="G3" s="5" t="s">
        <v>94</v>
      </c>
      <c r="H3" s="16">
        <v>985</v>
      </c>
      <c r="I3" s="17">
        <f>IF(H3="","",(IF($C$20&lt;25%,"n/a",IF(H3&lt;=($D$20+$A$20),H3,"Descartado"))))</f>
        <v>985</v>
      </c>
    </row>
    <row r="4" spans="1:9" x14ac:dyDescent="0.25">
      <c r="A4" s="39"/>
      <c r="B4" s="36"/>
      <c r="C4" s="37"/>
      <c r="D4" s="37"/>
      <c r="E4" s="38"/>
      <c r="F4" s="38"/>
      <c r="G4" s="5" t="s">
        <v>98</v>
      </c>
      <c r="H4" s="16">
        <v>1750</v>
      </c>
      <c r="I4" s="17">
        <f t="shared" ref="I4:I17" si="0">IF(H4="","",(IF($C$20&lt;25%,"n/a",IF(H4&lt;=($D$20+$A$20),H4,"Descartado"))))</f>
        <v>1750</v>
      </c>
    </row>
    <row r="5" spans="1:9" x14ac:dyDescent="0.25">
      <c r="A5" s="39"/>
      <c r="B5" s="36"/>
      <c r="C5" s="37"/>
      <c r="D5" s="37"/>
      <c r="E5" s="38"/>
      <c r="F5" s="38"/>
      <c r="G5" s="5" t="s">
        <v>99</v>
      </c>
      <c r="H5" s="16">
        <v>3775.12</v>
      </c>
      <c r="I5" s="17" t="str">
        <f t="shared" si="0"/>
        <v>Descartado</v>
      </c>
    </row>
    <row r="6" spans="1:9" x14ac:dyDescent="0.25">
      <c r="A6" s="39"/>
      <c r="B6" s="36"/>
      <c r="C6" s="37"/>
      <c r="D6" s="37"/>
      <c r="E6" s="38"/>
      <c r="F6" s="38"/>
      <c r="G6" s="5" t="s">
        <v>53</v>
      </c>
      <c r="H6" s="16">
        <v>1449.99</v>
      </c>
      <c r="I6" s="17">
        <f t="shared" si="0"/>
        <v>1449.99</v>
      </c>
    </row>
    <row r="7" spans="1:9" x14ac:dyDescent="0.25">
      <c r="A7" s="39"/>
      <c r="B7" s="36"/>
      <c r="C7" s="37"/>
      <c r="D7" s="37"/>
      <c r="E7" s="38"/>
      <c r="F7" s="38"/>
      <c r="G7" s="5" t="s">
        <v>60</v>
      </c>
      <c r="H7" s="16">
        <v>1738.77</v>
      </c>
      <c r="I7" s="17">
        <f t="shared" si="0"/>
        <v>1738.77</v>
      </c>
    </row>
    <row r="8" spans="1:9" x14ac:dyDescent="0.25">
      <c r="A8" s="39"/>
      <c r="B8" s="36"/>
      <c r="C8" s="37"/>
      <c r="D8" s="37"/>
      <c r="E8" s="38"/>
      <c r="F8" s="38"/>
      <c r="G8" s="5" t="s">
        <v>100</v>
      </c>
      <c r="H8" s="16">
        <v>2582</v>
      </c>
      <c r="I8" s="17">
        <f t="shared" si="0"/>
        <v>2582</v>
      </c>
    </row>
    <row r="9" spans="1:9" x14ac:dyDescent="0.25">
      <c r="A9" s="39"/>
      <c r="B9" s="36"/>
      <c r="C9" s="37"/>
      <c r="D9" s="37"/>
      <c r="E9" s="38"/>
      <c r="F9" s="38"/>
      <c r="G9" s="5" t="s">
        <v>130</v>
      </c>
      <c r="H9" s="16">
        <v>3179.25</v>
      </c>
      <c r="I9" s="17">
        <f t="shared" si="0"/>
        <v>3179.25</v>
      </c>
    </row>
    <row r="10" spans="1:9" x14ac:dyDescent="0.25">
      <c r="A10" s="39"/>
      <c r="B10" s="36"/>
      <c r="C10" s="37"/>
      <c r="D10" s="37"/>
      <c r="E10" s="38"/>
      <c r="F10" s="38"/>
      <c r="G10" s="5" t="s">
        <v>103</v>
      </c>
      <c r="H10" s="16">
        <v>3484.8</v>
      </c>
      <c r="I10" s="17">
        <f t="shared" si="0"/>
        <v>3484.8</v>
      </c>
    </row>
    <row r="11" spans="1:9" x14ac:dyDescent="0.25">
      <c r="A11" s="39"/>
      <c r="B11" s="36"/>
      <c r="C11" s="37"/>
      <c r="D11" s="37"/>
      <c r="E11" s="38"/>
      <c r="F11" s="38"/>
      <c r="G11" s="5" t="s">
        <v>128</v>
      </c>
      <c r="H11" s="16">
        <v>3523.43</v>
      </c>
      <c r="I11" s="17">
        <f t="shared" si="0"/>
        <v>3523.43</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topLeftCell="A14" zoomScaleNormal="100" zoomScaleSheetLayoutView="100" workbookViewId="0">
      <selection activeCell="D3" sqref="D3"/>
    </sheetView>
  </sheetViews>
  <sheetFormatPr defaultRowHeight="15" x14ac:dyDescent="0.25"/>
  <cols>
    <col min="1" max="2" width="6.7109375" style="1" customWidth="1"/>
    <col min="3" max="3" width="36.7109375" style="4" customWidth="1"/>
    <col min="4" max="4" width="12.7109375" style="1" customWidth="1"/>
    <col min="5" max="6" width="9.28515625" style="1" customWidth="1"/>
    <col min="7" max="7" width="9.85546875" style="1" bestFit="1" customWidth="1"/>
    <col min="8" max="9" width="15.7109375" style="1" customWidth="1"/>
    <col min="10" max="16384" width="9.140625" style="1"/>
  </cols>
  <sheetData>
    <row r="1" spans="1:9" ht="15.75" x14ac:dyDescent="0.25">
      <c r="A1" s="40" t="s">
        <v>0</v>
      </c>
      <c r="B1" s="40"/>
      <c r="C1" s="40"/>
      <c r="D1" s="40"/>
      <c r="E1" s="40"/>
      <c r="F1" s="40"/>
      <c r="G1" s="40"/>
      <c r="H1" s="40"/>
      <c r="I1" s="40"/>
    </row>
    <row r="2" spans="1:9" ht="24" x14ac:dyDescent="0.25">
      <c r="A2" s="6" t="s">
        <v>29</v>
      </c>
      <c r="B2" s="6" t="s">
        <v>1</v>
      </c>
      <c r="C2" s="6" t="s">
        <v>2</v>
      </c>
      <c r="D2" s="6" t="s">
        <v>3</v>
      </c>
      <c r="E2" s="32" t="s">
        <v>156</v>
      </c>
      <c r="F2" s="32" t="s">
        <v>157</v>
      </c>
      <c r="G2" s="6" t="s">
        <v>155</v>
      </c>
      <c r="H2" s="6" t="s">
        <v>5</v>
      </c>
      <c r="I2" s="6" t="s">
        <v>30</v>
      </c>
    </row>
    <row r="3" spans="1:9" ht="225" x14ac:dyDescent="0.25">
      <c r="A3" s="25" t="s">
        <v>49</v>
      </c>
      <c r="B3" s="25">
        <f>Item1!A3</f>
        <v>1</v>
      </c>
      <c r="C3" s="27" t="str">
        <f>Item1!B3</f>
        <v>Condicionador de ar “split system” do tipo “Hi Wall”, com as seguintes especificações:
Capacidade de refrigeração entre 11.000 e 14.000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3" s="25" t="str">
        <f>Item1!C3</f>
        <v>unidade</v>
      </c>
      <c r="E3" s="42">
        <f>G3-F3</f>
        <v>44</v>
      </c>
      <c r="F3" s="42">
        <v>5</v>
      </c>
      <c r="G3" s="42">
        <f>Item1!D3</f>
        <v>49</v>
      </c>
      <c r="H3" s="26">
        <f>Item1!E3</f>
        <v>2449.85</v>
      </c>
      <c r="I3" s="26">
        <f>ROUND((G3*H3),2)</f>
        <v>120042.65</v>
      </c>
    </row>
    <row r="4" spans="1:9" ht="225" x14ac:dyDescent="0.25">
      <c r="A4" s="25" t="s">
        <v>49</v>
      </c>
      <c r="B4" s="25">
        <f>Item2!A3</f>
        <v>2</v>
      </c>
      <c r="C4" s="27" t="str">
        <f>Item2!B3</f>
        <v>Condicionador de ar “split system” do tipo “Hi Wall”, com as seguintes especificações:
Capacidade de refrigeração entre 16.000 e 20.000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4" s="25" t="str">
        <f>Item2!C3</f>
        <v>unidade</v>
      </c>
      <c r="E4" s="42">
        <f t="shared" ref="E4:E14" si="0">G4-F4</f>
        <v>78</v>
      </c>
      <c r="F4" s="42">
        <v>5</v>
      </c>
      <c r="G4" s="42">
        <f>Item2!D3</f>
        <v>83</v>
      </c>
      <c r="H4" s="26">
        <f>Item2!E3</f>
        <v>3511.58</v>
      </c>
      <c r="I4" s="26">
        <f t="shared" ref="I4:I14" si="1">ROUND((G4*H4),2)</f>
        <v>291461.14</v>
      </c>
    </row>
    <row r="5" spans="1:9" ht="225" x14ac:dyDescent="0.25">
      <c r="A5" s="25" t="s">
        <v>49</v>
      </c>
      <c r="B5" s="25">
        <f>Item3!A3</f>
        <v>3</v>
      </c>
      <c r="C5" s="27" t="str">
        <f>Item3!B3</f>
        <v>Condicionador de ar “split system” do tipo “Hi Wall”, com as seguintes especificações:
Capacidade de refrigeração entre 22.000 e 26.000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5" s="25" t="str">
        <f>Item3!C3</f>
        <v>unidade</v>
      </c>
      <c r="E5" s="42">
        <f t="shared" si="0"/>
        <v>35</v>
      </c>
      <c r="F5" s="42">
        <v>10</v>
      </c>
      <c r="G5" s="42">
        <f>Item3!D3</f>
        <v>45</v>
      </c>
      <c r="H5" s="26">
        <f>Item3!E3</f>
        <v>4212.37</v>
      </c>
      <c r="I5" s="26">
        <f t="shared" si="1"/>
        <v>189556.65</v>
      </c>
    </row>
    <row r="6" spans="1:9" ht="225" x14ac:dyDescent="0.25">
      <c r="A6" s="25" t="s">
        <v>49</v>
      </c>
      <c r="B6" s="25">
        <f>Item4!A3</f>
        <v>4</v>
      </c>
      <c r="C6" s="27" t="str">
        <f>Item4!B3</f>
        <v>Condicionador de ar “split system” do tipo “Piso-Teto”, com as seguintes especificações:
Capacidade de refrigeração entre 34.000 e 38.000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6" s="25" t="str">
        <f>Item4!C3</f>
        <v>unidade</v>
      </c>
      <c r="E6" s="42">
        <f t="shared" si="0"/>
        <v>50</v>
      </c>
      <c r="F6" s="42">
        <v>0</v>
      </c>
      <c r="G6" s="42">
        <f>Item4!D3</f>
        <v>50</v>
      </c>
      <c r="H6" s="26">
        <f>Item4!E3</f>
        <v>7951.76</v>
      </c>
      <c r="I6" s="26">
        <f t="shared" si="1"/>
        <v>397588</v>
      </c>
    </row>
    <row r="7" spans="1:9" ht="240" x14ac:dyDescent="0.25">
      <c r="A7" s="25" t="s">
        <v>49</v>
      </c>
      <c r="B7" s="25">
        <f>Item5!A3</f>
        <v>5</v>
      </c>
      <c r="C7" s="27" t="str">
        <f>Item5!B3</f>
        <v>Condicionador de ar “split system” do tipo
“Piso-Teto”, com as seguintes especificações:
Capacidade de refrigeração entre 46.000 e 50.000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7" s="25" t="str">
        <f>Item5!C3</f>
        <v>unidade</v>
      </c>
      <c r="E7" s="42">
        <f t="shared" si="0"/>
        <v>15</v>
      </c>
      <c r="F7" s="42">
        <v>0</v>
      </c>
      <c r="G7" s="42">
        <f>Item5!D3</f>
        <v>15</v>
      </c>
      <c r="H7" s="26">
        <f>Item5!E3</f>
        <v>10225.870000000001</v>
      </c>
      <c r="I7" s="26">
        <f t="shared" si="1"/>
        <v>153388.04999999999</v>
      </c>
    </row>
    <row r="8" spans="1:9" ht="240" x14ac:dyDescent="0.25">
      <c r="A8" s="25" t="s">
        <v>49</v>
      </c>
      <c r="B8" s="25">
        <f>Item6!A3</f>
        <v>6</v>
      </c>
      <c r="C8" s="27" t="str">
        <f>Item6!B3</f>
        <v>Condicionador de ar “split system” do tipo
“Piso-Teto”, com as seguintes especificações:
Capacidade de refrigeração entre 54.000 e 62.000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8" s="25" t="str">
        <f>Item6!C3</f>
        <v>unidade</v>
      </c>
      <c r="E8" s="42">
        <f t="shared" si="0"/>
        <v>14</v>
      </c>
      <c r="F8" s="42">
        <v>20</v>
      </c>
      <c r="G8" s="42">
        <f>Item6!D3</f>
        <v>34</v>
      </c>
      <c r="H8" s="26">
        <f>Item6!E3</f>
        <v>11764.92</v>
      </c>
      <c r="I8" s="26">
        <f t="shared" si="1"/>
        <v>400007.28</v>
      </c>
    </row>
    <row r="9" spans="1:9" ht="225" x14ac:dyDescent="0.25">
      <c r="A9" s="25" t="s">
        <v>49</v>
      </c>
      <c r="B9" s="25">
        <f>Item7!A3</f>
        <v>7</v>
      </c>
      <c r="C9" s="27" t="str">
        <f>Item7!B3</f>
        <v>Condicionador de ar “split system” do tipo “Hi Wall”, com as seguintes especificações:
Capacidade de refrigeração entre 11.000 e 14.000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9" s="25" t="str">
        <f>Item7!C3</f>
        <v>unidade</v>
      </c>
      <c r="E9" s="42">
        <f t="shared" si="0"/>
        <v>16</v>
      </c>
      <c r="F9" s="42">
        <v>0</v>
      </c>
      <c r="G9" s="42">
        <f>Item7!D3</f>
        <v>16</v>
      </c>
      <c r="H9" s="26">
        <f>Item7!E3</f>
        <v>2449.85</v>
      </c>
      <c r="I9" s="26">
        <f t="shared" si="1"/>
        <v>39197.599999999999</v>
      </c>
    </row>
    <row r="10" spans="1:9" ht="225" x14ac:dyDescent="0.25">
      <c r="A10" s="25" t="s">
        <v>49</v>
      </c>
      <c r="B10" s="25">
        <f>Item8!A3</f>
        <v>8</v>
      </c>
      <c r="C10" s="27" t="str">
        <f>Item8!B3</f>
        <v>Condicionador de ar “split system” do tipo “Hi Wall”, com as seguintes especificações:
Capacidade de refrigeração entre 16.000 e 20.000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10" s="25" t="str">
        <f>Item8!C3</f>
        <v>unidade</v>
      </c>
      <c r="E10" s="42">
        <f t="shared" si="0"/>
        <v>22</v>
      </c>
      <c r="F10" s="42">
        <v>0</v>
      </c>
      <c r="G10" s="42">
        <f>Item8!D3</f>
        <v>22</v>
      </c>
      <c r="H10" s="26">
        <f>Item8!E3</f>
        <v>3511.58</v>
      </c>
      <c r="I10" s="26">
        <f t="shared" si="1"/>
        <v>77254.759999999995</v>
      </c>
    </row>
    <row r="11" spans="1:9" ht="225" x14ac:dyDescent="0.25">
      <c r="A11" s="25" t="s">
        <v>49</v>
      </c>
      <c r="B11" s="25">
        <f>Item9!A3</f>
        <v>9</v>
      </c>
      <c r="C11" s="27" t="str">
        <f>Item9!B3</f>
        <v>Condicionador de ar “split system” do tipo “Hi Wall”, com as seguintes especificações:
Capacidade de refrigeração entre 22.000 e 26.000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Garantia de no mínimo 12 meses.</v>
      </c>
      <c r="D11" s="25" t="str">
        <f>Item9!C3</f>
        <v>unidade</v>
      </c>
      <c r="E11" s="42">
        <f t="shared" si="0"/>
        <v>15</v>
      </c>
      <c r="F11" s="42">
        <v>0</v>
      </c>
      <c r="G11" s="42">
        <f>Item9!D3</f>
        <v>15</v>
      </c>
      <c r="H11" s="26">
        <f>Item9!E3</f>
        <v>4212.37</v>
      </c>
      <c r="I11" s="26">
        <f t="shared" si="1"/>
        <v>63185.55</v>
      </c>
    </row>
    <row r="12" spans="1:9" ht="225" x14ac:dyDescent="0.25">
      <c r="A12" s="25" t="s">
        <v>49</v>
      </c>
      <c r="B12" s="25">
        <f>Item10!A3</f>
        <v>10</v>
      </c>
      <c r="C12" s="27" t="str">
        <f>Item10!B3</f>
        <v>Condicionador de ar “split system” do tipo “Piso-Teto”, com as seguintes especificações:
Capacidade de refrigeração entre 34.000 e 38.000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12" s="25" t="str">
        <f>Item10!C3</f>
        <v>unidade</v>
      </c>
      <c r="E12" s="42">
        <f t="shared" si="0"/>
        <v>10</v>
      </c>
      <c r="F12" s="42">
        <v>0</v>
      </c>
      <c r="G12" s="42">
        <f>Item10!D3</f>
        <v>10</v>
      </c>
      <c r="H12" s="26">
        <f>Item10!E3</f>
        <v>7951.76</v>
      </c>
      <c r="I12" s="26">
        <f t="shared" si="1"/>
        <v>79517.600000000006</v>
      </c>
    </row>
    <row r="13" spans="1:9" ht="240" x14ac:dyDescent="0.25">
      <c r="A13" s="25" t="s">
        <v>49</v>
      </c>
      <c r="B13" s="25">
        <f>Item11!A3</f>
        <v>11</v>
      </c>
      <c r="C13" s="27" t="str">
        <f>Item11!B3</f>
        <v>Condicionador de ar “split system” do tipo
“Piso-Teto”, com as seguintes especificações:
Capacidade de refrigeração entre 46.000 e 50.000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13" s="25" t="str">
        <f>Item11!C3</f>
        <v>unidade</v>
      </c>
      <c r="E13" s="42">
        <f t="shared" si="0"/>
        <v>5</v>
      </c>
      <c r="F13" s="42">
        <v>0</v>
      </c>
      <c r="G13" s="42">
        <f>Item11!D3</f>
        <v>5</v>
      </c>
      <c r="H13" s="26">
        <f>Item11!E3</f>
        <v>10225.870000000001</v>
      </c>
      <c r="I13" s="26">
        <f t="shared" si="1"/>
        <v>51129.35</v>
      </c>
    </row>
    <row r="14" spans="1:9" ht="240" x14ac:dyDescent="0.25">
      <c r="A14" s="25" t="s">
        <v>49</v>
      </c>
      <c r="B14" s="25">
        <f>Item12!A3</f>
        <v>12</v>
      </c>
      <c r="C14" s="27" t="str">
        <f>Item12!B3</f>
        <v>Condicionador de ar “split system” do tipo
“Piso-Teto”, com as seguintes especificações:
Capacidade de refrigeração entre 54.000 e 62.000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
Garantia de no mínimo 12 meses.</v>
      </c>
      <c r="D14" s="25" t="str">
        <f>Item12!C3</f>
        <v>unidade</v>
      </c>
      <c r="E14" s="42">
        <f t="shared" si="0"/>
        <v>6</v>
      </c>
      <c r="F14" s="42">
        <v>0</v>
      </c>
      <c r="G14" s="42">
        <f>Item12!D3</f>
        <v>6</v>
      </c>
      <c r="H14" s="26">
        <f>Item12!E3</f>
        <v>11764.92</v>
      </c>
      <c r="I14" s="26">
        <f t="shared" si="1"/>
        <v>70589.52</v>
      </c>
    </row>
    <row r="15" spans="1:9" x14ac:dyDescent="0.25">
      <c r="A15" s="28"/>
      <c r="B15" s="28"/>
      <c r="C15" s="29"/>
      <c r="D15" s="30"/>
      <c r="E15" s="30"/>
      <c r="F15" s="30"/>
      <c r="G15" s="30"/>
      <c r="H15" s="31"/>
      <c r="I15" s="31"/>
    </row>
    <row r="16" spans="1:9" ht="15.75" thickBot="1" x14ac:dyDescent="0.3"/>
    <row r="17" spans="4:8" ht="16.5" thickTop="1" thickBot="1" x14ac:dyDescent="0.3">
      <c r="D17" s="22"/>
      <c r="E17" s="23"/>
      <c r="F17" s="23"/>
      <c r="G17" s="23" t="s">
        <v>33</v>
      </c>
      <c r="H17" s="24">
        <f>SUM(I:I)</f>
        <v>1932918.1500000004</v>
      </c>
    </row>
    <row r="18" spans="4:8" ht="15.75" thickTop="1" x14ac:dyDescent="0.25">
      <c r="H18" s="3"/>
    </row>
    <row r="19" spans="4:8" x14ac:dyDescent="0.25">
      <c r="D19" s="21" t="s">
        <v>32</v>
      </c>
      <c r="E19" s="13"/>
      <c r="F19" s="13"/>
      <c r="G19" s="13">
        <f>MAX(A:A)</f>
        <v>0</v>
      </c>
    </row>
    <row r="21" spans="4:8" x14ac:dyDescent="0.25">
      <c r="D21" s="18" t="s">
        <v>31</v>
      </c>
      <c r="E21" s="41"/>
      <c r="F21" s="41"/>
      <c r="G21" s="19">
        <v>1</v>
      </c>
      <c r="H21" s="20">
        <f>SUMIF(A:A,G21,I:I)</f>
        <v>0</v>
      </c>
    </row>
    <row r="22" spans="4:8" x14ac:dyDescent="0.25">
      <c r="D22" s="18" t="s">
        <v>31</v>
      </c>
      <c r="E22" s="41"/>
      <c r="F22" s="41"/>
      <c r="G22" s="19">
        <v>2</v>
      </c>
      <c r="H22" s="20">
        <f>SUMIF(A:A,G22,I:I)</f>
        <v>0</v>
      </c>
    </row>
    <row r="23" spans="4:8" x14ac:dyDescent="0.25">
      <c r="D23" s="18" t="s">
        <v>31</v>
      </c>
      <c r="E23" s="41"/>
      <c r="F23" s="41"/>
      <c r="G23" s="19">
        <v>3</v>
      </c>
      <c r="H23" s="20">
        <f>SUMIF(A:A,G23,I:I)</f>
        <v>0</v>
      </c>
    </row>
    <row r="24" spans="4:8" x14ac:dyDescent="0.25">
      <c r="D24" s="18" t="s">
        <v>31</v>
      </c>
      <c r="E24" s="41"/>
      <c r="F24" s="41"/>
      <c r="G24" s="19">
        <v>4</v>
      </c>
      <c r="H24" s="20">
        <f>SUMIF(A:A,G24,I:I)</f>
        <v>0</v>
      </c>
    </row>
  </sheetData>
  <mergeCells count="1">
    <mergeCell ref="A1:I1"/>
  </mergeCells>
  <pageMargins left="0.51181102362204722" right="0.51181102362204722" top="1.2598425196850394" bottom="0.78740157480314965" header="0.31496062992125984" footer="0.31496062992125984"/>
  <pageSetup paperSize="9" scale="75"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3</v>
      </c>
      <c r="B3" s="35" t="s">
        <v>138</v>
      </c>
      <c r="C3" s="37" t="s">
        <v>7</v>
      </c>
      <c r="D3" s="37">
        <f>60-Item9!D3</f>
        <v>45</v>
      </c>
      <c r="E3" s="38">
        <f>IF(C20&lt;=25%,D20,MIN(E20:F20))</f>
        <v>4212.37</v>
      </c>
      <c r="F3" s="38">
        <f>MIN(H3:H17)</f>
        <v>3989.05</v>
      </c>
      <c r="G3" s="5" t="s">
        <v>135</v>
      </c>
      <c r="H3" s="16">
        <v>4099</v>
      </c>
      <c r="I3" s="17" t="str">
        <f>IF(H3="","",(IF($C$20&lt;25%,"n/a",IF(H3&lt;=($D$20+$A$20),H3,"Descartado"))))</f>
        <v>n/a</v>
      </c>
    </row>
    <row r="4" spans="1:9" x14ac:dyDescent="0.25">
      <c r="A4" s="39"/>
      <c r="B4" s="36"/>
      <c r="C4" s="37"/>
      <c r="D4" s="37"/>
      <c r="E4" s="38"/>
      <c r="F4" s="38"/>
      <c r="G4" s="5" t="s">
        <v>141</v>
      </c>
      <c r="H4" s="16">
        <v>4512.41</v>
      </c>
      <c r="I4" s="17" t="str">
        <f t="shared" ref="I4:I17" si="0">IF(H4="","",(IF($C$20&lt;25%,"n/a",IF(H4&lt;=($D$20+$A$20),H4,"Descartado"))))</f>
        <v>n/a</v>
      </c>
    </row>
    <row r="5" spans="1:9" x14ac:dyDescent="0.25">
      <c r="A5" s="39"/>
      <c r="B5" s="36"/>
      <c r="C5" s="37"/>
      <c r="D5" s="37"/>
      <c r="E5" s="38"/>
      <c r="F5" s="38"/>
      <c r="G5" s="5" t="s">
        <v>103</v>
      </c>
      <c r="H5" s="16">
        <v>4249</v>
      </c>
      <c r="I5" s="17" t="str">
        <f t="shared" si="0"/>
        <v>n/a</v>
      </c>
    </row>
    <row r="6" spans="1:9" x14ac:dyDescent="0.25">
      <c r="A6" s="39"/>
      <c r="B6" s="36"/>
      <c r="C6" s="37"/>
      <c r="D6" s="37"/>
      <c r="E6" s="38"/>
      <c r="F6" s="38"/>
      <c r="G6" s="5" t="s">
        <v>142</v>
      </c>
      <c r="H6" s="16">
        <v>3989.05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226.63505002536553</v>
      </c>
      <c r="B20" s="8">
        <f>COUNT(H3:H17)</f>
        <v>4</v>
      </c>
      <c r="C20" s="9">
        <f>IF(B20&lt;2,"n/a",(A20/D20))</f>
        <v>5.3802265713924831E-2</v>
      </c>
      <c r="D20" s="10">
        <f>IFERROR(ROUND(AVERAGE(H3:H17),2),"")</f>
        <v>4212.37</v>
      </c>
      <c r="E20" s="15" t="str">
        <f>IFERROR(ROUND(IF(B20&lt;2,"n/a",(IF(C20&lt;=25%,"n/a",AVERAGE(I3:I17)))),2),"n/a")</f>
        <v>n/a</v>
      </c>
      <c r="F20" s="10">
        <f>IFERROR(ROUND(MEDIAN(H3:H17),2),"")</f>
        <v>4174</v>
      </c>
      <c r="G20" s="11" t="str">
        <f>IFERROR(INDEX(G3:G17,MATCH(H20,H3:H17,0)),"")</f>
        <v>CENTRAL AR</v>
      </c>
      <c r="H20" s="12">
        <f>F3</f>
        <v>3989.05</v>
      </c>
    </row>
    <row r="22" spans="1:9" x14ac:dyDescent="0.25">
      <c r="G22" s="13" t="s">
        <v>20</v>
      </c>
      <c r="H22" s="14">
        <f>IF(C20&lt;=25%,D20,MIN(E20:F20))</f>
        <v>4212.37</v>
      </c>
    </row>
    <row r="23" spans="1:9" x14ac:dyDescent="0.25">
      <c r="G23" s="13" t="s">
        <v>6</v>
      </c>
      <c r="H23" s="14">
        <f>ROUND(H22,2)*D3</f>
        <v>189556.65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4</v>
      </c>
      <c r="B3" s="35" t="s">
        <v>143</v>
      </c>
      <c r="C3" s="37" t="s">
        <v>7</v>
      </c>
      <c r="D3" s="37">
        <f>60-Item10!D3</f>
        <v>50</v>
      </c>
      <c r="E3" s="38">
        <f>IF(C20&lt;=25%,D20,MIN(E20:F20))</f>
        <v>7951.76</v>
      </c>
      <c r="F3" s="38">
        <f>MIN(H3:H17)</f>
        <v>7124.05</v>
      </c>
      <c r="G3" s="5" t="s">
        <v>144</v>
      </c>
      <c r="H3" s="16">
        <v>8834.0499999999993</v>
      </c>
      <c r="I3" s="17" t="str">
        <f>IF(H3="","",(IF($C$20&lt;25%,"n/a",IF(H3&lt;=($D$20+$A$20),H3,"Descartado"))))</f>
        <v>n/a</v>
      </c>
    </row>
    <row r="4" spans="1:9" x14ac:dyDescent="0.25">
      <c r="A4" s="39"/>
      <c r="B4" s="36"/>
      <c r="C4" s="37"/>
      <c r="D4" s="37"/>
      <c r="E4" s="38"/>
      <c r="F4" s="38"/>
      <c r="G4" s="5" t="s">
        <v>145</v>
      </c>
      <c r="H4" s="16">
        <v>8234.59</v>
      </c>
      <c r="I4" s="17" t="str">
        <f t="shared" ref="I4:I17" si="0">IF(H4="","",(IF($C$20&lt;25%,"n/a",IF(H4&lt;=($D$20+$A$20),H4,"Descartado"))))</f>
        <v>n/a</v>
      </c>
    </row>
    <row r="5" spans="1:9" x14ac:dyDescent="0.25">
      <c r="A5" s="39"/>
      <c r="B5" s="36"/>
      <c r="C5" s="37"/>
      <c r="D5" s="37"/>
      <c r="E5" s="38"/>
      <c r="F5" s="38"/>
      <c r="G5" s="5" t="s">
        <v>132</v>
      </c>
      <c r="H5" s="16">
        <v>7614.36</v>
      </c>
      <c r="I5" s="17" t="str">
        <f t="shared" si="0"/>
        <v>n/a</v>
      </c>
    </row>
    <row r="6" spans="1:9" x14ac:dyDescent="0.25">
      <c r="A6" s="39"/>
      <c r="B6" s="36"/>
      <c r="C6" s="37"/>
      <c r="D6" s="37"/>
      <c r="E6" s="38"/>
      <c r="F6" s="38"/>
      <c r="G6" s="5" t="s">
        <v>146</v>
      </c>
      <c r="H6" s="16">
        <v>7124.05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743.27452467106639</v>
      </c>
      <c r="B20" s="8">
        <f>COUNT(H3:H17)</f>
        <v>4</v>
      </c>
      <c r="C20" s="9">
        <f>IF(B20&lt;2,"n/a",(A20/D20))</f>
        <v>9.3472957517715116E-2</v>
      </c>
      <c r="D20" s="10">
        <f>IFERROR(ROUND(AVERAGE(H3:H17),2),"")</f>
        <v>7951.76</v>
      </c>
      <c r="E20" s="15" t="str">
        <f>IFERROR(ROUND(IF(B20&lt;2,"n/a",(IF(C20&lt;=25%,"n/a",AVERAGE(I3:I17)))),2),"n/a")</f>
        <v>n/a</v>
      </c>
      <c r="F20" s="10">
        <f>IFERROR(ROUND(MEDIAN(H3:H17),2),"")</f>
        <v>7924.48</v>
      </c>
      <c r="G20" s="11" t="str">
        <f>IFERROR(INDEX(G3:G17,MATCH(H20,H3:H17,0)),"")</f>
        <v>LEVEROS</v>
      </c>
      <c r="H20" s="12">
        <f>F3</f>
        <v>7124.05</v>
      </c>
    </row>
    <row r="22" spans="1:9" x14ac:dyDescent="0.25">
      <c r="G22" s="13" t="s">
        <v>20</v>
      </c>
      <c r="H22" s="14">
        <f>IF(C20&lt;=25%,D20,MIN(E20:F20))</f>
        <v>7951.76</v>
      </c>
    </row>
    <row r="23" spans="1:9" x14ac:dyDescent="0.25">
      <c r="G23" s="13" t="s">
        <v>6</v>
      </c>
      <c r="H23" s="14">
        <f>ROUND(H22,2)*D3</f>
        <v>397588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5</v>
      </c>
      <c r="B3" s="35" t="s">
        <v>147</v>
      </c>
      <c r="C3" s="37" t="s">
        <v>7</v>
      </c>
      <c r="D3" s="37">
        <f>20-Item11!D3</f>
        <v>15</v>
      </c>
      <c r="E3" s="38">
        <f>IF(C20&lt;=25%,D20,MIN(E20:F20))</f>
        <v>10225.870000000001</v>
      </c>
      <c r="F3" s="38">
        <f>MIN(H3:H17)</f>
        <v>8960.5499999999993</v>
      </c>
      <c r="G3" s="5" t="s">
        <v>148</v>
      </c>
      <c r="H3" s="16">
        <v>11889.9</v>
      </c>
      <c r="I3" s="17" t="str">
        <f>IF(H3="","",(IF($C$20&lt;25%,"n/a",IF(H3&lt;=($D$20+$A$20),H3,"Descartado"))))</f>
        <v>n/a</v>
      </c>
    </row>
    <row r="4" spans="1:9" x14ac:dyDescent="0.25">
      <c r="A4" s="39"/>
      <c r="B4" s="36"/>
      <c r="C4" s="37"/>
      <c r="D4" s="37"/>
      <c r="E4" s="38"/>
      <c r="F4" s="38"/>
      <c r="G4" s="5" t="s">
        <v>132</v>
      </c>
      <c r="H4" s="16">
        <v>10008.379999999999</v>
      </c>
      <c r="I4" s="17" t="str">
        <f t="shared" ref="I4:I17" si="0">IF(H4="","",(IF($C$20&lt;25%,"n/a",IF(H4&lt;=($D$20+$A$20),H4,"Descartado"))))</f>
        <v>n/a</v>
      </c>
    </row>
    <row r="5" spans="1:9" x14ac:dyDescent="0.25">
      <c r="A5" s="39"/>
      <c r="B5" s="36"/>
      <c r="C5" s="37"/>
      <c r="D5" s="37"/>
      <c r="E5" s="38"/>
      <c r="F5" s="38"/>
      <c r="G5" s="5" t="s">
        <v>149</v>
      </c>
      <c r="H5" s="16">
        <v>8960.5499999999993</v>
      </c>
      <c r="I5" s="17" t="str">
        <f t="shared" si="0"/>
        <v>n/a</v>
      </c>
    </row>
    <row r="6" spans="1:9" x14ac:dyDescent="0.25">
      <c r="A6" s="39"/>
      <c r="B6" s="36"/>
      <c r="C6" s="37"/>
      <c r="D6" s="37"/>
      <c r="E6" s="38"/>
      <c r="F6" s="38"/>
      <c r="G6" s="5" t="s">
        <v>150</v>
      </c>
      <c r="H6" s="16">
        <v>10044.65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1217.9454191109435</v>
      </c>
      <c r="B20" s="8">
        <f>COUNT(H3:H17)</f>
        <v>4</v>
      </c>
      <c r="C20" s="9">
        <f>IF(B20&lt;2,"n/a",(A20/D20))</f>
        <v>0.11910433235616563</v>
      </c>
      <c r="D20" s="10">
        <f>IFERROR(ROUND(AVERAGE(H3:H17),2),"")</f>
        <v>10225.870000000001</v>
      </c>
      <c r="E20" s="15" t="str">
        <f>IFERROR(ROUND(IF(B20&lt;2,"n/a",(IF(C20&lt;=25%,"n/a",AVERAGE(I3:I17)))),2),"n/a")</f>
        <v>n/a</v>
      </c>
      <c r="F20" s="10">
        <f>IFERROR(ROUND(MEDIAN(H3:H17),2),"")</f>
        <v>10026.52</v>
      </c>
      <c r="G20" s="11" t="str">
        <f>IFERROR(INDEX(G3:G17,MATCH(H20,H3:H17,0)),"")</f>
        <v>AR CERTO</v>
      </c>
      <c r="H20" s="12">
        <f>F3</f>
        <v>8960.5499999999993</v>
      </c>
    </row>
    <row r="22" spans="1:9" x14ac:dyDescent="0.25">
      <c r="G22" s="13" t="s">
        <v>20</v>
      </c>
      <c r="H22" s="14">
        <f>IF(C20&lt;=25%,D20,MIN(E20:F20))</f>
        <v>10225.870000000001</v>
      </c>
    </row>
    <row r="23" spans="1:9" x14ac:dyDescent="0.25">
      <c r="G23" s="13" t="s">
        <v>6</v>
      </c>
      <c r="H23" s="14">
        <f>ROUND(H22,2)*D3</f>
        <v>153388.05000000002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6</v>
      </c>
      <c r="B3" s="35" t="s">
        <v>151</v>
      </c>
      <c r="C3" s="37" t="s">
        <v>7</v>
      </c>
      <c r="D3" s="37">
        <f>40-Item12!D3</f>
        <v>34</v>
      </c>
      <c r="E3" s="38">
        <f>IF(C20&lt;=25%,D20,MIN(E20:F20))</f>
        <v>11764.92</v>
      </c>
      <c r="F3" s="38">
        <f>MIN(H3:H17)</f>
        <v>10998.24</v>
      </c>
      <c r="G3" s="5" t="s">
        <v>152</v>
      </c>
      <c r="H3" s="16">
        <v>10998.24</v>
      </c>
      <c r="I3" s="17" t="str">
        <f>IF(H3="","",(IF($C$20&lt;25%,"n/a",IF(H3&lt;=($D$20+$A$20),H3,"Descartado"))))</f>
        <v>n/a</v>
      </c>
    </row>
    <row r="4" spans="1:9" x14ac:dyDescent="0.25">
      <c r="A4" s="39"/>
      <c r="B4" s="36"/>
      <c r="C4" s="37"/>
      <c r="D4" s="37"/>
      <c r="E4" s="38"/>
      <c r="F4" s="38"/>
      <c r="G4" s="5" t="s">
        <v>145</v>
      </c>
      <c r="H4" s="16">
        <v>11249.02</v>
      </c>
      <c r="I4" s="17" t="str">
        <f t="shared" ref="I4:I17" si="0">IF(H4="","",(IF($C$20&lt;25%,"n/a",IF(H4&lt;=($D$20+$A$20),H4,"Descartado"))))</f>
        <v>n/a</v>
      </c>
    </row>
    <row r="5" spans="1:9" x14ac:dyDescent="0.25">
      <c r="A5" s="39"/>
      <c r="B5" s="36"/>
      <c r="C5" s="37"/>
      <c r="D5" s="37"/>
      <c r="E5" s="38"/>
      <c r="F5" s="38"/>
      <c r="G5" s="5" t="s">
        <v>153</v>
      </c>
      <c r="H5" s="16">
        <v>12978.22</v>
      </c>
      <c r="I5" s="17" t="str">
        <f t="shared" si="0"/>
        <v>n/a</v>
      </c>
    </row>
    <row r="6" spans="1:9" x14ac:dyDescent="0.25">
      <c r="A6" s="39"/>
      <c r="B6" s="36"/>
      <c r="C6" s="37"/>
      <c r="D6" s="37"/>
      <c r="E6" s="38"/>
      <c r="F6" s="38"/>
      <c r="G6" s="5" t="s">
        <v>154</v>
      </c>
      <c r="H6" s="16">
        <v>11834.2</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881.44722678104756</v>
      </c>
      <c r="B20" s="8">
        <f>COUNT(H3:H17)</f>
        <v>4</v>
      </c>
      <c r="C20" s="9">
        <f>IF(B20&lt;2,"n/a",(A20/D20))</f>
        <v>7.4921650702346257E-2</v>
      </c>
      <c r="D20" s="10">
        <f>IFERROR(ROUND(AVERAGE(H3:H17),2),"")</f>
        <v>11764.92</v>
      </c>
      <c r="E20" s="15" t="str">
        <f>IFERROR(ROUND(IF(B20&lt;2,"n/a",(IF(C20&lt;=25%,"n/a",AVERAGE(I3:I17)))),2),"n/a")</f>
        <v>n/a</v>
      </c>
      <c r="F20" s="10">
        <f>IFERROR(ROUND(MEDIAN(H3:H17),2),"")</f>
        <v>11541.61</v>
      </c>
      <c r="G20" s="11" t="str">
        <f>IFERROR(INDEX(G3:G17,MATCH(H20,H3:H17,0)),"")</f>
        <v>ZOOM</v>
      </c>
      <c r="H20" s="12">
        <f>F3</f>
        <v>10998.24</v>
      </c>
    </row>
    <row r="22" spans="1:9" x14ac:dyDescent="0.25">
      <c r="G22" s="13" t="s">
        <v>20</v>
      </c>
      <c r="H22" s="14">
        <f>IF(C20&lt;=25%,D20,MIN(E20:F20))</f>
        <v>11764.92</v>
      </c>
    </row>
    <row r="23" spans="1:9" x14ac:dyDescent="0.25">
      <c r="G23" s="13" t="s">
        <v>6</v>
      </c>
      <c r="H23" s="14">
        <f>ROUND(H22,2)*D3</f>
        <v>400007.28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7</v>
      </c>
      <c r="B3" s="35" t="s">
        <v>140</v>
      </c>
      <c r="C3" s="37" t="s">
        <v>7</v>
      </c>
      <c r="D3" s="37">
        <v>16</v>
      </c>
      <c r="E3" s="38">
        <f>IF(C20&lt;=25%,D20,MIN(E20:F20))</f>
        <v>2449.85</v>
      </c>
      <c r="F3" s="38">
        <f>MIN(H3:H17)</f>
        <v>2305.29</v>
      </c>
      <c r="G3" s="5" t="s">
        <v>131</v>
      </c>
      <c r="H3" s="16">
        <v>2447.91</v>
      </c>
      <c r="I3" s="17" t="str">
        <f>IF(H3="","",(IF($C$20&lt;25%,"n/a",IF(H3&lt;=($D$20+$A$20),H3,"Descartado"))))</f>
        <v>n/a</v>
      </c>
    </row>
    <row r="4" spans="1:9" x14ac:dyDescent="0.25">
      <c r="A4" s="39"/>
      <c r="B4" s="36"/>
      <c r="C4" s="37"/>
      <c r="D4" s="37"/>
      <c r="E4" s="38"/>
      <c r="F4" s="38"/>
      <c r="G4" s="5" t="s">
        <v>132</v>
      </c>
      <c r="H4" s="16">
        <v>2305.29</v>
      </c>
      <c r="I4" s="17" t="str">
        <f t="shared" ref="I4:I17" si="0">IF(H4="","",(IF($C$20&lt;25%,"n/a",IF(H4&lt;=($D$20+$A$20),H4,"Descartado"))))</f>
        <v>n/a</v>
      </c>
    </row>
    <row r="5" spans="1:9" x14ac:dyDescent="0.25">
      <c r="A5" s="39"/>
      <c r="B5" s="36"/>
      <c r="C5" s="37"/>
      <c r="D5" s="37"/>
      <c r="E5" s="38"/>
      <c r="F5" s="38"/>
      <c r="G5" s="5" t="s">
        <v>133</v>
      </c>
      <c r="H5" s="16">
        <v>2483.08</v>
      </c>
      <c r="I5" s="17" t="str">
        <f t="shared" si="0"/>
        <v>n/a</v>
      </c>
    </row>
    <row r="6" spans="1:9" x14ac:dyDescent="0.25">
      <c r="A6" s="39"/>
      <c r="B6" s="36"/>
      <c r="C6" s="37"/>
      <c r="D6" s="37"/>
      <c r="E6" s="38"/>
      <c r="F6" s="38"/>
      <c r="G6" s="5" t="s">
        <v>134</v>
      </c>
      <c r="H6" s="16">
        <v>2563.1</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107.75149264240687</v>
      </c>
      <c r="B20" s="8">
        <f>COUNT(H3:H17)</f>
        <v>4</v>
      </c>
      <c r="C20" s="9">
        <f>IF(B20&lt;2,"n/a",(A20/D20))</f>
        <v>4.3982893908772733E-2</v>
      </c>
      <c r="D20" s="10">
        <f>IFERROR(ROUND(AVERAGE(H3:H17),2),"")</f>
        <v>2449.85</v>
      </c>
      <c r="E20" s="15" t="str">
        <f>IFERROR(ROUND(IF(B20&lt;2,"n/a",(IF(C20&lt;=25%,"n/a",AVERAGE(I3:I17)))),2),"n/a")</f>
        <v>n/a</v>
      </c>
      <c r="F20" s="10">
        <f>IFERROR(ROUND(MEDIAN(H3:H17),2),"")</f>
        <v>2465.5</v>
      </c>
      <c r="G20" s="11" t="str">
        <f>IFERROR(INDEX(G3:G17,MATCH(H20,H3:H17,0)),"")</f>
        <v>POLO AR</v>
      </c>
      <c r="H20" s="12">
        <f>F3</f>
        <v>2305.29</v>
      </c>
    </row>
    <row r="22" spans="1:9" x14ac:dyDescent="0.25">
      <c r="G22" s="13" t="s">
        <v>20</v>
      </c>
      <c r="H22" s="14">
        <f>IF(C20&lt;=25%,D20,MIN(E20:F20))</f>
        <v>2449.85</v>
      </c>
    </row>
    <row r="23" spans="1:9" x14ac:dyDescent="0.25">
      <c r="G23" s="13" t="s">
        <v>6</v>
      </c>
      <c r="H23" s="14">
        <f>ROUND(H22,2)*D3</f>
        <v>39197.599999999999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8</v>
      </c>
      <c r="B3" s="35" t="s">
        <v>139</v>
      </c>
      <c r="C3" s="37" t="s">
        <v>7</v>
      </c>
      <c r="D3" s="37">
        <v>22</v>
      </c>
      <c r="E3" s="38">
        <f>IF(C20&lt;=25%,D20,MIN(E20:F20))</f>
        <v>3511.58</v>
      </c>
      <c r="F3" s="38">
        <f>MIN(H3:H17)</f>
        <v>3335.87</v>
      </c>
      <c r="G3" s="5" t="s">
        <v>134</v>
      </c>
      <c r="H3" s="16">
        <v>3504.55</v>
      </c>
      <c r="I3" s="17" t="str">
        <f>IF(H3="","",(IF($C$20&lt;25%,"n/a",IF(H3&lt;=($D$20+$A$20),H3,"Descartado"))))</f>
        <v>n/a</v>
      </c>
    </row>
    <row r="4" spans="1:9" x14ac:dyDescent="0.25">
      <c r="A4" s="39"/>
      <c r="B4" s="36"/>
      <c r="C4" s="37"/>
      <c r="D4" s="37"/>
      <c r="E4" s="38"/>
      <c r="F4" s="38"/>
      <c r="G4" s="5" t="s">
        <v>135</v>
      </c>
      <c r="H4" s="16">
        <v>3776.9</v>
      </c>
      <c r="I4" s="17" t="str">
        <f t="shared" ref="I4:I17" si="0">IF(H4="","",(IF($C$20&lt;25%,"n/a",IF(H4&lt;=($D$20+$A$20),H4,"Descartado"))))</f>
        <v>n/a</v>
      </c>
    </row>
    <row r="5" spans="1:9" x14ac:dyDescent="0.25">
      <c r="A5" s="39"/>
      <c r="B5" s="36"/>
      <c r="C5" s="37"/>
      <c r="D5" s="37"/>
      <c r="E5" s="38"/>
      <c r="F5" s="38"/>
      <c r="G5" s="5" t="s">
        <v>136</v>
      </c>
      <c r="H5" s="16">
        <v>3335.87</v>
      </c>
      <c r="I5" s="17" t="str">
        <f t="shared" si="0"/>
        <v>n/a</v>
      </c>
    </row>
    <row r="6" spans="1:9" x14ac:dyDescent="0.25">
      <c r="A6" s="39"/>
      <c r="B6" s="36"/>
      <c r="C6" s="37"/>
      <c r="D6" s="37"/>
      <c r="E6" s="38"/>
      <c r="F6" s="38"/>
      <c r="G6" s="5" t="s">
        <v>137</v>
      </c>
      <c r="H6" s="16">
        <v>3429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189.85747619376673</v>
      </c>
      <c r="B20" s="8">
        <f>COUNT(H3:H17)</f>
        <v>4</v>
      </c>
      <c r="C20" s="9">
        <f>IF(B20&lt;2,"n/a",(A20/D20))</f>
        <v>5.4066111606105152E-2</v>
      </c>
      <c r="D20" s="10">
        <f>IFERROR(ROUND(AVERAGE(H3:H17),2),"")</f>
        <v>3511.58</v>
      </c>
      <c r="E20" s="15" t="str">
        <f>IFERROR(ROUND(IF(B20&lt;2,"n/a",(IF(C20&lt;=25%,"n/a",AVERAGE(I3:I17)))),2),"n/a")</f>
        <v>n/a</v>
      </c>
      <c r="F20" s="10">
        <f>IFERROR(ROUND(MEDIAN(H3:H17),2),"")</f>
        <v>3466.78</v>
      </c>
      <c r="G20" s="11" t="str">
        <f>IFERROR(INDEX(G3:G17,MATCH(H20,H3:H17,0)),"")</f>
        <v>PONTO FRIO</v>
      </c>
      <c r="H20" s="12">
        <f>F3</f>
        <v>3335.87</v>
      </c>
    </row>
    <row r="22" spans="1:9" x14ac:dyDescent="0.25">
      <c r="G22" s="13" t="s">
        <v>20</v>
      </c>
      <c r="H22" s="14">
        <f>IF(C20&lt;=25%,D20,MIN(E20:F20))</f>
        <v>3511.58</v>
      </c>
    </row>
    <row r="23" spans="1:9" x14ac:dyDescent="0.25">
      <c r="G23" s="13" t="s">
        <v>6</v>
      </c>
      <c r="H23" s="14">
        <f>ROUND(H22,2)*D3</f>
        <v>77254.759999999995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9</v>
      </c>
      <c r="B3" s="35" t="s">
        <v>138</v>
      </c>
      <c r="C3" s="37" t="s">
        <v>7</v>
      </c>
      <c r="D3" s="37">
        <f>60*0.25</f>
        <v>15</v>
      </c>
      <c r="E3" s="38">
        <f>IF(C20&lt;=25%,D20,MIN(E20:F20))</f>
        <v>4212.37</v>
      </c>
      <c r="F3" s="38">
        <f>MIN(H3:H17)</f>
        <v>3989.05</v>
      </c>
      <c r="G3" s="5" t="s">
        <v>135</v>
      </c>
      <c r="H3" s="16">
        <v>4099</v>
      </c>
      <c r="I3" s="17" t="str">
        <f>IF(H3="","",(IF($C$20&lt;25%,"n/a",IF(H3&lt;=($D$20+$A$20),H3,"Descartado"))))</f>
        <v>n/a</v>
      </c>
    </row>
    <row r="4" spans="1:9" x14ac:dyDescent="0.25">
      <c r="A4" s="39"/>
      <c r="B4" s="36"/>
      <c r="C4" s="37"/>
      <c r="D4" s="37"/>
      <c r="E4" s="38"/>
      <c r="F4" s="38"/>
      <c r="G4" s="5" t="s">
        <v>141</v>
      </c>
      <c r="H4" s="16">
        <v>4512.41</v>
      </c>
      <c r="I4" s="17" t="str">
        <f t="shared" ref="I4:I17" si="0">IF(H4="","",(IF($C$20&lt;25%,"n/a",IF(H4&lt;=($D$20+$A$20),H4,"Descartado"))))</f>
        <v>n/a</v>
      </c>
    </row>
    <row r="5" spans="1:9" x14ac:dyDescent="0.25">
      <c r="A5" s="39"/>
      <c r="B5" s="36"/>
      <c r="C5" s="37"/>
      <c r="D5" s="37"/>
      <c r="E5" s="38"/>
      <c r="F5" s="38"/>
      <c r="G5" s="5" t="s">
        <v>103</v>
      </c>
      <c r="H5" s="16">
        <v>4249</v>
      </c>
      <c r="I5" s="17" t="str">
        <f t="shared" si="0"/>
        <v>n/a</v>
      </c>
    </row>
    <row r="6" spans="1:9" x14ac:dyDescent="0.25">
      <c r="A6" s="39"/>
      <c r="B6" s="36"/>
      <c r="C6" s="37"/>
      <c r="D6" s="37"/>
      <c r="E6" s="38"/>
      <c r="F6" s="38"/>
      <c r="G6" s="5" t="s">
        <v>142</v>
      </c>
      <c r="H6" s="16">
        <v>3989.05</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226.63505002536553</v>
      </c>
      <c r="B20" s="8">
        <f>COUNT(H3:H17)</f>
        <v>4</v>
      </c>
      <c r="C20" s="9">
        <f>IF(B20&lt;2,"n/a",(A20/D20))</f>
        <v>5.3802265713924831E-2</v>
      </c>
      <c r="D20" s="10">
        <f>IFERROR(ROUND(AVERAGE(H3:H17),2),"")</f>
        <v>4212.37</v>
      </c>
      <c r="E20" s="15" t="str">
        <f>IFERROR(ROUND(IF(B20&lt;2,"n/a",(IF(C20&lt;=25%,"n/a",AVERAGE(I3:I17)))),2),"n/a")</f>
        <v>n/a</v>
      </c>
      <c r="F20" s="10">
        <f>IFERROR(ROUND(MEDIAN(H3:H17),2),"")</f>
        <v>4174</v>
      </c>
      <c r="G20" s="11" t="str">
        <f>IFERROR(INDEX(G3:G17,MATCH(H20,H3:H17,0)),"")</f>
        <v>CENTRAL AR</v>
      </c>
      <c r="H20" s="12">
        <f>F3</f>
        <v>3989.05</v>
      </c>
    </row>
    <row r="22" spans="1:9" x14ac:dyDescent="0.25">
      <c r="G22" s="13" t="s">
        <v>20</v>
      </c>
      <c r="H22" s="14">
        <f>IF(C20&lt;=25%,D20,MIN(E20:F20))</f>
        <v>4212.37</v>
      </c>
    </row>
    <row r="23" spans="1:9" x14ac:dyDescent="0.25">
      <c r="G23" s="13" t="s">
        <v>6</v>
      </c>
      <c r="H23" s="14">
        <f>ROUND(H22,2)*D3</f>
        <v>63185.549999999996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2024-01-19T12:36:43Z</cp:lastPrinted>
  <dcterms:created xsi:type="dcterms:W3CDTF">2023-11-07T17:10:34Z</dcterms:created>
  <dcterms:modified xsi:type="dcterms:W3CDTF">2024-01-19T12:37:06Z</dcterms:modified>
</cp:coreProperties>
</file>