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0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state="hidden" r:id="rId7"/>
    <sheet name="Item8" sheetId="10" state="hidden" r:id="rId8"/>
    <sheet name="Item9" sheetId="11" state="hidden" r:id="rId9"/>
    <sheet name="Item10" sheetId="12" state="hidden" r:id="rId10"/>
    <sheet name="Item11" sheetId="13" state="hidden" r:id="rId11"/>
    <sheet name="Item12" sheetId="14" state="hidden" r:id="rId12"/>
    <sheet name="Item13" sheetId="15" state="hidden" r:id="rId13"/>
    <sheet name="Item14" sheetId="16" state="hidden" r:id="rId14"/>
    <sheet name="Item15" sheetId="17" state="hidden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total" sheetId="23" r:id="rId21"/>
  </sheets>
  <definedNames>
    <definedName name="_xlnm.Print_Area" localSheetId="20">total!$A$1:$I$10</definedName>
    <definedName name="_xlnm.Print_Titles" localSheetId="20">total!$1:$2</definedName>
  </definedNames>
  <calcPr calcId="145621"/>
</workbook>
</file>

<file path=xl/calcChain.xml><?xml version="1.0" encoding="utf-8"?>
<calcChain xmlns="http://schemas.openxmlformats.org/spreadsheetml/2006/main">
  <c r="G4" i="23" l="1"/>
  <c r="G5" i="23"/>
  <c r="G6" i="23"/>
  <c r="G7" i="23"/>
  <c r="G8" i="23"/>
  <c r="G3" i="23"/>
  <c r="D3" i="7"/>
  <c r="D3" i="6"/>
  <c r="D3" i="4"/>
  <c r="D3" i="1"/>
  <c r="C3" i="23" l="1"/>
  <c r="C4" i="23" l="1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B8" i="23"/>
  <c r="B7" i="23"/>
  <c r="B6" i="23"/>
  <c r="B5" i="23"/>
  <c r="B4" i="23"/>
  <c r="D3" i="23"/>
  <c r="E3" i="23"/>
  <c r="B3" i="23"/>
  <c r="F20" i="22"/>
  <c r="D20" i="22"/>
  <c r="B20" i="22"/>
  <c r="C20" i="22" s="1"/>
  <c r="A20" i="22"/>
  <c r="F3" i="22"/>
  <c r="H20" i="22" s="1"/>
  <c r="G20" i="22" s="1"/>
  <c r="H20" i="21"/>
  <c r="G20" i="21" s="1"/>
  <c r="F20" i="21"/>
  <c r="D20" i="21"/>
  <c r="B20" i="21"/>
  <c r="A20" i="21" s="1"/>
  <c r="F3" i="21"/>
  <c r="H20" i="20"/>
  <c r="G20" i="20"/>
  <c r="F20" i="20"/>
  <c r="D20" i="20"/>
  <c r="B20" i="20"/>
  <c r="C20" i="20" s="1"/>
  <c r="A20" i="20"/>
  <c r="F3" i="20"/>
  <c r="H20" i="19"/>
  <c r="G20" i="19" s="1"/>
  <c r="F20" i="19"/>
  <c r="D20" i="19"/>
  <c r="B20" i="19"/>
  <c r="A20" i="19" s="1"/>
  <c r="F3" i="19"/>
  <c r="F20" i="18"/>
  <c r="D20" i="18"/>
  <c r="B20" i="18"/>
  <c r="A20" i="18"/>
  <c r="C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A20" i="7" s="1"/>
  <c r="I14" i="7"/>
  <c r="F3" i="7"/>
  <c r="H20" i="7" s="1"/>
  <c r="G20" i="7" s="1"/>
  <c r="F20" i="6"/>
  <c r="D20" i="6"/>
  <c r="B20" i="6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C20" i="16" l="1"/>
  <c r="I5" i="16" s="1"/>
  <c r="C20" i="14"/>
  <c r="I5" i="14" s="1"/>
  <c r="C20" i="9"/>
  <c r="A20" i="8"/>
  <c r="C20" i="8" s="1"/>
  <c r="I5" i="8" s="1"/>
  <c r="C20" i="7"/>
  <c r="I6" i="7" s="1"/>
  <c r="C20" i="5"/>
  <c r="I5" i="5" s="1"/>
  <c r="A20" i="12"/>
  <c r="C20" i="12" s="1"/>
  <c r="I5" i="12" s="1"/>
  <c r="A20" i="6"/>
  <c r="C20" i="6" s="1"/>
  <c r="I8" i="6" s="1"/>
  <c r="I15" i="20"/>
  <c r="I9" i="20"/>
  <c r="I3" i="20"/>
  <c r="E20" i="20" s="1"/>
  <c r="I8" i="20"/>
  <c r="I13" i="20"/>
  <c r="I14" i="20"/>
  <c r="I6" i="20"/>
  <c r="I7" i="20"/>
  <c r="I12" i="20"/>
  <c r="I17" i="20"/>
  <c r="I11" i="20"/>
  <c r="I5" i="20"/>
  <c r="I16" i="20"/>
  <c r="I10" i="20"/>
  <c r="I4" i="20"/>
  <c r="I15" i="22"/>
  <c r="I9" i="22"/>
  <c r="I3" i="22"/>
  <c r="E20" i="22" s="1"/>
  <c r="I8" i="22"/>
  <c r="I12" i="22"/>
  <c r="I14" i="22"/>
  <c r="I6" i="22"/>
  <c r="I13" i="22"/>
  <c r="I7" i="22"/>
  <c r="I17" i="22"/>
  <c r="I11" i="22"/>
  <c r="I5" i="22"/>
  <c r="I16" i="22"/>
  <c r="I10" i="22"/>
  <c r="I4" i="22"/>
  <c r="C20" i="19"/>
  <c r="C20" i="21"/>
  <c r="I15" i="12"/>
  <c r="I9" i="12"/>
  <c r="I14" i="12"/>
  <c r="I10" i="12"/>
  <c r="I13" i="12"/>
  <c r="I12" i="12"/>
  <c r="I6" i="12"/>
  <c r="I17" i="12"/>
  <c r="I11" i="12"/>
  <c r="I16" i="12"/>
  <c r="I15" i="16"/>
  <c r="I9" i="16"/>
  <c r="I16" i="16"/>
  <c r="I14" i="16"/>
  <c r="I8" i="16"/>
  <c r="I13" i="16"/>
  <c r="I12" i="16"/>
  <c r="I17" i="16"/>
  <c r="I11" i="16"/>
  <c r="I10" i="16"/>
  <c r="I15" i="14"/>
  <c r="I9" i="14"/>
  <c r="I16" i="14"/>
  <c r="I14" i="14"/>
  <c r="I8" i="14"/>
  <c r="I10" i="14"/>
  <c r="I13" i="14"/>
  <c r="I7" i="14"/>
  <c r="I12" i="14"/>
  <c r="I6" i="14"/>
  <c r="I17" i="14"/>
  <c r="I11" i="14"/>
  <c r="I15" i="18"/>
  <c r="I9" i="18"/>
  <c r="I3" i="18"/>
  <c r="I4" i="18"/>
  <c r="E20" i="18" s="1"/>
  <c r="I14" i="18"/>
  <c r="I8" i="18"/>
  <c r="I10" i="18"/>
  <c r="I13" i="18"/>
  <c r="I7" i="18"/>
  <c r="I16" i="18"/>
  <c r="I12" i="18"/>
  <c r="I6" i="18"/>
  <c r="I17" i="18"/>
  <c r="I11" i="18"/>
  <c r="I5" i="18"/>
  <c r="C20" i="11"/>
  <c r="C20" i="13"/>
  <c r="C20" i="15"/>
  <c r="C20" i="17"/>
  <c r="I15" i="8"/>
  <c r="I9" i="8"/>
  <c r="I14" i="8"/>
  <c r="I8" i="8"/>
  <c r="I12" i="8"/>
  <c r="I13" i="8"/>
  <c r="I17" i="8"/>
  <c r="I11" i="8"/>
  <c r="I16" i="8"/>
  <c r="I10" i="8"/>
  <c r="I16" i="9"/>
  <c r="I11" i="7"/>
  <c r="C20" i="10"/>
  <c r="I12" i="7"/>
  <c r="I13" i="7"/>
  <c r="I7" i="9"/>
  <c r="I13" i="9"/>
  <c r="I9" i="9"/>
  <c r="I15" i="9"/>
  <c r="I15" i="7"/>
  <c r="I16" i="7"/>
  <c r="I10" i="9"/>
  <c r="I17" i="7"/>
  <c r="I3" i="9"/>
  <c r="I11" i="9"/>
  <c r="I17" i="9"/>
  <c r="I15" i="6"/>
  <c r="I9" i="6"/>
  <c r="I14" i="6"/>
  <c r="I13" i="6"/>
  <c r="I17" i="6"/>
  <c r="I11" i="6"/>
  <c r="I16" i="6"/>
  <c r="I10" i="6"/>
  <c r="I12" i="6"/>
  <c r="I12" i="5"/>
  <c r="I17" i="5"/>
  <c r="I11" i="5"/>
  <c r="I16" i="5"/>
  <c r="I10" i="5"/>
  <c r="I8" i="5"/>
  <c r="I13" i="5"/>
  <c r="I7" i="5"/>
  <c r="I15" i="5"/>
  <c r="I9" i="5"/>
  <c r="I14" i="5"/>
  <c r="A20" i="4"/>
  <c r="C20" i="4" s="1"/>
  <c r="C20" i="1"/>
  <c r="I8" i="12" l="1"/>
  <c r="I7" i="12"/>
  <c r="I7" i="16"/>
  <c r="I6" i="16"/>
  <c r="E20" i="16" s="1"/>
  <c r="I4" i="16"/>
  <c r="I3" i="16"/>
  <c r="I4" i="14"/>
  <c r="E20" i="14" s="1"/>
  <c r="I3" i="14"/>
  <c r="I3" i="12"/>
  <c r="I4" i="12"/>
  <c r="I12" i="9"/>
  <c r="I8" i="9"/>
  <c r="I6" i="9"/>
  <c r="I5" i="9"/>
  <c r="I4" i="9"/>
  <c r="E20" i="9"/>
  <c r="E3" i="9" s="1"/>
  <c r="I7" i="8"/>
  <c r="I6" i="8"/>
  <c r="I3" i="8"/>
  <c r="I4" i="8"/>
  <c r="I9" i="7"/>
  <c r="I10" i="7"/>
  <c r="I8" i="7"/>
  <c r="I7" i="7"/>
  <c r="I4" i="7"/>
  <c r="I5" i="7"/>
  <c r="I3" i="7"/>
  <c r="I4" i="6"/>
  <c r="I7" i="6"/>
  <c r="I6" i="6"/>
  <c r="I5" i="6"/>
  <c r="I3" i="6"/>
  <c r="I6" i="5"/>
  <c r="I4" i="5"/>
  <c r="I3" i="5"/>
  <c r="E20" i="5" s="1"/>
  <c r="E3" i="5" s="1"/>
  <c r="H5" i="23" s="1"/>
  <c r="I5" i="23" s="1"/>
  <c r="H22" i="20"/>
  <c r="H23" i="20" s="1"/>
  <c r="E3" i="20"/>
  <c r="H22" i="22"/>
  <c r="H23" i="22" s="1"/>
  <c r="E3" i="22"/>
  <c r="I12" i="21"/>
  <c r="I6" i="21"/>
  <c r="I17" i="21"/>
  <c r="I11" i="21"/>
  <c r="I5" i="21"/>
  <c r="I3" i="21"/>
  <c r="E20" i="21" s="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E20" i="19" s="1"/>
  <c r="I9" i="19"/>
  <c r="I14" i="19"/>
  <c r="I8" i="19"/>
  <c r="I13" i="19"/>
  <c r="I7" i="19"/>
  <c r="I10" i="19"/>
  <c r="H22" i="18"/>
  <c r="H23" i="18" s="1"/>
  <c r="E3" i="18"/>
  <c r="H22" i="16"/>
  <c r="H23" i="16" s="1"/>
  <c r="E3" i="16"/>
  <c r="H22" i="14"/>
  <c r="H23" i="14" s="1"/>
  <c r="E3" i="14"/>
  <c r="I12" i="13"/>
  <c r="I6" i="13"/>
  <c r="I17" i="13"/>
  <c r="I11" i="13"/>
  <c r="I5" i="13"/>
  <c r="I16" i="13"/>
  <c r="I10" i="13"/>
  <c r="I4" i="13"/>
  <c r="I15" i="13"/>
  <c r="I9" i="13"/>
  <c r="E20" i="13" s="1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4" l="1"/>
  <c r="E20" i="11"/>
  <c r="E20" i="12"/>
  <c r="E20" i="15"/>
  <c r="H22" i="15" s="1"/>
  <c r="H23" i="15" s="1"/>
  <c r="H22" i="12"/>
  <c r="H23" i="12" s="1"/>
  <c r="E3" i="12"/>
  <c r="E20" i="10"/>
  <c r="E3" i="10" s="1"/>
  <c r="H22" i="9"/>
  <c r="H23" i="9" s="1"/>
  <c r="E20" i="8"/>
  <c r="H22" i="8" s="1"/>
  <c r="H23" i="8" s="1"/>
  <c r="E20" i="7"/>
  <c r="E20" i="6"/>
  <c r="H22" i="6" s="1"/>
  <c r="H23" i="6" s="1"/>
  <c r="H22" i="5"/>
  <c r="H23" i="5" s="1"/>
  <c r="E3" i="19"/>
  <c r="H22" i="19"/>
  <c r="H23" i="19" s="1"/>
  <c r="E3" i="21"/>
  <c r="H22" i="21"/>
  <c r="H23" i="21" s="1"/>
  <c r="E3" i="13"/>
  <c r="H22" i="13"/>
  <c r="H23" i="13" s="1"/>
  <c r="H22" i="11"/>
  <c r="H23" i="11" s="1"/>
  <c r="E3" i="11"/>
  <c r="E3" i="15"/>
  <c r="E20" i="17"/>
  <c r="H22" i="10"/>
  <c r="H23" i="10" s="1"/>
  <c r="H22" i="4"/>
  <c r="H23" i="4" s="1"/>
  <c r="E3" i="4"/>
  <c r="H4" i="23" s="1"/>
  <c r="I4" i="23" s="1"/>
  <c r="E20" i="1"/>
  <c r="E3" i="8" l="1"/>
  <c r="H8" i="23" s="1"/>
  <c r="I8" i="23" s="1"/>
  <c r="E3" i="7"/>
  <c r="H7" i="23" s="1"/>
  <c r="I7" i="23" s="1"/>
  <c r="H22" i="7"/>
  <c r="H23" i="7" s="1"/>
  <c r="E3" i="6"/>
  <c r="H6" i="23" s="1"/>
  <c r="I6" i="23" s="1"/>
  <c r="H22" i="17"/>
  <c r="H23" i="17" s="1"/>
  <c r="E3" i="17"/>
  <c r="E3" i="1"/>
  <c r="H3" i="23" s="1"/>
  <c r="I3" i="23" s="1"/>
  <c r="H22" i="1"/>
  <c r="H23" i="1" s="1"/>
  <c r="H10" i="23" l="1"/>
</calcChain>
</file>

<file path=xl/sharedStrings.xml><?xml version="1.0" encoding="utf-8"?>
<sst xmlns="http://schemas.openxmlformats.org/spreadsheetml/2006/main" count="727" uniqueCount="139">
  <si>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</si>
  <si>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</si>
  <si>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</si>
  <si>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</si>
  <si>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</si>
  <si>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</si>
  <si>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</si>
  <si>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</si>
  <si>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</si>
  <si>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</si>
  <si>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</si>
  <si>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</si>
  <si>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</si>
  <si>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</si>
  <si>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</si>
  <si>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</si>
  <si>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</si>
  <si>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</si>
  <si>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</si>
  <si>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</si>
  <si>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</si>
  <si>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</si>
  <si>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</si>
  <si>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</si>
  <si>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</si>
  <si>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NOBREAK:
· Potência mínima de 1500VA / 1050W;
· Fator de potência: 0,7 ou superior;
· Seleção automática de tensão na entrada 110V/115V/127V/220V;
· Forma de onda na saída: senoidal por aproximação;
· Plugue do cabo de força: padrão NBR14136;
· Frequência da rede: 60 Hz;
· Tensão de saída: 115 VAC;
· Mínimo de 8 tomadas de saída com padrão NBR 14136;
· Autonomia mínima de 60 minutos, quando conectado a uma carga de 80W (equivalente a um microcomputador e um monitor de 15” LCD).
· Proteção contra: curto-circuito, surtos de tensão entre fase e neutro, sobrecarga, sub e sobretensão da rede elétrica, sobreaquecimento no inversor e no transformador, descarga total das baterias;
· Leds indicativos das condições de funcionamento do equipamento;
· Alarme audiovisual para sinalização das condições de funcionamento da rede elétrica;
· Porta-fusível externo com unidade reserva;
· Mínimo de duas baterias VRLA internas seladas de 12V/7Ah ou maior;
· Filtro de linha e estabilizador integrados;
· Recarga automática das baterias mesmo com o nobreak desligado;
· Saída padrão USB para comunicação com o computador;
· Conector para módulo de baterias externas;
· Software de gerenciamento de configuração via computador;
· Line Interactive (Nobreak Interativo com Regulação On-Line)
· Garantia de, no mínimo, 12 meses, contados a partir do recebimento definitivo do equipamento.</t>
  </si>
  <si>
    <t>MAGAZINE LUIZA</t>
  </si>
  <si>
    <t>Kabum</t>
  </si>
  <si>
    <t>Oficina dos Bits</t>
  </si>
  <si>
    <t>Amazon</t>
  </si>
  <si>
    <t>A&amp;G EQUIPAMENTOS TECNOLOGICOS E INFORMATICA LTDA</t>
  </si>
  <si>
    <t>POWER TEC TECNOLOGIA EM INFORMATICA LTDA</t>
  </si>
  <si>
    <t>ITEC INFORMATICA E TECNOLOGIA LTDA</t>
  </si>
  <si>
    <t>ACAZE ASSESSORIA COMERCIAL LTDA</t>
  </si>
  <si>
    <t>CENTURION COMERCIO E SERVICOS DE INFORMATICA LTDA</t>
  </si>
  <si>
    <t>AMPLA COMERCIAL EIRELI</t>
  </si>
  <si>
    <t>E B ARAUJO COMERCIAL LTDA</t>
  </si>
  <si>
    <t>ARCANJO TELECOMUNICACOES E INFORMATICA LTDA</t>
  </si>
  <si>
    <t>HYPER TECHNOLOGIES COMERCIO DE INFORMATICA E SERVICOS EIRELI</t>
  </si>
  <si>
    <t>MEDISUL COMERCIO DE MERCADORIAS E REPRESENTACOES EIRELI</t>
  </si>
  <si>
    <t>SET COMPUTADORES E SERVICOS LTDA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</si>
  <si>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</si>
  <si>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</si>
  <si>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</si>
  <si>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</si>
  <si>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</si>
  <si>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</si>
  <si>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estimado</t>
  </si>
  <si>
    <t>quilograma</t>
  </si>
  <si>
    <t>Polpa de Maracujá
Acondicionada em embalagens plásticas com 100g.
Com impressão do nome do fabricante, registro no Ministério da Saúde e validade do produto não inferior a 3 meses, contados da data do recebimento definitivo.</t>
  </si>
  <si>
    <t>Polpa de Morango
Acondicionada em embalagens plásticas com 100g.
Com impressão do nome do fabricante, registro no Ministério da Saúde e validade do produto não inferior a 3 meses, contados da data do recebimento definitivo.</t>
  </si>
  <si>
    <t>Polpa de Cacau
Acondicionada em embalagens plásticas com 100g.
Com impressão do nome do fabricante, registro no Ministério da Saúde e validade do produto não inferior a 3 meses, contados da data do recebimento definitivo.</t>
  </si>
  <si>
    <t>Suco/ néctar em Caixa – Sabor Uva 200ml</t>
  </si>
  <si>
    <t>caixa</t>
  </si>
  <si>
    <t>Suco/ néctar em Caixa – Sabor laranja 200 ml</t>
  </si>
  <si>
    <t>Biscoito Rosquinha – Sabor leite/nata – Embalagem com 360g (podendo variar em até 15g para mais ou para menos).</t>
  </si>
  <si>
    <t>pacote</t>
  </si>
  <si>
    <t>Biscoito Salgado – Pacotes de 24g cada (podendo variar 2g para mais ou para menos), acondicionados em embalagens com até 6 pacotes.</t>
  </si>
  <si>
    <t>Biscoito Rosquinha - Sabor chocolate/cacau – Embalagem com 360g (podendo variar em até 15g para mais ou para menos).</t>
  </si>
  <si>
    <t>Biscoito com recheio de Chocolate - Embalagem com 100g (podendo variar em até 10g para mais ou para menos)</t>
  </si>
  <si>
    <t>BAHIA CESTAS LTDA</t>
  </si>
  <si>
    <t>ALDERIVA NEIVA DE MIRANDA</t>
  </si>
  <si>
    <t>ASSOCIACAO DO DESENVOLVIMENTO DO BAIXO SUL - ADEBASUL</t>
  </si>
  <si>
    <t>UMAR MELO LTDA</t>
  </si>
  <si>
    <t>C &amp; R COMERCIO ATACADISTA DE PRODUTOS ALIMENTICIOS LTDA</t>
  </si>
  <si>
    <t>GMX COMERCIO DE ALIMENTOS LTDA</t>
  </si>
  <si>
    <t>SULIMAR LEITE DE SIQUEIRA</t>
  </si>
  <si>
    <t>SOTO ATACADISTA LTDA</t>
  </si>
  <si>
    <t>JCA COMERCIO DE ALIMENTOS LTDA</t>
  </si>
  <si>
    <t>FONTE DE VIDA INDUSTRIA E COMERCIO DE ALIMENTOS LTDA</t>
  </si>
  <si>
    <t>B. M. MATTEUCCI</t>
  </si>
  <si>
    <t>40.906.296 ADENILSON CESAR BRAGA DOS SANTOS</t>
  </si>
  <si>
    <t>UEDAMA COMERCIO DE PRODUTOS ALIMENTICIOS LTDA</t>
  </si>
  <si>
    <t>J NUNES DISTRIBUIDORA DE ALIMENTOS LTDA</t>
  </si>
  <si>
    <t>PEDRO SABINO DA COSTA NETO</t>
  </si>
  <si>
    <t>ACTIVA SOLUTIONS LTDA</t>
  </si>
  <si>
    <t>COMAX COMERCIO DE ALIMENTOS LTDA</t>
  </si>
  <si>
    <t>NUTRISABOR COMERCIO DE ALIMENTOS LTDA</t>
  </si>
  <si>
    <t>48.618.434 NADSON CIRQUEIRA ROCHA</t>
  </si>
  <si>
    <t>L H CASTRO DE ANDRADE FILHO COMERCIO</t>
  </si>
  <si>
    <t>OTIS DISTRIBUICAO LTDA</t>
  </si>
  <si>
    <t>COELHO PINTO COMERCIO E SERVICOS LTDA</t>
  </si>
  <si>
    <t>R &amp; M ALIMENTOS LTDA</t>
  </si>
  <si>
    <t>N.S DISTRIBUIDORA DE GENEROS ALIMENTICIOS LTDA</t>
  </si>
  <si>
    <t>NAKA EXPRESS GENEROS ALIMENTICIOS LTDA</t>
  </si>
  <si>
    <t>VINAQUE COMERCIO DE ALIMENTOS LTDA</t>
  </si>
  <si>
    <t>ALIMENTEX DISTRIBUIDORA LTDA</t>
  </si>
  <si>
    <t>n/a</t>
  </si>
  <si>
    <t xml:space="preserve">UNIAGRO RORAIMA EMPREENDIMENTOS LTDA </t>
  </si>
  <si>
    <t xml:space="preserve">ABSOLUTA COMERCIO, GESTAO E SERVICOS LTDA </t>
  </si>
  <si>
    <t xml:space="preserve">L J DA SILVA NASCIMENTO </t>
  </si>
  <si>
    <t xml:space="preserve">J MONTEIRO COMERCIO E SERVICOS LTDA </t>
  </si>
  <si>
    <t xml:space="preserve">WS DISTRIBUIDORA DE ALIMENTOS LTDA </t>
  </si>
  <si>
    <t xml:space="preserve">ISM3 SERVICOS E SOLUCOES LTDA </t>
  </si>
  <si>
    <t xml:space="preserve">B. M. MATTEUCCI </t>
  </si>
  <si>
    <t xml:space="preserve">39.408.550 MATHEUS RAMOS VIEIRA </t>
  </si>
  <si>
    <t xml:space="preserve">COELHO PINTO COMERCIO E SERVICOS LTDA </t>
  </si>
  <si>
    <t xml:space="preserve">25.007.684 GABRIEL MENDES DE SANTANA </t>
  </si>
  <si>
    <t xml:space="preserve">SEMOG DISTRIBUIDORA DE ALIMENTOS E SERVICOS LTDA </t>
  </si>
  <si>
    <t xml:space="preserve">COMSABOR COMERCIO DE ALIMENTOS LTDA </t>
  </si>
  <si>
    <t xml:space="preserve">COOPERATIVA AGROINDUSTRIAL NOVA ALIANCA LTDA </t>
  </si>
  <si>
    <t xml:space="preserve">EMPREENDIMENTO COMERCIAL SAARA LTDA </t>
  </si>
  <si>
    <t>GBARBOSA</t>
  </si>
  <si>
    <t>HIPERIDEAL</t>
  </si>
  <si>
    <t>CARRO ARMAZÉM, seguintes características:
• Estrutura tubular em aço;
• Comprimento mínimo: 320 mm;
• Profundidade mínima: 250 mm;
• Altura mínima: 1.250 mm;
• Capacidade mínima de carga: 300 kg;
• Rodas de borracha maciça, com diâmetro mínimo de 8 (oito)polegadas;
• Garantia minima 6 meses.</t>
  </si>
  <si>
    <t>CARRO PLATAFORMA, com as seguintes características:
• Assoalho em aço ou madeira de lei.
• Capacidade mínima de carga: 600 kg;
• 2 rodas fixas e 2 rodas giratórias;
• Cabo de tração em forma de “T” com articulação e com altura mínima de 800 mm.
• 4 rodas de borracha maciça, com diâmetro mínimo de 6 polegadas;
• Comprimento: 1.000 a 1600 mm;
• Largura:  600 a 900 mm;
• Garantia minima 6 meses.</t>
  </si>
  <si>
    <t>CARRINHO DE TRANSPORTE, com as
seguintes características:
• Tipo supermercado;
• Composto de única cesta, com estrutura em arame galvanizado ou zincado;
• Capacidade mínima de carga de 140 litros;
• Quatro rodas em material termoplástico;
• Acabamento cinza
• Garantia minima 6 meses.</t>
  </si>
  <si>
    <t>TRANSPALETE HIDRÁULICA MANUAL,
com as seguintes características:
• Capacidade mínima de carga: 3.000 kg;
• Largura útil mínima dos garfos: 650 mm;
• Comprimento útil mínimo dos garfos: 1.150 mm;
• Altura dos garfos:
Abaixados: igual ou inferior a 85 mm; Elevados: igual ou superior a 180 mm;
• Rodas em nylon;
• Rodagem ‘tandem’;
• Garantia mínima 6 meses.</t>
  </si>
  <si>
    <t>CONTENTOR DE 1000 LITROS SEM PEDAL com as seguintes especificações:
•         Corpo em polietileno de alta densidade (PEAD), com proteção UV;
•         Volume nominal: 1.000 litros;
•         Capacidade mínima de carga: 400 kg;
•         Altura máxima: 1.470 mm;
•         Superfícies externas e internas polidas e cantos arredondados;
•         Tampa articulada ao próprio corpo;
•         4 rodízios com diâmetro mínimo de 200 mm e bandas de borracha maciça,
•         Trava de segurança para estacionamento em duas rodas, no mínimo;
•         Pegas laterais e munhões;
•         Dreno no fundo para escoamento de líquidos;
•         Fabricado conforme as normas da ABNT 15911-3 ou DIN EN 840.
•         Cor: amarelo,azul, vermelho ou cinza, conforme cada pedido, de acordo com a Resolução Conama n.º 275/200 ou posterior;
•         Identificação gráfica frontal do tipo de material;
• Garantia mínima 6 meses.</t>
  </si>
  <si>
    <t>CARRINHO DE TRANSPORTE, com as seguintes características:
• Tipo supermercado;
• Composto duas cestas, com estrutura em arame galvanizado ou zincado;
• Capacidade mínima de carga de 90 litros;
• Quatro rodas em material termoplástico;
• Acabamento cinza
• Garantia mínima 6 meses.</t>
  </si>
  <si>
    <t>quantidade total</t>
  </si>
  <si>
    <t>quantidade TRE-BA</t>
  </si>
  <si>
    <t>quantidade ESFCEx</t>
  </si>
  <si>
    <t>JFV BEZERRA LTDA</t>
  </si>
  <si>
    <t>JL &amp; A COMERCIAL LTDA</t>
  </si>
  <si>
    <t>GFM PRODUTOS E SERVICOS LTDA</t>
  </si>
  <si>
    <t>MUNDIAL PRESTADORA DE SERVICOS DE LIMPEZA LTDA</t>
  </si>
  <si>
    <t>ERDAN 2009 COMERCIO E SERVICOS LTDA</t>
  </si>
  <si>
    <t>FABRICIO RACHADEL COSTA</t>
  </si>
  <si>
    <t>MEDMACH SOLUCOES HOSPITALARES LTDA</t>
  </si>
  <si>
    <t>2 RIOS LTDA</t>
  </si>
  <si>
    <t>LIFE CLEAN COMERCIO DE EQUIPAMENTOS LTDA</t>
  </si>
  <si>
    <t>LAR PLASTICOS INDUSTRIA E COMERCIO DE PRODUTOS LTDA</t>
  </si>
  <si>
    <t>HARMONIA SERVICOS ADMINISTRATIVOS LTDA</t>
  </si>
  <si>
    <t>SUPER FRIO EQUIPAMENTOS COMERCIAIS LTDA</t>
  </si>
  <si>
    <t>CAVALLI LTDA</t>
  </si>
  <si>
    <t>SPORTHAUS COMERCIO DE ARTIGOS ESPORTIVOS LTDA</t>
  </si>
  <si>
    <t>RG COMERCIO DE EQUIPAMENTOS LTDA</t>
  </si>
  <si>
    <t>FERRAMENTAS KENNEDY</t>
  </si>
  <si>
    <t>MOVEIS SUPREMO</t>
  </si>
  <si>
    <t>SOMBRISUL</t>
  </si>
  <si>
    <t>JUNGHEINRICH</t>
  </si>
  <si>
    <t>LEROY MERLIN</t>
  </si>
  <si>
    <t>LOJA DO MECANICO</t>
  </si>
  <si>
    <t xml:space="preserve">GR4 COMERCIO E IMPORTACAO LTDA </t>
  </si>
  <si>
    <t xml:space="preserve">REDNOV FERRAMENTAS LTDA. </t>
  </si>
  <si>
    <t xml:space="preserve">FABRICIO RACHADEL COSTA </t>
  </si>
  <si>
    <t xml:space="preserve">LUCAS G. RODRIGUES </t>
  </si>
  <si>
    <t xml:space="preserve">MARCOS LIMA PEREIRA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</si>
</sst>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2" fillId="0" borderId="0" xfId="0" applyFont="1" applyAlignment="1">
      <alignment horizontal="right"/>
    </xf>
    <xf numFmtId="0" fontId="8" fillId="2" borderId="2" xfId="0" applyFont="1" applyFill="1" applyBorder="1"/>
    <xf numFmtId="0" fontId="8" fillId="2" borderId="3" xfId="0" applyFont="1" applyFill="1" applyBorder="1" applyAlignment="1">
      <alignment horizontal="right"/>
    </xf>
    <xf numFmtId="44" fontId="8" fillId="2" borderId="4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165" fontId="2" fillId="0" borderId="1" xfId="3" applyNumberFormat="1" applyFont="1" applyBorder="1" applyAlignment="1">
      <alignment horizontal="center" vertical="top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</v>
      </c>
      <c r="B3" s="29" t="s">
        <v>104</v>
      </c>
      <c r="C3" s="31" t="s">
        <v>7</v>
      </c>
      <c r="D3" s="31">
        <f>40+12</f>
        <v>52</v>
      </c>
      <c r="E3" s="32">
        <f>IF(C20&lt;=25%,D20,MIN(E20:F20))</f>
        <v>522.30999999999995</v>
      </c>
      <c r="F3" s="32">
        <f>MIN(H3:H17)</f>
        <v>481</v>
      </c>
      <c r="G3" s="6" t="s">
        <v>113</v>
      </c>
      <c r="H3" s="16">
        <v>481</v>
      </c>
      <c r="I3" s="17" t="str">
        <f>IF(H3="","",(IF($C$20&lt;25%,"n/a",IF(H3&lt;=($D$20+$A$20),H3,"Descartado"))))</f>
        <v>n/a</v>
      </c>
    </row>
    <row r="4" spans="1:9" x14ac:dyDescent="0.25">
      <c r="A4" s="33"/>
      <c r="B4" s="30"/>
      <c r="C4" s="31"/>
      <c r="D4" s="31"/>
      <c r="E4" s="32"/>
      <c r="F4" s="32"/>
      <c r="G4" s="6" t="s">
        <v>114</v>
      </c>
      <c r="H4" s="16">
        <v>490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3"/>
      <c r="B5" s="30"/>
      <c r="C5" s="31"/>
      <c r="D5" s="31"/>
      <c r="E5" s="32"/>
      <c r="F5" s="32"/>
      <c r="G5" s="6" t="s">
        <v>115</v>
      </c>
      <c r="H5" s="16">
        <v>595.92999999999995</v>
      </c>
      <c r="I5" s="17" t="str">
        <f t="shared" si="0"/>
        <v>n/a</v>
      </c>
    </row>
    <row r="6" spans="1:9" x14ac:dyDescent="0.25">
      <c r="A6" s="33"/>
      <c r="B6" s="30"/>
      <c r="C6" s="31"/>
      <c r="D6" s="31"/>
      <c r="E6" s="32"/>
      <c r="F6" s="32"/>
      <c r="G6" s="6"/>
      <c r="H6" s="16"/>
      <c r="I6" s="17" t="str">
        <f t="shared" si="0"/>
        <v/>
      </c>
    </row>
    <row r="7" spans="1:9" x14ac:dyDescent="0.25">
      <c r="A7" s="33"/>
      <c r="B7" s="30"/>
      <c r="C7" s="31"/>
      <c r="D7" s="31"/>
      <c r="E7" s="32"/>
      <c r="F7" s="32"/>
      <c r="G7" s="6"/>
      <c r="H7" s="16"/>
      <c r="I7" s="17" t="str">
        <f t="shared" si="0"/>
        <v/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63.915399552846388</v>
      </c>
      <c r="B20" s="8">
        <f>COUNT(H3:H17)</f>
        <v>3</v>
      </c>
      <c r="C20" s="9">
        <f>IF(B20&lt;2,"n/a",(A20/D20))</f>
        <v>0.12237062195410081</v>
      </c>
      <c r="D20" s="10">
        <f>IFERROR(ROUND(AVERAGE(H3:H17),2),"")</f>
        <v>522.30999999999995</v>
      </c>
      <c r="E20" s="15" t="str">
        <f>IFERROR(ROUND(IF(B20&lt;2,"n/a",(IF(C20&lt;=25%,"n/a",AVERAGE(I3:I17)))),2),"n/a")</f>
        <v>n/a</v>
      </c>
      <c r="F20" s="10">
        <f>IFERROR(ROUND(MEDIAN(H3:H17),2),"")</f>
        <v>490</v>
      </c>
      <c r="G20" s="11" t="str">
        <f>IFERROR(INDEX(G3:G17,MATCH(H20,H3:H17,0)),"")</f>
        <v>JFV BEZERRA LTDA</v>
      </c>
      <c r="H20" s="12">
        <f>F3</f>
        <v>481</v>
      </c>
    </row>
    <row r="22" spans="1:9" x14ac:dyDescent="0.25">
      <c r="G22" s="13" t="s">
        <v>20</v>
      </c>
      <c r="H22" s="14">
        <f>IF(C20&lt;=25%,D20,MIN(E20:F20))</f>
        <v>522.30999999999995</v>
      </c>
    </row>
    <row r="23" spans="1:9" x14ac:dyDescent="0.25">
      <c r="G23" s="13" t="s">
        <v>6</v>
      </c>
      <c r="H23" s="14">
        <f>ROUND(H22,2)*D3</f>
        <v>27160.119999999995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10</v>
      </c>
      <c r="B3" s="29" t="s">
        <v>52</v>
      </c>
      <c r="C3" s="31" t="s">
        <v>53</v>
      </c>
      <c r="D3" s="31">
        <v>500</v>
      </c>
      <c r="E3" s="32">
        <f>IF(C20&lt;=25%,D20,MIN(E20:F20))</f>
        <v>1.34</v>
      </c>
      <c r="F3" s="32">
        <f>MIN(H3:H17)</f>
        <v>0.85</v>
      </c>
      <c r="G3" s="6" t="s">
        <v>76</v>
      </c>
      <c r="H3" s="16">
        <v>1.38</v>
      </c>
      <c r="I3" s="17">
        <f>IF(H3="","",(IF($C$20&lt;25%,"n/a",IF(H3&lt;=($D$20+$A$20),H3,"Descartado"))))</f>
        <v>1.38</v>
      </c>
    </row>
    <row r="4" spans="1:9" x14ac:dyDescent="0.25">
      <c r="A4" s="33"/>
      <c r="B4" s="30"/>
      <c r="C4" s="31"/>
      <c r="D4" s="31"/>
      <c r="E4" s="32"/>
      <c r="F4" s="32"/>
      <c r="G4" s="6" t="s">
        <v>77</v>
      </c>
      <c r="H4" s="16">
        <v>1.2</v>
      </c>
      <c r="I4" s="17">
        <f t="shared" ref="I4:I17" si="0">IF(H4="","",(IF($C$20&lt;25%,"n/a",IF(H4&lt;=($D$20+$A$20),H4,"Descartado"))))</f>
        <v>1.2</v>
      </c>
    </row>
    <row r="5" spans="1:9" x14ac:dyDescent="0.25">
      <c r="A5" s="33"/>
      <c r="B5" s="30"/>
      <c r="C5" s="31"/>
      <c r="D5" s="31"/>
      <c r="E5" s="32"/>
      <c r="F5" s="32"/>
      <c r="G5" s="6" t="s">
        <v>88</v>
      </c>
      <c r="H5" s="16">
        <v>0.85</v>
      </c>
      <c r="I5" s="17">
        <f t="shared" si="0"/>
        <v>0.85</v>
      </c>
    </row>
    <row r="6" spans="1:9" x14ac:dyDescent="0.25">
      <c r="A6" s="33"/>
      <c r="B6" s="30"/>
      <c r="C6" s="31"/>
      <c r="D6" s="31"/>
      <c r="E6" s="32"/>
      <c r="F6" s="32"/>
      <c r="G6" s="6" t="s">
        <v>99</v>
      </c>
      <c r="H6" s="16">
        <v>1.33</v>
      </c>
      <c r="I6" s="17">
        <f t="shared" si="0"/>
        <v>1.33</v>
      </c>
    </row>
    <row r="7" spans="1:9" x14ac:dyDescent="0.25">
      <c r="A7" s="33"/>
      <c r="B7" s="30"/>
      <c r="C7" s="31"/>
      <c r="D7" s="31"/>
      <c r="E7" s="32"/>
      <c r="F7" s="32"/>
      <c r="G7" s="6" t="s">
        <v>90</v>
      </c>
      <c r="H7" s="16">
        <v>1.35</v>
      </c>
      <c r="I7" s="17">
        <f t="shared" si="0"/>
        <v>1.35</v>
      </c>
    </row>
    <row r="8" spans="1:9" x14ac:dyDescent="0.25">
      <c r="A8" s="33"/>
      <c r="B8" s="30"/>
      <c r="C8" s="31"/>
      <c r="D8" s="31"/>
      <c r="E8" s="32"/>
      <c r="F8" s="32"/>
      <c r="G8" s="6" t="s">
        <v>100</v>
      </c>
      <c r="H8" s="16">
        <v>1.9</v>
      </c>
      <c r="I8" s="17">
        <f t="shared" si="0"/>
        <v>1.9</v>
      </c>
    </row>
    <row r="9" spans="1:9" x14ac:dyDescent="0.25">
      <c r="A9" s="33"/>
      <c r="B9" s="30"/>
      <c r="C9" s="31"/>
      <c r="D9" s="31"/>
      <c r="E9" s="32"/>
      <c r="F9" s="32"/>
      <c r="G9" s="6" t="s">
        <v>101</v>
      </c>
      <c r="H9" s="16">
        <v>2.4700000000000002</v>
      </c>
      <c r="I9" s="17" t="str">
        <f t="shared" si="0"/>
        <v>Descartado</v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0.52901525767896573</v>
      </c>
      <c r="B20" s="8">
        <f>COUNT(H3:H17)</f>
        <v>7</v>
      </c>
      <c r="C20" s="9">
        <f>IF(B20&lt;2,"n/a",(A20/D20))</f>
        <v>0.3526768384526438</v>
      </c>
      <c r="D20" s="10">
        <f>IFERROR(ROUND(AVERAGE(H3:H17),2),"")</f>
        <v>1.5</v>
      </c>
      <c r="E20" s="15">
        <f>IFERROR(ROUND(IF(B20&lt;2,"n/a",(IF(C20&lt;=25%,"n/a",AVERAGE(I3:I17)))),2),"n/a")</f>
        <v>1.34</v>
      </c>
      <c r="F20" s="10">
        <f>IFERROR(ROUND(MEDIAN(H3:H17),2),"")</f>
        <v>1.35</v>
      </c>
      <c r="G20" s="11" t="str">
        <f>IFERROR(INDEX(G3:G17,MATCH(H20,H3:H17,0)),"")</f>
        <v xml:space="preserve">UNIAGRO RORAIMA EMPREENDIMENTOS LTDA </v>
      </c>
      <c r="H20" s="12">
        <f>F3</f>
        <v>0.85</v>
      </c>
    </row>
    <row r="22" spans="1:9" x14ac:dyDescent="0.25">
      <c r="G22" s="13" t="s">
        <v>20</v>
      </c>
      <c r="H22" s="14">
        <f>IF(C20&lt;=25%,D20,MIN(E20:F20))</f>
        <v>1.34</v>
      </c>
    </row>
    <row r="23" spans="1:9" x14ac:dyDescent="0.25">
      <c r="G23" s="13" t="s">
        <v>6</v>
      </c>
      <c r="H23" s="14">
        <f>ROUND(H22,2)*D3</f>
        <v>670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11</v>
      </c>
      <c r="B3" s="29" t="s">
        <v>54</v>
      </c>
      <c r="C3" s="31" t="s">
        <v>53</v>
      </c>
      <c r="D3" s="31">
        <v>500</v>
      </c>
      <c r="E3" s="32">
        <f>IF(C20&lt;=25%,D20,MIN(E20:F20))</f>
        <v>1.53</v>
      </c>
      <c r="F3" s="32">
        <f>MIN(H3:H17)</f>
        <v>1.2</v>
      </c>
      <c r="G3" s="6" t="s">
        <v>78</v>
      </c>
      <c r="H3" s="16">
        <v>1.7</v>
      </c>
      <c r="I3" s="17" t="str">
        <f>IF(H3="","",(IF($C$20&lt;25%,"n/a",IF(H3&lt;=($D$20+$A$20),H3,"Descartado"))))</f>
        <v>n/a</v>
      </c>
    </row>
    <row r="4" spans="1:9" x14ac:dyDescent="0.25">
      <c r="A4" s="33"/>
      <c r="B4" s="30"/>
      <c r="C4" s="31"/>
      <c r="D4" s="31"/>
      <c r="E4" s="32"/>
      <c r="F4" s="32"/>
      <c r="G4" s="6" t="s">
        <v>89</v>
      </c>
      <c r="H4" s="16">
        <v>1.2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3"/>
      <c r="B5" s="30"/>
      <c r="C5" s="31"/>
      <c r="D5" s="31"/>
      <c r="E5" s="32"/>
      <c r="F5" s="32"/>
      <c r="G5" s="6" t="s">
        <v>90</v>
      </c>
      <c r="H5" s="16">
        <v>1.4</v>
      </c>
      <c r="I5" s="17" t="str">
        <f t="shared" si="0"/>
        <v>n/a</v>
      </c>
    </row>
    <row r="6" spans="1:9" x14ac:dyDescent="0.25">
      <c r="A6" s="33"/>
      <c r="B6" s="30"/>
      <c r="C6" s="31"/>
      <c r="D6" s="31"/>
      <c r="E6" s="32"/>
      <c r="F6" s="32"/>
      <c r="G6" s="6" t="s">
        <v>91</v>
      </c>
      <c r="H6" s="16">
        <v>1.54</v>
      </c>
      <c r="I6" s="17" t="str">
        <f t="shared" si="0"/>
        <v>n/a</v>
      </c>
    </row>
    <row r="7" spans="1:9" x14ac:dyDescent="0.25">
      <c r="A7" s="33"/>
      <c r="B7" s="30"/>
      <c r="C7" s="31"/>
      <c r="D7" s="31"/>
      <c r="E7" s="32"/>
      <c r="F7" s="32"/>
      <c r="G7" s="6" t="s">
        <v>92</v>
      </c>
      <c r="H7" s="16">
        <v>1.81</v>
      </c>
      <c r="I7" s="17" t="str">
        <f t="shared" si="0"/>
        <v>n/a</v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0.24145392935299184</v>
      </c>
      <c r="B20" s="8">
        <f>COUNT(H3:H17)</f>
        <v>5</v>
      </c>
      <c r="C20" s="9">
        <f>IF(B20&lt;2,"n/a",(A20/D20))</f>
        <v>0.15781302572090969</v>
      </c>
      <c r="D20" s="10">
        <f>IFERROR(ROUND(AVERAGE(H3:H17),2),"")</f>
        <v>1.53</v>
      </c>
      <c r="E20" s="15" t="str">
        <f>IFERROR(ROUND(IF(B20&lt;2,"n/a",(IF(C20&lt;=25%,"n/a",AVERAGE(I3:I17)))),2),"n/a")</f>
        <v>n/a</v>
      </c>
      <c r="F20" s="10">
        <f>IFERROR(ROUND(MEDIAN(H3:H17),2),"")</f>
        <v>1.54</v>
      </c>
      <c r="G20" s="11" t="str">
        <f>IFERROR(INDEX(G3:G17,MATCH(H20,H3:H17,0)),"")</f>
        <v xml:space="preserve">ABSOLUTA COMERCIO, GESTAO E SERVICOS LTDA </v>
      </c>
      <c r="H20" s="12">
        <f>F3</f>
        <v>1.2</v>
      </c>
    </row>
    <row r="22" spans="1:9" x14ac:dyDescent="0.25">
      <c r="G22" s="13" t="s">
        <v>20</v>
      </c>
      <c r="H22" s="14">
        <f>IF(C20&lt;=25%,D20,MIN(E20:F20))</f>
        <v>1.53</v>
      </c>
    </row>
    <row r="23" spans="1:9" x14ac:dyDescent="0.25">
      <c r="G23" s="13" t="s">
        <v>6</v>
      </c>
      <c r="H23" s="14">
        <f>ROUND(H22,2)*D3</f>
        <v>765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12</v>
      </c>
      <c r="B3" s="29" t="s">
        <v>55</v>
      </c>
      <c r="C3" s="31" t="s">
        <v>56</v>
      </c>
      <c r="D3" s="31">
        <v>200</v>
      </c>
      <c r="E3" s="32">
        <f>IF(C20&lt;=25%,D20,MIN(E20:F20))</f>
        <v>6.92</v>
      </c>
      <c r="F3" s="32">
        <f>MIN(H3:H17)</f>
        <v>5.82</v>
      </c>
      <c r="G3" s="6" t="s">
        <v>79</v>
      </c>
      <c r="H3" s="16">
        <v>6.2</v>
      </c>
      <c r="I3" s="17" t="str">
        <f>IF(H3="","",(IF($C$20&lt;25%,"n/a",IF(H3&lt;=($D$20+$A$20),H3,"Descartado"))))</f>
        <v>n/a</v>
      </c>
    </row>
    <row r="4" spans="1:9" x14ac:dyDescent="0.25">
      <c r="A4" s="33"/>
      <c r="B4" s="30"/>
      <c r="C4" s="31"/>
      <c r="D4" s="31"/>
      <c r="E4" s="32"/>
      <c r="F4" s="32"/>
      <c r="G4" s="6" t="s">
        <v>80</v>
      </c>
      <c r="H4" s="16">
        <v>5.82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3"/>
      <c r="B5" s="30"/>
      <c r="C5" s="31"/>
      <c r="D5" s="31"/>
      <c r="E5" s="32"/>
      <c r="F5" s="32"/>
      <c r="G5" s="6" t="s">
        <v>81</v>
      </c>
      <c r="H5" s="16">
        <v>8.73</v>
      </c>
      <c r="I5" s="17" t="str">
        <f t="shared" si="0"/>
        <v>n/a</v>
      </c>
    </row>
    <row r="6" spans="1:9" x14ac:dyDescent="0.25">
      <c r="A6" s="33"/>
      <c r="B6" s="30"/>
      <c r="C6" s="31"/>
      <c r="D6" s="31"/>
      <c r="E6" s="32"/>
      <c r="F6" s="32"/>
      <c r="G6" s="6"/>
      <c r="H6" s="16"/>
      <c r="I6" s="17" t="str">
        <f t="shared" si="0"/>
        <v/>
      </c>
    </row>
    <row r="7" spans="1:9" x14ac:dyDescent="0.25">
      <c r="A7" s="33"/>
      <c r="B7" s="30"/>
      <c r="C7" s="31"/>
      <c r="D7" s="31"/>
      <c r="E7" s="32"/>
      <c r="F7" s="32"/>
      <c r="G7" s="6"/>
      <c r="H7" s="16"/>
      <c r="I7" s="17" t="str">
        <f t="shared" si="0"/>
        <v/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1.5818449144379914</v>
      </c>
      <c r="B20" s="8">
        <f>COUNT(H3:H17)</f>
        <v>3</v>
      </c>
      <c r="C20" s="9">
        <f>IF(B20&lt;2,"n/a",(A20/D20))</f>
        <v>0.22859030555462304</v>
      </c>
      <c r="D20" s="10">
        <f>IFERROR(ROUND(AVERAGE(H3:H17),2),"")</f>
        <v>6.92</v>
      </c>
      <c r="E20" s="15" t="str">
        <f>IFERROR(ROUND(IF(B20&lt;2,"n/a",(IF(C20&lt;=25%,"n/a",AVERAGE(I3:I17)))),2),"n/a")</f>
        <v>n/a</v>
      </c>
      <c r="F20" s="10">
        <f>IFERROR(ROUND(MEDIAN(H3:H17),2),"")</f>
        <v>6.2</v>
      </c>
      <c r="G20" s="11" t="str">
        <f>IFERROR(INDEX(G3:G17,MATCH(H20,H3:H17,0)),"")</f>
        <v>OTIS DISTRIBUICAO LTDA</v>
      </c>
      <c r="H20" s="12">
        <f>F3</f>
        <v>5.82</v>
      </c>
    </row>
    <row r="22" spans="1:9" x14ac:dyDescent="0.25">
      <c r="G22" s="13" t="s">
        <v>20</v>
      </c>
      <c r="H22" s="14">
        <f>IF(C20&lt;=25%,D20,MIN(E20:F20))</f>
        <v>6.92</v>
      </c>
    </row>
    <row r="23" spans="1:9" x14ac:dyDescent="0.25">
      <c r="G23" s="13" t="s">
        <v>6</v>
      </c>
      <c r="H23" s="14">
        <f>ROUND(H22,2)*D3</f>
        <v>1384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13</v>
      </c>
      <c r="B3" s="29" t="s">
        <v>57</v>
      </c>
      <c r="C3" s="31" t="s">
        <v>56</v>
      </c>
      <c r="D3" s="31">
        <v>600</v>
      </c>
      <c r="E3" s="32">
        <f>IF(C20&lt;=25%,D20,MIN(E20:F20))</f>
        <v>0.87</v>
      </c>
      <c r="F3" s="32">
        <f>MIN(H3:H17)</f>
        <v>0.53</v>
      </c>
      <c r="G3" s="6" t="s">
        <v>82</v>
      </c>
      <c r="H3" s="16">
        <v>0.88</v>
      </c>
      <c r="I3" s="17">
        <f>IF(H3="","",(IF($C$20&lt;25%,"n/a",IF(H3&lt;=($D$20+$A$20),H3,"Descartado"))))</f>
        <v>0.88</v>
      </c>
    </row>
    <row r="4" spans="1:9" x14ac:dyDescent="0.25">
      <c r="A4" s="33"/>
      <c r="B4" s="30"/>
      <c r="C4" s="31"/>
      <c r="D4" s="31"/>
      <c r="E4" s="32"/>
      <c r="F4" s="32"/>
      <c r="G4" s="6" t="s">
        <v>93</v>
      </c>
      <c r="H4" s="16">
        <v>0.53</v>
      </c>
      <c r="I4" s="17">
        <f t="shared" ref="I4:I17" si="0">IF(H4="","",(IF($C$20&lt;25%,"n/a",IF(H4&lt;=($D$20+$A$20),H4,"Descartado"))))</f>
        <v>0.53</v>
      </c>
    </row>
    <row r="5" spans="1:9" x14ac:dyDescent="0.25">
      <c r="A5" s="33"/>
      <c r="B5" s="30"/>
      <c r="C5" s="31"/>
      <c r="D5" s="31"/>
      <c r="E5" s="32"/>
      <c r="F5" s="32"/>
      <c r="G5" s="6" t="s">
        <v>94</v>
      </c>
      <c r="H5" s="16">
        <v>1.19</v>
      </c>
      <c r="I5" s="17">
        <f t="shared" si="0"/>
        <v>1.19</v>
      </c>
    </row>
    <row r="6" spans="1:9" x14ac:dyDescent="0.25">
      <c r="A6" s="33"/>
      <c r="B6" s="30"/>
      <c r="C6" s="31"/>
      <c r="D6" s="31"/>
      <c r="E6" s="32"/>
      <c r="F6" s="32"/>
      <c r="G6" s="6" t="s">
        <v>95</v>
      </c>
      <c r="H6" s="16">
        <v>1.82</v>
      </c>
      <c r="I6" s="17" t="str">
        <f t="shared" si="0"/>
        <v>Descartado</v>
      </c>
    </row>
    <row r="7" spans="1:9" x14ac:dyDescent="0.25">
      <c r="A7" s="33"/>
      <c r="B7" s="30"/>
      <c r="C7" s="31"/>
      <c r="D7" s="31"/>
      <c r="E7" s="32"/>
      <c r="F7" s="32"/>
      <c r="G7" s="6"/>
      <c r="H7" s="16"/>
      <c r="I7" s="17" t="str">
        <f t="shared" si="0"/>
        <v/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0.54763126280372276</v>
      </c>
      <c r="B20" s="8">
        <f>COUNT(H3:H17)</f>
        <v>4</v>
      </c>
      <c r="C20" s="9">
        <f>IF(B20&lt;2,"n/a",(A20/D20))</f>
        <v>0.4933614980213718</v>
      </c>
      <c r="D20" s="10">
        <f>IFERROR(ROUND(AVERAGE(H3:H17),2),"")</f>
        <v>1.1100000000000001</v>
      </c>
      <c r="E20" s="15">
        <f>IFERROR(ROUND(IF(B20&lt;2,"n/a",(IF(C20&lt;=25%,"n/a",AVERAGE(I3:I17)))),2),"n/a")</f>
        <v>0.87</v>
      </c>
      <c r="F20" s="10">
        <f>IFERROR(ROUND(MEDIAN(H3:H17),2),"")</f>
        <v>1.04</v>
      </c>
      <c r="G20" s="11" t="str">
        <f>IFERROR(INDEX(G3:G17,MATCH(H20,H3:H17,0)),"")</f>
        <v xml:space="preserve">ISM3 SERVICOS E SOLUCOES LTDA </v>
      </c>
      <c r="H20" s="12">
        <f>F3</f>
        <v>0.53</v>
      </c>
    </row>
    <row r="22" spans="1:9" x14ac:dyDescent="0.25">
      <c r="G22" s="13" t="s">
        <v>20</v>
      </c>
      <c r="H22" s="14">
        <f>IF(C20&lt;=25%,D20,MIN(E20:F20))</f>
        <v>0.87</v>
      </c>
    </row>
    <row r="23" spans="1:9" x14ac:dyDescent="0.25">
      <c r="G23" s="13" t="s">
        <v>6</v>
      </c>
      <c r="H23" s="14">
        <f>ROUND(H22,2)*D3</f>
        <v>522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14</v>
      </c>
      <c r="B3" s="29" t="s">
        <v>58</v>
      </c>
      <c r="C3" s="31" t="s">
        <v>56</v>
      </c>
      <c r="D3" s="31">
        <v>200</v>
      </c>
      <c r="E3" s="32">
        <f>IF(C20&lt;=25%,D20,MIN(E20:F20))</f>
        <v>5.43</v>
      </c>
      <c r="F3" s="32">
        <f>MIN(H3:H17)</f>
        <v>3.47</v>
      </c>
      <c r="G3" s="6" t="s">
        <v>83</v>
      </c>
      <c r="H3" s="16">
        <v>5.5</v>
      </c>
      <c r="I3" s="17" t="str">
        <f>IF(H3="","",(IF($C$20&lt;25%,"n/a",IF(H3&lt;=($D$20+$A$20),H3,"Descartado"))))</f>
        <v>n/a</v>
      </c>
    </row>
    <row r="4" spans="1:9" x14ac:dyDescent="0.25">
      <c r="A4" s="33"/>
      <c r="B4" s="30"/>
      <c r="C4" s="31"/>
      <c r="D4" s="31"/>
      <c r="E4" s="32"/>
      <c r="F4" s="32"/>
      <c r="G4" s="6" t="s">
        <v>80</v>
      </c>
      <c r="H4" s="16">
        <v>5.74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3"/>
      <c r="B5" s="30"/>
      <c r="C5" s="31"/>
      <c r="D5" s="31"/>
      <c r="E5" s="32"/>
      <c r="F5" s="32"/>
      <c r="G5" s="6" t="s">
        <v>84</v>
      </c>
      <c r="H5" s="16">
        <v>5.99</v>
      </c>
      <c r="I5" s="17" t="str">
        <f t="shared" si="0"/>
        <v>n/a</v>
      </c>
    </row>
    <row r="6" spans="1:9" x14ac:dyDescent="0.25">
      <c r="A6" s="33"/>
      <c r="B6" s="30"/>
      <c r="C6" s="31"/>
      <c r="D6" s="31"/>
      <c r="E6" s="32"/>
      <c r="F6" s="32"/>
      <c r="G6" s="6" t="s">
        <v>85</v>
      </c>
      <c r="H6" s="16">
        <v>6.47</v>
      </c>
      <c r="I6" s="17" t="str">
        <f t="shared" si="0"/>
        <v>n/a</v>
      </c>
    </row>
    <row r="7" spans="1:9" x14ac:dyDescent="0.25">
      <c r="A7" s="33"/>
      <c r="B7" s="30"/>
      <c r="C7" s="31"/>
      <c r="D7" s="31"/>
      <c r="E7" s="32"/>
      <c r="F7" s="32"/>
      <c r="G7" s="6" t="s">
        <v>86</v>
      </c>
      <c r="H7" s="16">
        <v>3.47</v>
      </c>
      <c r="I7" s="17" t="str">
        <f t="shared" si="0"/>
        <v>n/a</v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1.1551753113705316</v>
      </c>
      <c r="B20" s="8">
        <f>COUNT(H3:H17)</f>
        <v>5</v>
      </c>
      <c r="C20" s="9">
        <f>IF(B20&lt;2,"n/a",(A20/D20))</f>
        <v>0.21273946802403898</v>
      </c>
      <c r="D20" s="10">
        <f>IFERROR(ROUND(AVERAGE(H3:H17),2),"")</f>
        <v>5.43</v>
      </c>
      <c r="E20" s="15" t="str">
        <f>IFERROR(ROUND(IF(B20&lt;2,"n/a",(IF(C20&lt;=25%,"n/a",AVERAGE(I3:I17)))),2),"n/a")</f>
        <v>n/a</v>
      </c>
      <c r="F20" s="10">
        <f>IFERROR(ROUND(MEDIAN(H3:H17),2),"")</f>
        <v>5.74</v>
      </c>
      <c r="G20" s="11" t="str">
        <f>IFERROR(INDEX(G3:G17,MATCH(H20,H3:H17,0)),"")</f>
        <v>ALIMENTEX DISTRIBUIDORA LTDA</v>
      </c>
      <c r="H20" s="12">
        <f>F3</f>
        <v>3.47</v>
      </c>
    </row>
    <row r="22" spans="1:9" x14ac:dyDescent="0.25">
      <c r="G22" s="13" t="s">
        <v>20</v>
      </c>
      <c r="H22" s="14">
        <f>IF(C20&lt;=25%,D20,MIN(E20:F20))</f>
        <v>5.43</v>
      </c>
    </row>
    <row r="23" spans="1:9" x14ac:dyDescent="0.25">
      <c r="G23" s="13" t="s">
        <v>6</v>
      </c>
      <c r="H23" s="14">
        <f>ROUND(H22,2)*D3</f>
        <v>1086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15</v>
      </c>
      <c r="B3" s="29" t="s">
        <v>59</v>
      </c>
      <c r="C3" s="31" t="s">
        <v>56</v>
      </c>
      <c r="D3" s="31">
        <v>300</v>
      </c>
      <c r="E3" s="32">
        <f>IF(C20&lt;=25%,D20,MIN(E20:F20))</f>
        <v>3.07</v>
      </c>
      <c r="F3" s="32">
        <f>MIN(H3:H17)</f>
        <v>2.39</v>
      </c>
      <c r="G3" s="6" t="s">
        <v>96</v>
      </c>
      <c r="H3" s="16">
        <v>2.9</v>
      </c>
      <c r="I3" s="17">
        <f>IF(H3="","",(IF($C$20&lt;25%,"n/a",IF(H3&lt;=($D$20+$A$20),H3,"Descartado"))))</f>
        <v>2.9</v>
      </c>
    </row>
    <row r="4" spans="1:9" x14ac:dyDescent="0.25">
      <c r="A4" s="33"/>
      <c r="B4" s="30"/>
      <c r="C4" s="31"/>
      <c r="D4" s="31"/>
      <c r="E4" s="32"/>
      <c r="F4" s="32"/>
      <c r="G4" s="6" t="s">
        <v>97</v>
      </c>
      <c r="H4" s="16">
        <v>3.9</v>
      </c>
      <c r="I4" s="17">
        <f t="shared" ref="I4:I17" si="0">IF(H4="","",(IF($C$20&lt;25%,"n/a",IF(H4&lt;=($D$20+$A$20),H4,"Descartado"))))</f>
        <v>3.9</v>
      </c>
    </row>
    <row r="5" spans="1:9" x14ac:dyDescent="0.25">
      <c r="A5" s="33"/>
      <c r="B5" s="30"/>
      <c r="C5" s="31"/>
      <c r="D5" s="31"/>
      <c r="E5" s="32"/>
      <c r="F5" s="32"/>
      <c r="G5" s="6" t="s">
        <v>98</v>
      </c>
      <c r="H5" s="16">
        <v>4.9400000000000004</v>
      </c>
      <c r="I5" s="17" t="str">
        <f t="shared" si="0"/>
        <v>Descartado</v>
      </c>
    </row>
    <row r="6" spans="1:9" x14ac:dyDescent="0.25">
      <c r="A6" s="33"/>
      <c r="B6" s="30"/>
      <c r="C6" s="31"/>
      <c r="D6" s="31"/>
      <c r="E6" s="32"/>
      <c r="F6" s="32"/>
      <c r="G6" s="6" t="s">
        <v>102</v>
      </c>
      <c r="H6" s="16">
        <v>2.39</v>
      </c>
      <c r="I6" s="17">
        <f t="shared" si="0"/>
        <v>2.39</v>
      </c>
    </row>
    <row r="7" spans="1:9" x14ac:dyDescent="0.25">
      <c r="A7" s="33"/>
      <c r="B7" s="30"/>
      <c r="C7" s="31"/>
      <c r="D7" s="31"/>
      <c r="E7" s="32"/>
      <c r="F7" s="32"/>
      <c r="G7" s="6" t="s">
        <v>103</v>
      </c>
      <c r="H7" s="16">
        <v>3.09</v>
      </c>
      <c r="I7" s="17">
        <f t="shared" si="0"/>
        <v>3.09</v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0.9972612496231873</v>
      </c>
      <c r="B20" s="8">
        <f>COUNT(H3:H17)</f>
        <v>5</v>
      </c>
      <c r="C20" s="9">
        <f>IF(B20&lt;2,"n/a",(A20/D20))</f>
        <v>0.28990152605325215</v>
      </c>
      <c r="D20" s="10">
        <f>IFERROR(ROUND(AVERAGE(H3:H17),2),"")</f>
        <v>3.44</v>
      </c>
      <c r="E20" s="15">
        <f>IFERROR(ROUND(IF(B20&lt;2,"n/a",(IF(C20&lt;=25%,"n/a",AVERAGE(I3:I17)))),2),"n/a")</f>
        <v>3.07</v>
      </c>
      <c r="F20" s="10">
        <f>IFERROR(ROUND(MEDIAN(H3:H17),2),"")</f>
        <v>3.09</v>
      </c>
      <c r="G20" s="11" t="str">
        <f>IFERROR(INDEX(G3:G17,MATCH(H20,H3:H17,0)),"")</f>
        <v>GBARBOSA</v>
      </c>
      <c r="H20" s="12">
        <f>F3</f>
        <v>2.39</v>
      </c>
    </row>
    <row r="22" spans="1:9" x14ac:dyDescent="0.25">
      <c r="G22" s="13" t="s">
        <v>20</v>
      </c>
      <c r="H22" s="14">
        <f>IF(C20&lt;=25%,D20,MIN(E20:F20))</f>
        <v>3.07</v>
      </c>
    </row>
    <row r="23" spans="1:9" x14ac:dyDescent="0.25">
      <c r="G23" s="13" t="s">
        <v>6</v>
      </c>
      <c r="H23" s="14">
        <f>ROUND(H22,2)*D3</f>
        <v>921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16</v>
      </c>
      <c r="B3" s="29" t="s">
        <v>25</v>
      </c>
      <c r="C3" s="31" t="s">
        <v>7</v>
      </c>
      <c r="D3" s="31">
        <v>85</v>
      </c>
      <c r="E3" s="32">
        <f>IF(C20&lt;=25%,D20,MIN(E20:F20))</f>
        <v>933.59</v>
      </c>
      <c r="F3" s="32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3"/>
      <c r="B4" s="30"/>
      <c r="C4" s="31"/>
      <c r="D4" s="31"/>
      <c r="E4" s="32"/>
      <c r="F4" s="32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3"/>
      <c r="B5" s="30"/>
      <c r="C5" s="31"/>
      <c r="D5" s="31"/>
      <c r="E5" s="32"/>
      <c r="F5" s="32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3"/>
      <c r="B6" s="30"/>
      <c r="C6" s="31"/>
      <c r="D6" s="31"/>
      <c r="E6" s="32"/>
      <c r="F6" s="32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3"/>
      <c r="B7" s="30"/>
      <c r="C7" s="31"/>
      <c r="D7" s="31"/>
      <c r="E7" s="32"/>
      <c r="F7" s="32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3"/>
      <c r="B8" s="30"/>
      <c r="C8" s="31"/>
      <c r="D8" s="31"/>
      <c r="E8" s="32"/>
      <c r="F8" s="32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3"/>
      <c r="B9" s="30"/>
      <c r="C9" s="31"/>
      <c r="D9" s="31"/>
      <c r="E9" s="32"/>
      <c r="F9" s="32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3"/>
      <c r="B10" s="30"/>
      <c r="C10" s="31"/>
      <c r="D10" s="31"/>
      <c r="E10" s="32"/>
      <c r="F10" s="32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3"/>
      <c r="B11" s="30"/>
      <c r="C11" s="31"/>
      <c r="D11" s="31"/>
      <c r="E11" s="32"/>
      <c r="F11" s="32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3"/>
      <c r="B12" s="30"/>
      <c r="C12" s="31"/>
      <c r="D12" s="31"/>
      <c r="E12" s="32"/>
      <c r="F12" s="32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3"/>
      <c r="B13" s="30"/>
      <c r="C13" s="31"/>
      <c r="D13" s="31"/>
      <c r="E13" s="32"/>
      <c r="F13" s="32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3"/>
      <c r="B14" s="30"/>
      <c r="C14" s="31"/>
      <c r="D14" s="31"/>
      <c r="E14" s="32"/>
      <c r="F14" s="32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3"/>
      <c r="B15" s="30"/>
      <c r="C15" s="31"/>
      <c r="D15" s="31"/>
      <c r="E15" s="32"/>
      <c r="F15" s="32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3"/>
      <c r="B16" s="30"/>
      <c r="C16" s="31"/>
      <c r="D16" s="31"/>
      <c r="E16" s="32"/>
      <c r="F16" s="32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3"/>
      <c r="B17" s="30"/>
      <c r="C17" s="31"/>
      <c r="D17" s="31"/>
      <c r="E17" s="32"/>
      <c r="F17" s="32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17</v>
      </c>
      <c r="B3" s="29" t="s">
        <v>25</v>
      </c>
      <c r="C3" s="31" t="s">
        <v>7</v>
      </c>
      <c r="D3" s="31">
        <v>85</v>
      </c>
      <c r="E3" s="32">
        <f>IF(C20&lt;=25%,D20,MIN(E20:F20))</f>
        <v>933.59</v>
      </c>
      <c r="F3" s="32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3"/>
      <c r="B4" s="30"/>
      <c r="C4" s="31"/>
      <c r="D4" s="31"/>
      <c r="E4" s="32"/>
      <c r="F4" s="32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3"/>
      <c r="B5" s="30"/>
      <c r="C5" s="31"/>
      <c r="D5" s="31"/>
      <c r="E5" s="32"/>
      <c r="F5" s="32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3"/>
      <c r="B6" s="30"/>
      <c r="C6" s="31"/>
      <c r="D6" s="31"/>
      <c r="E6" s="32"/>
      <c r="F6" s="32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3"/>
      <c r="B7" s="30"/>
      <c r="C7" s="31"/>
      <c r="D7" s="31"/>
      <c r="E7" s="32"/>
      <c r="F7" s="32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3"/>
      <c r="B8" s="30"/>
      <c r="C8" s="31"/>
      <c r="D8" s="31"/>
      <c r="E8" s="32"/>
      <c r="F8" s="32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3"/>
      <c r="B9" s="30"/>
      <c r="C9" s="31"/>
      <c r="D9" s="31"/>
      <c r="E9" s="32"/>
      <c r="F9" s="32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3"/>
      <c r="B10" s="30"/>
      <c r="C10" s="31"/>
      <c r="D10" s="31"/>
      <c r="E10" s="32"/>
      <c r="F10" s="32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3"/>
      <c r="B11" s="30"/>
      <c r="C11" s="31"/>
      <c r="D11" s="31"/>
      <c r="E11" s="32"/>
      <c r="F11" s="32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3"/>
      <c r="B12" s="30"/>
      <c r="C12" s="31"/>
      <c r="D12" s="31"/>
      <c r="E12" s="32"/>
      <c r="F12" s="32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3"/>
      <c r="B13" s="30"/>
      <c r="C13" s="31"/>
      <c r="D13" s="31"/>
      <c r="E13" s="32"/>
      <c r="F13" s="32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3"/>
      <c r="B14" s="30"/>
      <c r="C14" s="31"/>
      <c r="D14" s="31"/>
      <c r="E14" s="32"/>
      <c r="F14" s="32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3"/>
      <c r="B15" s="30"/>
      <c r="C15" s="31"/>
      <c r="D15" s="31"/>
      <c r="E15" s="32"/>
      <c r="F15" s="32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3"/>
      <c r="B16" s="30"/>
      <c r="C16" s="31"/>
      <c r="D16" s="31"/>
      <c r="E16" s="32"/>
      <c r="F16" s="32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3"/>
      <c r="B17" s="30"/>
      <c r="C17" s="31"/>
      <c r="D17" s="31"/>
      <c r="E17" s="32"/>
      <c r="F17" s="32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18</v>
      </c>
      <c r="B3" s="29" t="s">
        <v>25</v>
      </c>
      <c r="C3" s="31" t="s">
        <v>7</v>
      </c>
      <c r="D3" s="31">
        <v>85</v>
      </c>
      <c r="E3" s="32">
        <f>IF(C20&lt;=25%,D20,MIN(E20:F20))</f>
        <v>933.59</v>
      </c>
      <c r="F3" s="32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3"/>
      <c r="B4" s="30"/>
      <c r="C4" s="31"/>
      <c r="D4" s="31"/>
      <c r="E4" s="32"/>
      <c r="F4" s="32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3"/>
      <c r="B5" s="30"/>
      <c r="C5" s="31"/>
      <c r="D5" s="31"/>
      <c r="E5" s="32"/>
      <c r="F5" s="32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3"/>
      <c r="B6" s="30"/>
      <c r="C6" s="31"/>
      <c r="D6" s="31"/>
      <c r="E6" s="32"/>
      <c r="F6" s="32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3"/>
      <c r="B7" s="30"/>
      <c r="C7" s="31"/>
      <c r="D7" s="31"/>
      <c r="E7" s="32"/>
      <c r="F7" s="32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3"/>
      <c r="B8" s="30"/>
      <c r="C8" s="31"/>
      <c r="D8" s="31"/>
      <c r="E8" s="32"/>
      <c r="F8" s="32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3"/>
      <c r="B9" s="30"/>
      <c r="C9" s="31"/>
      <c r="D9" s="31"/>
      <c r="E9" s="32"/>
      <c r="F9" s="32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3"/>
      <c r="B10" s="30"/>
      <c r="C10" s="31"/>
      <c r="D10" s="31"/>
      <c r="E10" s="32"/>
      <c r="F10" s="32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3"/>
      <c r="B11" s="30"/>
      <c r="C11" s="31"/>
      <c r="D11" s="31"/>
      <c r="E11" s="32"/>
      <c r="F11" s="32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3"/>
      <c r="B12" s="30"/>
      <c r="C12" s="31"/>
      <c r="D12" s="31"/>
      <c r="E12" s="32"/>
      <c r="F12" s="32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3"/>
      <c r="B13" s="30"/>
      <c r="C13" s="31"/>
      <c r="D13" s="31"/>
      <c r="E13" s="32"/>
      <c r="F13" s="32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3"/>
      <c r="B14" s="30"/>
      <c r="C14" s="31"/>
      <c r="D14" s="31"/>
      <c r="E14" s="32"/>
      <c r="F14" s="32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3"/>
      <c r="B15" s="30"/>
      <c r="C15" s="31"/>
      <c r="D15" s="31"/>
      <c r="E15" s="32"/>
      <c r="F15" s="32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3"/>
      <c r="B16" s="30"/>
      <c r="C16" s="31"/>
      <c r="D16" s="31"/>
      <c r="E16" s="32"/>
      <c r="F16" s="32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3"/>
      <c r="B17" s="30"/>
      <c r="C17" s="31"/>
      <c r="D17" s="31"/>
      <c r="E17" s="32"/>
      <c r="F17" s="32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19</v>
      </c>
      <c r="B3" s="29" t="s">
        <v>25</v>
      </c>
      <c r="C3" s="31" t="s">
        <v>7</v>
      </c>
      <c r="D3" s="31">
        <v>85</v>
      </c>
      <c r="E3" s="32">
        <f>IF(C20&lt;=25%,D20,MIN(E20:F20))</f>
        <v>933.59</v>
      </c>
      <c r="F3" s="32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3"/>
      <c r="B4" s="30"/>
      <c r="C4" s="31"/>
      <c r="D4" s="31"/>
      <c r="E4" s="32"/>
      <c r="F4" s="32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3"/>
      <c r="B5" s="30"/>
      <c r="C5" s="31"/>
      <c r="D5" s="31"/>
      <c r="E5" s="32"/>
      <c r="F5" s="32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3"/>
      <c r="B6" s="30"/>
      <c r="C6" s="31"/>
      <c r="D6" s="31"/>
      <c r="E6" s="32"/>
      <c r="F6" s="32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3"/>
      <c r="B7" s="30"/>
      <c r="C7" s="31"/>
      <c r="D7" s="31"/>
      <c r="E7" s="32"/>
      <c r="F7" s="32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3"/>
      <c r="B8" s="30"/>
      <c r="C8" s="31"/>
      <c r="D8" s="31"/>
      <c r="E8" s="32"/>
      <c r="F8" s="32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3"/>
      <c r="B9" s="30"/>
      <c r="C9" s="31"/>
      <c r="D9" s="31"/>
      <c r="E9" s="32"/>
      <c r="F9" s="32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3"/>
      <c r="B10" s="30"/>
      <c r="C10" s="31"/>
      <c r="D10" s="31"/>
      <c r="E10" s="32"/>
      <c r="F10" s="32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3"/>
      <c r="B11" s="30"/>
      <c r="C11" s="31"/>
      <c r="D11" s="31"/>
      <c r="E11" s="32"/>
      <c r="F11" s="32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3"/>
      <c r="B12" s="30"/>
      <c r="C12" s="31"/>
      <c r="D12" s="31"/>
      <c r="E12" s="32"/>
      <c r="F12" s="32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3"/>
      <c r="B13" s="30"/>
      <c r="C13" s="31"/>
      <c r="D13" s="31"/>
      <c r="E13" s="32"/>
      <c r="F13" s="32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3"/>
      <c r="B14" s="30"/>
      <c r="C14" s="31"/>
      <c r="D14" s="31"/>
      <c r="E14" s="32"/>
      <c r="F14" s="32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3"/>
      <c r="B15" s="30"/>
      <c r="C15" s="31"/>
      <c r="D15" s="31"/>
      <c r="E15" s="32"/>
      <c r="F15" s="32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3"/>
      <c r="B16" s="30"/>
      <c r="C16" s="31"/>
      <c r="D16" s="31"/>
      <c r="E16" s="32"/>
      <c r="F16" s="32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3"/>
      <c r="B17" s="30"/>
      <c r="C17" s="31"/>
      <c r="D17" s="31"/>
      <c r="E17" s="32"/>
      <c r="F17" s="32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2</v>
      </c>
      <c r="B3" s="29" t="s">
        <v>105</v>
      </c>
      <c r="C3" s="31" t="s">
        <v>7</v>
      </c>
      <c r="D3" s="31">
        <f>40+8</f>
        <v>48</v>
      </c>
      <c r="E3" s="32">
        <f>IF(C20&lt;=25%,D20,MIN(E20:F20))</f>
        <v>1400</v>
      </c>
      <c r="F3" s="32">
        <f>MIN(H3:H17)</f>
        <v>1289.99</v>
      </c>
      <c r="G3" s="6" t="s">
        <v>116</v>
      </c>
      <c r="H3" s="16">
        <v>1510</v>
      </c>
      <c r="I3" s="17">
        <f>IF(H3="","",(IF($C$20&lt;25%,"n/a",IF(H3&lt;=($D$20+$A$20),H3,"Descartado"))))</f>
        <v>1510</v>
      </c>
    </row>
    <row r="4" spans="1:9" x14ac:dyDescent="0.25">
      <c r="A4" s="33"/>
      <c r="B4" s="30"/>
      <c r="C4" s="31"/>
      <c r="D4" s="31"/>
      <c r="E4" s="32"/>
      <c r="F4" s="32"/>
      <c r="G4" s="6" t="s">
        <v>117</v>
      </c>
      <c r="H4" s="16">
        <v>2748.75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3"/>
      <c r="B5" s="30"/>
      <c r="C5" s="31"/>
      <c r="D5" s="31"/>
      <c r="E5" s="32"/>
      <c r="F5" s="32"/>
      <c r="G5" s="6" t="s">
        <v>128</v>
      </c>
      <c r="H5" s="16">
        <v>1289.99</v>
      </c>
      <c r="I5" s="17">
        <f t="shared" si="0"/>
        <v>1289.99</v>
      </c>
    </row>
    <row r="6" spans="1:9" x14ac:dyDescent="0.25">
      <c r="A6" s="33"/>
      <c r="B6" s="30"/>
      <c r="C6" s="31"/>
      <c r="D6" s="31"/>
      <c r="E6" s="32"/>
      <c r="F6" s="32"/>
      <c r="G6" s="6"/>
      <c r="H6" s="16"/>
      <c r="I6" s="17" t="str">
        <f t="shared" si="0"/>
        <v/>
      </c>
    </row>
    <row r="7" spans="1:9" x14ac:dyDescent="0.25">
      <c r="A7" s="33"/>
      <c r="B7" s="30"/>
      <c r="C7" s="31"/>
      <c r="D7" s="31"/>
      <c r="E7" s="32"/>
      <c r="F7" s="32"/>
      <c r="G7" s="6"/>
      <c r="H7" s="16"/>
      <c r="I7" s="17" t="str">
        <f t="shared" si="0"/>
        <v/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786.43570411064184</v>
      </c>
      <c r="B20" s="8">
        <f>COUNT(H3:H17)</f>
        <v>3</v>
      </c>
      <c r="C20" s="9">
        <f>IF(B20&lt;2,"n/a",(A20/D20))</f>
        <v>0.42519691179113195</v>
      </c>
      <c r="D20" s="10">
        <f>IFERROR(ROUND(AVERAGE(H3:H17),2),"")</f>
        <v>1849.58</v>
      </c>
      <c r="E20" s="15">
        <f>IFERROR(ROUND(IF(B20&lt;2,"n/a",(IF(C20&lt;=25%,"n/a",AVERAGE(I3:I17)))),2),"n/a")</f>
        <v>1400</v>
      </c>
      <c r="F20" s="10">
        <f>IFERROR(ROUND(MEDIAN(H3:H17),2),"")</f>
        <v>1510</v>
      </c>
      <c r="G20" s="11" t="str">
        <f>IFERROR(INDEX(G3:G17,MATCH(H20,H3:H17,0)),"")</f>
        <v>FERRAMENTAS KENNEDY</v>
      </c>
      <c r="H20" s="12">
        <f>F3</f>
        <v>1289.99</v>
      </c>
    </row>
    <row r="22" spans="1:9" x14ac:dyDescent="0.25">
      <c r="G22" s="13" t="s">
        <v>20</v>
      </c>
      <c r="H22" s="14">
        <f>IF(C20&lt;=25%,D20,MIN(E20:F20))</f>
        <v>1400</v>
      </c>
    </row>
    <row r="23" spans="1:9" x14ac:dyDescent="0.25">
      <c r="G23" s="13" t="s">
        <v>6</v>
      </c>
      <c r="H23" s="14">
        <f>ROUND(H22,2)*D3</f>
        <v>67200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A18" sqref="A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20</v>
      </c>
      <c r="B3" s="29" t="s">
        <v>25</v>
      </c>
      <c r="C3" s="31" t="s">
        <v>7</v>
      </c>
      <c r="D3" s="31">
        <v>85</v>
      </c>
      <c r="E3" s="32">
        <f>IF(C20&lt;=25%,D20,MIN(E20:F20))</f>
        <v>933.59</v>
      </c>
      <c r="F3" s="32">
        <f>MIN(H3:H17)</f>
        <v>500</v>
      </c>
      <c r="G3" s="6" t="s">
        <v>26</v>
      </c>
      <c r="H3" s="16">
        <v>992.55</v>
      </c>
      <c r="I3" s="17">
        <f>IF(H3="","",(IF($C$20&lt;25%,"n/a",IF(H3&lt;=($D$20+$A$20),H3,"Descartado"))))</f>
        <v>992.55</v>
      </c>
    </row>
    <row r="4" spans="1:9" x14ac:dyDescent="0.25">
      <c r="A4" s="33"/>
      <c r="B4" s="30"/>
      <c r="C4" s="31"/>
      <c r="D4" s="31"/>
      <c r="E4" s="32"/>
      <c r="F4" s="32"/>
      <c r="G4" s="6" t="s">
        <v>27</v>
      </c>
      <c r="H4" s="16">
        <v>1169.99</v>
      </c>
      <c r="I4" s="17">
        <f t="shared" ref="I4:I17" si="0">IF(H4="","",(IF($C$20&lt;25%,"n/a",IF(H4&lt;=($D$20+$A$20),H4,"Descartado"))))</f>
        <v>1169.99</v>
      </c>
    </row>
    <row r="5" spans="1:9" x14ac:dyDescent="0.25">
      <c r="A5" s="33"/>
      <c r="B5" s="30"/>
      <c r="C5" s="31"/>
      <c r="D5" s="31"/>
      <c r="E5" s="32"/>
      <c r="F5" s="32"/>
      <c r="G5" s="6" t="s">
        <v>28</v>
      </c>
      <c r="H5" s="16">
        <v>919.99</v>
      </c>
      <c r="I5" s="17">
        <f t="shared" si="0"/>
        <v>919.99</v>
      </c>
    </row>
    <row r="6" spans="1:9" x14ac:dyDescent="0.25">
      <c r="A6" s="33"/>
      <c r="B6" s="30"/>
      <c r="C6" s="31"/>
      <c r="D6" s="31"/>
      <c r="E6" s="32"/>
      <c r="F6" s="32"/>
      <c r="G6" s="6" t="s">
        <v>29</v>
      </c>
      <c r="H6" s="16">
        <v>997.88</v>
      </c>
      <c r="I6" s="17">
        <f t="shared" si="0"/>
        <v>997.88</v>
      </c>
    </row>
    <row r="7" spans="1:9" x14ac:dyDescent="0.25">
      <c r="A7" s="33"/>
      <c r="B7" s="30"/>
      <c r="C7" s="31"/>
      <c r="D7" s="31"/>
      <c r="E7" s="32"/>
      <c r="F7" s="32"/>
      <c r="G7" s="6" t="s">
        <v>30</v>
      </c>
      <c r="H7" s="16">
        <v>1100</v>
      </c>
      <c r="I7" s="17">
        <f t="shared" si="0"/>
        <v>1100</v>
      </c>
    </row>
    <row r="8" spans="1:9" x14ac:dyDescent="0.25">
      <c r="A8" s="33"/>
      <c r="B8" s="30"/>
      <c r="C8" s="31"/>
      <c r="D8" s="31"/>
      <c r="E8" s="32"/>
      <c r="F8" s="32"/>
      <c r="G8" s="6" t="s">
        <v>31</v>
      </c>
      <c r="H8" s="16">
        <v>3950</v>
      </c>
      <c r="I8" s="17" t="str">
        <f t="shared" si="0"/>
        <v>Descartado</v>
      </c>
    </row>
    <row r="9" spans="1:9" x14ac:dyDescent="0.25">
      <c r="A9" s="33"/>
      <c r="B9" s="30"/>
      <c r="C9" s="31"/>
      <c r="D9" s="31"/>
      <c r="E9" s="32"/>
      <c r="F9" s="32"/>
      <c r="G9" s="6" t="s">
        <v>32</v>
      </c>
      <c r="H9" s="16">
        <v>1085</v>
      </c>
      <c r="I9" s="17">
        <f t="shared" si="0"/>
        <v>1085</v>
      </c>
    </row>
    <row r="10" spans="1:9" x14ac:dyDescent="0.25">
      <c r="A10" s="33"/>
      <c r="B10" s="30"/>
      <c r="C10" s="31"/>
      <c r="D10" s="31"/>
      <c r="E10" s="32"/>
      <c r="F10" s="32"/>
      <c r="G10" s="6" t="s">
        <v>33</v>
      </c>
      <c r="H10" s="16">
        <v>757.82</v>
      </c>
      <c r="I10" s="17">
        <f t="shared" si="0"/>
        <v>757.82</v>
      </c>
    </row>
    <row r="11" spans="1:9" x14ac:dyDescent="0.25">
      <c r="A11" s="33"/>
      <c r="B11" s="30"/>
      <c r="C11" s="31"/>
      <c r="D11" s="31"/>
      <c r="E11" s="32"/>
      <c r="F11" s="32"/>
      <c r="G11" s="6" t="s">
        <v>34</v>
      </c>
      <c r="H11" s="16">
        <v>1159.55</v>
      </c>
      <c r="I11" s="17">
        <f t="shared" si="0"/>
        <v>1159.55</v>
      </c>
    </row>
    <row r="12" spans="1:9" x14ac:dyDescent="0.25">
      <c r="A12" s="33"/>
      <c r="B12" s="30"/>
      <c r="C12" s="31"/>
      <c r="D12" s="31"/>
      <c r="E12" s="32"/>
      <c r="F12" s="32"/>
      <c r="G12" s="6" t="s">
        <v>35</v>
      </c>
      <c r="H12" s="16">
        <v>1049.99</v>
      </c>
      <c r="I12" s="17">
        <f t="shared" si="0"/>
        <v>1049.99</v>
      </c>
    </row>
    <row r="13" spans="1:9" x14ac:dyDescent="0.25">
      <c r="A13" s="33"/>
      <c r="B13" s="30"/>
      <c r="C13" s="31"/>
      <c r="D13" s="31"/>
      <c r="E13" s="32"/>
      <c r="F13" s="32"/>
      <c r="G13" s="6" t="s">
        <v>36</v>
      </c>
      <c r="H13" s="16">
        <v>1125.57</v>
      </c>
      <c r="I13" s="17">
        <f t="shared" si="0"/>
        <v>1125.57</v>
      </c>
    </row>
    <row r="14" spans="1:9" x14ac:dyDescent="0.25">
      <c r="A14" s="33"/>
      <c r="B14" s="30"/>
      <c r="C14" s="31"/>
      <c r="D14" s="31"/>
      <c r="E14" s="32"/>
      <c r="F14" s="32"/>
      <c r="G14" s="6" t="s">
        <v>37</v>
      </c>
      <c r="H14" s="16">
        <v>936.36</v>
      </c>
      <c r="I14" s="17">
        <f t="shared" si="0"/>
        <v>936.36</v>
      </c>
    </row>
    <row r="15" spans="1:9" x14ac:dyDescent="0.25">
      <c r="A15" s="33"/>
      <c r="B15" s="30"/>
      <c r="C15" s="31"/>
      <c r="D15" s="31"/>
      <c r="E15" s="32"/>
      <c r="F15" s="32"/>
      <c r="G15" s="6" t="s">
        <v>38</v>
      </c>
      <c r="H15" s="16">
        <v>565.54</v>
      </c>
      <c r="I15" s="17">
        <f t="shared" si="0"/>
        <v>565.54</v>
      </c>
    </row>
    <row r="16" spans="1:9" x14ac:dyDescent="0.25">
      <c r="A16" s="33"/>
      <c r="B16" s="30"/>
      <c r="C16" s="31"/>
      <c r="D16" s="31"/>
      <c r="E16" s="32"/>
      <c r="F16" s="32"/>
      <c r="G16" s="6" t="s">
        <v>39</v>
      </c>
      <c r="H16" s="16">
        <v>500</v>
      </c>
      <c r="I16" s="17">
        <f t="shared" si="0"/>
        <v>500</v>
      </c>
    </row>
    <row r="17" spans="1:9" x14ac:dyDescent="0.25">
      <c r="A17" s="33"/>
      <c r="B17" s="30"/>
      <c r="C17" s="31"/>
      <c r="D17" s="31"/>
      <c r="E17" s="32"/>
      <c r="F17" s="32"/>
      <c r="G17" s="6" t="s">
        <v>40</v>
      </c>
      <c r="H17" s="16">
        <v>710</v>
      </c>
      <c r="I17" s="17">
        <f t="shared" si="0"/>
        <v>710</v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806.76920082925039</v>
      </c>
      <c r="B20" s="8">
        <f>COUNT(H3:H17)</f>
        <v>15</v>
      </c>
      <c r="C20" s="9">
        <f>IF(B20&lt;2,"n/a",(A20/D20))</f>
        <v>0.71101032963412625</v>
      </c>
      <c r="D20" s="10">
        <f>IFERROR(ROUND(AVERAGE(H3:H17),2),"")</f>
        <v>1134.68</v>
      </c>
      <c r="E20" s="15">
        <f>IFERROR(ROUND(IF(B20&lt;2,"n/a",(IF(C20&lt;=25%,"n/a",AVERAGE(I3:I17)))),2),"n/a")</f>
        <v>933.59</v>
      </c>
      <c r="F20" s="10">
        <f>IFERROR(ROUND(MEDIAN(H3:H17),2),"")</f>
        <v>997.88</v>
      </c>
      <c r="G20" s="11" t="str">
        <f>IFERROR(INDEX(G3:G17,MATCH(H20,H3:H17,0)),"")</f>
        <v>MEDISUL COMERCIO DE MERCADORIAS E REPRESENTACOES EIRELI</v>
      </c>
      <c r="H20" s="12">
        <f>F3</f>
        <v>500</v>
      </c>
    </row>
    <row r="22" spans="1:9" x14ac:dyDescent="0.25">
      <c r="G22" s="13" t="s">
        <v>20</v>
      </c>
      <c r="H22" s="14">
        <f>IF(C20&lt;=25%,D20,MIN(E20:F20))</f>
        <v>933.59</v>
      </c>
    </row>
    <row r="23" spans="1:9" x14ac:dyDescent="0.25">
      <c r="G23" s="13" t="s">
        <v>6</v>
      </c>
      <c r="H23" s="14">
        <f>ROUND(H22,2)*D3</f>
        <v>79355.150000000009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view="pageBreakPreview" zoomScaleNormal="100" zoomScaleSheetLayoutView="100" workbookViewId="0">
      <selection activeCell="H3" sqref="H3"/>
    </sheetView>
  </sheetViews>
  <sheetFormatPr defaultRowHeight="15" x14ac:dyDescent="0.25"/>
  <cols>
    <col min="1" max="2" width="6.7109375" style="1" customWidth="1"/>
    <col min="3" max="3" width="36.7109375" style="5" customWidth="1"/>
    <col min="4" max="4" width="12.7109375" style="1" customWidth="1"/>
    <col min="5" max="5" width="9.28515625" style="1" bestFit="1" customWidth="1"/>
    <col min="6" max="7" width="9.28515625" style="1" customWidth="1"/>
    <col min="8" max="9" width="15.7109375" style="1" customWidth="1"/>
    <col min="10" max="16384" width="9.140625" style="1"/>
  </cols>
  <sheetData>
    <row r="1" spans="1:9" ht="15.75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</row>
    <row r="2" spans="1:9" ht="24" x14ac:dyDescent="0.25">
      <c r="A2" s="25" t="s">
        <v>45</v>
      </c>
      <c r="B2" s="25" t="s">
        <v>1</v>
      </c>
      <c r="C2" s="25" t="s">
        <v>2</v>
      </c>
      <c r="D2" s="25" t="s">
        <v>3</v>
      </c>
      <c r="E2" s="25" t="s">
        <v>110</v>
      </c>
      <c r="F2" s="26" t="s">
        <v>111</v>
      </c>
      <c r="G2" s="26" t="s">
        <v>112</v>
      </c>
      <c r="H2" s="25" t="s">
        <v>5</v>
      </c>
      <c r="I2" s="25" t="s">
        <v>46</v>
      </c>
    </row>
    <row r="3" spans="1:9" ht="165" x14ac:dyDescent="0.25">
      <c r="A3" s="22" t="s">
        <v>87</v>
      </c>
      <c r="B3" s="22">
        <f>Item1!A3</f>
        <v>1</v>
      </c>
      <c r="C3" s="24" t="str">
        <f>Item1!B3</f>
        <v>CARRO ARMAZÉM, seguintes características:
• Estrutura tubular em aço;
• Comprimento mínimo: 320 mm;
• Profundidade mínima: 250 mm;
• Altura mínima: 1.250 mm;
• Capacidade mínima de carga: 300 kg;
• Rodas de borracha maciça, com diâmetro mínimo de 8 (oito)polegadas;
• Garantia minima 6 meses.</v>
      </c>
      <c r="D3" s="22" t="str">
        <f>Item1!C3</f>
        <v>unidade</v>
      </c>
      <c r="E3" s="35">
        <f>Item1!D3</f>
        <v>52</v>
      </c>
      <c r="F3" s="35">
        <v>40</v>
      </c>
      <c r="G3" s="35">
        <f>E3-F3</f>
        <v>12</v>
      </c>
      <c r="H3" s="23">
        <f>Item1!E3</f>
        <v>522.30999999999995</v>
      </c>
      <c r="I3" s="23">
        <f>ROUND((E3*H3),2)</f>
        <v>27160.12</v>
      </c>
    </row>
    <row r="4" spans="1:9" ht="210" x14ac:dyDescent="0.25">
      <c r="A4" s="22" t="s">
        <v>87</v>
      </c>
      <c r="B4" s="22">
        <f>Item2!A3</f>
        <v>2</v>
      </c>
      <c r="C4" s="24" t="str">
        <f>Item2!B3</f>
        <v>CARRO PLATAFORMA, com as seguintes características:
• Assoalho em aço ou madeira de lei.
• Capacidade mínima de carga: 600 kg;
• 2 rodas fixas e 2 rodas giratórias;
• Cabo de tração em forma de “T” com articulação e com altura mínima de 800 mm.
• 4 rodas de borracha maciça, com diâmetro mínimo de 6 polegadas;
• Comprimento: 1.000 a 1600 mm;
• Largura:  600 a 900 mm;
• Garantia minima 6 meses.</v>
      </c>
      <c r="D4" s="22" t="str">
        <f>Item2!C3</f>
        <v>unidade</v>
      </c>
      <c r="E4" s="35">
        <f>Item2!D3</f>
        <v>48</v>
      </c>
      <c r="F4" s="35">
        <v>40</v>
      </c>
      <c r="G4" s="35">
        <f t="shared" ref="G4:G8" si="0">E4-F4</f>
        <v>8</v>
      </c>
      <c r="H4" s="23">
        <f>Item2!E3</f>
        <v>1400</v>
      </c>
      <c r="I4" s="23">
        <f>ROUND((E4*H4),2)</f>
        <v>67200</v>
      </c>
    </row>
    <row r="5" spans="1:9" ht="195" x14ac:dyDescent="0.25">
      <c r="A5" s="22" t="s">
        <v>87</v>
      </c>
      <c r="B5" s="22">
        <f>Item3!A3</f>
        <v>3</v>
      </c>
      <c r="C5" s="24" t="str">
        <f>Item3!B3</f>
        <v>CARRINHO DE TRANSPORTE, com as
seguintes características:
• Tipo supermercado;
• Composto de única cesta, com estrutura em arame galvanizado ou zincado;
• Capacidade mínima de carga de 140 litros;
• Quatro rodas em material termoplástico;
• Acabamento cinza
• Garantia minima 6 meses.</v>
      </c>
      <c r="D5" s="22" t="str">
        <f>Item3!C3</f>
        <v>unidade</v>
      </c>
      <c r="E5" s="35">
        <f>Item3!D3</f>
        <v>20</v>
      </c>
      <c r="F5" s="35">
        <v>20</v>
      </c>
      <c r="G5" s="35">
        <f t="shared" si="0"/>
        <v>0</v>
      </c>
      <c r="H5" s="23">
        <f>Item3!E3</f>
        <v>814.67</v>
      </c>
      <c r="I5" s="23">
        <f>ROUND((E5*H5),2)</f>
        <v>16293.4</v>
      </c>
    </row>
    <row r="6" spans="1:9" ht="225" x14ac:dyDescent="0.25">
      <c r="A6" s="22" t="s">
        <v>87</v>
      </c>
      <c r="B6" s="22">
        <f>Item4!A3</f>
        <v>4</v>
      </c>
      <c r="C6" s="24" t="str">
        <f>Item4!B3</f>
        <v>TRANSPALETE HIDRÁULICA MANUAL,
com as seguintes características:
• Capacidade mínima de carga: 3.000 kg;
• Largura útil mínima dos garfos: 650 mm;
• Comprimento útil mínimo dos garfos: 1.150 mm;
• Altura dos garfos:
Abaixados: igual ou inferior a 85 mm; Elevados: igual ou superior a 180 mm;
• Rodas em nylon;
• Rodagem ‘tandem’;
• Garantia mínima 6 meses.</v>
      </c>
      <c r="D6" s="22" t="str">
        <f>Item4!C3</f>
        <v>unidade</v>
      </c>
      <c r="E6" s="35">
        <f>Item4!D3</f>
        <v>46</v>
      </c>
      <c r="F6" s="35">
        <v>40</v>
      </c>
      <c r="G6" s="35">
        <f t="shared" si="0"/>
        <v>6</v>
      </c>
      <c r="H6" s="23">
        <f>Item4!E3</f>
        <v>2534</v>
      </c>
      <c r="I6" s="23">
        <f>ROUND((E6*H6),2)</f>
        <v>116564</v>
      </c>
    </row>
    <row r="7" spans="1:9" ht="409.5" x14ac:dyDescent="0.25">
      <c r="A7" s="22" t="s">
        <v>87</v>
      </c>
      <c r="B7" s="22">
        <f>Item5!A3</f>
        <v>5</v>
      </c>
      <c r="C7" s="24" t="str">
        <f>Item5!B3</f>
        <v>CONTENTOR DE 1000 LITROS SEM PEDAL com as seguintes especificações:
•         Corpo em polietileno de alta densidade (PEAD), com proteção UV;
•         Volume nominal: 1.000 litros;
•         Capacidade mínima de carga: 400 kg;
•         Altura máxima: 1.470 mm;
•         Superfícies externas e internas polidas e cantos arredondados;
•         Tampa articulada ao próprio corpo;
•         4 rodízios com diâmetro mínimo de 200 mm e bandas de borracha maciça,
•         Trava de segurança para estacionamento em duas rodas, no mínimo;
•         Pegas laterais e munhões;
•         Dreno no fundo para escoamento de líquidos;
•         Fabricado conforme as normas da ABNT 15911-3 ou DIN EN 840.
•         Cor: amarelo,azul, vermelho ou cinza, conforme cada pedido, de acordo com a Resolução Conama n.º 275/200 ou posterior;
•         Identificação gráfica frontal do tipo de material;
• Garantia mínima 6 meses.</v>
      </c>
      <c r="D7" s="22" t="str">
        <f>Item5!C3</f>
        <v>unidade</v>
      </c>
      <c r="E7" s="35">
        <f>Item5!D3</f>
        <v>32</v>
      </c>
      <c r="F7" s="35">
        <v>20</v>
      </c>
      <c r="G7" s="35">
        <f t="shared" si="0"/>
        <v>12</v>
      </c>
      <c r="H7" s="23">
        <f>Item5!E3</f>
        <v>1639.17</v>
      </c>
      <c r="I7" s="23">
        <f>ROUND((E7*H7),2)</f>
        <v>52453.440000000002</v>
      </c>
    </row>
    <row r="8" spans="1:9" ht="180" x14ac:dyDescent="0.25">
      <c r="A8" s="22" t="s">
        <v>87</v>
      </c>
      <c r="B8" s="22">
        <f>Item6!A3</f>
        <v>6</v>
      </c>
      <c r="C8" s="24" t="str">
        <f>Item6!B3</f>
        <v>CARRINHO DE TRANSPORTE, com as seguintes características:
• Tipo supermercado;
• Composto duas cestas, com estrutura em arame galvanizado ou zincado;
• Capacidade mínima de carga de 90 litros;
• Quatro rodas em material termoplástico;
• Acabamento cinza
• Garantia mínima 6 meses.</v>
      </c>
      <c r="D8" s="22" t="str">
        <f>Item6!C3</f>
        <v>unidade</v>
      </c>
      <c r="E8" s="35">
        <f>Item6!D3</f>
        <v>10</v>
      </c>
      <c r="F8" s="35">
        <v>10</v>
      </c>
      <c r="G8" s="35">
        <f t="shared" si="0"/>
        <v>0</v>
      </c>
      <c r="H8" s="23">
        <f>Item6!E3</f>
        <v>590.85</v>
      </c>
      <c r="I8" s="23">
        <f>ROUND((E8*H8),2)</f>
        <v>5908.5</v>
      </c>
    </row>
    <row r="9" spans="1:9" ht="15.75" thickBot="1" x14ac:dyDescent="0.3"/>
    <row r="10" spans="1:9" ht="16.5" thickTop="1" thickBot="1" x14ac:dyDescent="0.3">
      <c r="D10" s="19"/>
      <c r="E10" s="20" t="s">
        <v>47</v>
      </c>
      <c r="F10" s="20"/>
      <c r="G10" s="20"/>
      <c r="H10" s="21">
        <f>SUM(I:I)</f>
        <v>285579.45999999996</v>
      </c>
    </row>
    <row r="11" spans="1:9" ht="15.75" thickTop="1" x14ac:dyDescent="0.25">
      <c r="H11" s="3"/>
    </row>
    <row r="12" spans="1:9" x14ac:dyDescent="0.25">
      <c r="D12" s="18"/>
      <c r="E12" s="4"/>
      <c r="F12" s="4"/>
      <c r="G12" s="4"/>
      <c r="H12" s="4"/>
    </row>
  </sheetData>
  <mergeCells count="1">
    <mergeCell ref="A1:I1"/>
  </mergeCells>
  <pageMargins left="0.51181102362204722" right="0.51181102362204722" top="1.2598425196850394" bottom="0.78740157480314965" header="0.31496062992125984" footer="0.31496062992125984"/>
  <pageSetup paperSize="9" scale="75" orientation="portrait" r:id="rId1"/>
  <headerFooter>
    <oddHeader>&amp;C&amp;G</oddHeader>
    <oddFooter>&amp;L&amp;"-,Negrito"Estimativa em &amp;D&amp;Rn/a 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3</v>
      </c>
      <c r="B3" s="29" t="s">
        <v>106</v>
      </c>
      <c r="C3" s="31" t="s">
        <v>7</v>
      </c>
      <c r="D3" s="31">
        <v>20</v>
      </c>
      <c r="E3" s="32">
        <f>IF(C20&lt;=25%,D20,MIN(E20:F20))</f>
        <v>814.67</v>
      </c>
      <c r="F3" s="32">
        <f>MIN(H3:H17)</f>
        <v>785</v>
      </c>
      <c r="G3" s="6" t="s">
        <v>118</v>
      </c>
      <c r="H3" s="16">
        <v>860</v>
      </c>
      <c r="I3" s="17" t="str">
        <f>IF(H3="","",(IF($C$20&lt;25%,"n/a",IF(H3&lt;=($D$20+$A$20),H3,"Descartado"))))</f>
        <v>n/a</v>
      </c>
    </row>
    <row r="4" spans="1:9" x14ac:dyDescent="0.25">
      <c r="A4" s="33"/>
      <c r="B4" s="30"/>
      <c r="C4" s="31"/>
      <c r="D4" s="31"/>
      <c r="E4" s="32"/>
      <c r="F4" s="32"/>
      <c r="G4" s="6" t="s">
        <v>129</v>
      </c>
      <c r="H4" s="16">
        <v>785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3"/>
      <c r="B5" s="30"/>
      <c r="C5" s="31"/>
      <c r="D5" s="31"/>
      <c r="E5" s="32"/>
      <c r="F5" s="32"/>
      <c r="G5" s="6" t="s">
        <v>130</v>
      </c>
      <c r="H5" s="16">
        <v>799</v>
      </c>
      <c r="I5" s="17" t="str">
        <f t="shared" si="0"/>
        <v>n/a</v>
      </c>
    </row>
    <row r="6" spans="1:9" x14ac:dyDescent="0.25">
      <c r="A6" s="33"/>
      <c r="B6" s="30"/>
      <c r="C6" s="31"/>
      <c r="D6" s="31"/>
      <c r="E6" s="32"/>
      <c r="F6" s="32"/>
      <c r="G6" s="6"/>
      <c r="H6" s="16"/>
      <c r="I6" s="17" t="str">
        <f t="shared" si="0"/>
        <v/>
      </c>
    </row>
    <row r="7" spans="1:9" x14ac:dyDescent="0.25">
      <c r="A7" s="33"/>
      <c r="B7" s="30"/>
      <c r="C7" s="31"/>
      <c r="D7" s="31"/>
      <c r="E7" s="32"/>
      <c r="F7" s="32"/>
      <c r="G7" s="6"/>
      <c r="H7" s="16"/>
      <c r="I7" s="17" t="str">
        <f t="shared" si="0"/>
        <v/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39.878983604567125</v>
      </c>
      <c r="B20" s="8">
        <f>COUNT(H3:H17)</f>
        <v>3</v>
      </c>
      <c r="C20" s="9">
        <f>IF(B20&lt;2,"n/a",(A20/D20))</f>
        <v>4.8951088912770974E-2</v>
      </c>
      <c r="D20" s="10">
        <f>IFERROR(ROUND(AVERAGE(H3:H17),2),"")</f>
        <v>814.67</v>
      </c>
      <c r="E20" s="15" t="str">
        <f>IFERROR(ROUND(IF(B20&lt;2,"n/a",(IF(C20&lt;=25%,"n/a",AVERAGE(I3:I17)))),2),"n/a")</f>
        <v>n/a</v>
      </c>
      <c r="F20" s="10">
        <f>IFERROR(ROUND(MEDIAN(H3:H17),2),"")</f>
        <v>799</v>
      </c>
      <c r="G20" s="11" t="str">
        <f>IFERROR(INDEX(G3:G17,MATCH(H20,H3:H17,0)),"")</f>
        <v>MOVEIS SUPREMO</v>
      </c>
      <c r="H20" s="12">
        <f>F3</f>
        <v>785</v>
      </c>
    </row>
    <row r="22" spans="1:9" x14ac:dyDescent="0.25">
      <c r="G22" s="13" t="s">
        <v>20</v>
      </c>
      <c r="H22" s="14">
        <f>IF(C20&lt;=25%,D20,MIN(E20:F20))</f>
        <v>814.67</v>
      </c>
    </row>
    <row r="23" spans="1:9" x14ac:dyDescent="0.25">
      <c r="G23" s="13" t="s">
        <v>6</v>
      </c>
      <c r="H23" s="14">
        <f>ROUND(H22,2)*D3</f>
        <v>16293.4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4</v>
      </c>
      <c r="B3" s="29" t="s">
        <v>107</v>
      </c>
      <c r="C3" s="31" t="s">
        <v>7</v>
      </c>
      <c r="D3" s="31">
        <f>40+6</f>
        <v>46</v>
      </c>
      <c r="E3" s="32">
        <f>IF(C20&lt;=25%,D20,MIN(E20:F20))</f>
        <v>2534</v>
      </c>
      <c r="F3" s="32">
        <f>MIN(H3:H17)</f>
        <v>1838.01</v>
      </c>
      <c r="G3" s="6" t="s">
        <v>131</v>
      </c>
      <c r="H3" s="16">
        <v>2780</v>
      </c>
      <c r="I3" s="17">
        <f>IF(H3="","",(IF($C$20&lt;25%,"n/a",IF(H3&lt;=($D$20+$A$20),H3,"Descartado"))))</f>
        <v>2780</v>
      </c>
    </row>
    <row r="4" spans="1:9" x14ac:dyDescent="0.25">
      <c r="A4" s="33"/>
      <c r="B4" s="30"/>
      <c r="C4" s="31"/>
      <c r="D4" s="31"/>
      <c r="E4" s="32"/>
      <c r="F4" s="32"/>
      <c r="G4" s="6" t="s">
        <v>132</v>
      </c>
      <c r="H4" s="16">
        <v>1979.2</v>
      </c>
      <c r="I4" s="17">
        <f t="shared" ref="I4:I17" si="0">IF(H4="","",(IF($C$20&lt;25%,"n/a",IF(H4&lt;=($D$20+$A$20),H4,"Descartado"))))</f>
        <v>1979.2</v>
      </c>
    </row>
    <row r="5" spans="1:9" x14ac:dyDescent="0.25">
      <c r="A5" s="33"/>
      <c r="B5" s="30"/>
      <c r="C5" s="31"/>
      <c r="D5" s="31"/>
      <c r="E5" s="32"/>
      <c r="F5" s="32"/>
      <c r="G5" s="6" t="s">
        <v>133</v>
      </c>
      <c r="H5" s="16">
        <v>2288</v>
      </c>
      <c r="I5" s="17">
        <f t="shared" si="0"/>
        <v>2288</v>
      </c>
    </row>
    <row r="6" spans="1:9" x14ac:dyDescent="0.25">
      <c r="A6" s="33"/>
      <c r="B6" s="30"/>
      <c r="C6" s="31"/>
      <c r="D6" s="31"/>
      <c r="E6" s="32"/>
      <c r="F6" s="32"/>
      <c r="G6" s="6" t="s">
        <v>134</v>
      </c>
      <c r="H6" s="16">
        <v>1838.01</v>
      </c>
      <c r="I6" s="17">
        <f t="shared" si="0"/>
        <v>1838.01</v>
      </c>
    </row>
    <row r="7" spans="1:9" x14ac:dyDescent="0.25">
      <c r="A7" s="33"/>
      <c r="B7" s="30"/>
      <c r="C7" s="31"/>
      <c r="D7" s="31"/>
      <c r="E7" s="32"/>
      <c r="F7" s="32"/>
      <c r="G7" s="6" t="s">
        <v>135</v>
      </c>
      <c r="H7" s="16">
        <v>2110.33</v>
      </c>
      <c r="I7" s="17">
        <f t="shared" si="0"/>
        <v>2110.33</v>
      </c>
    </row>
    <row r="8" spans="1:9" x14ac:dyDescent="0.25">
      <c r="A8" s="33"/>
      <c r="B8" s="30"/>
      <c r="C8" s="31"/>
      <c r="D8" s="31"/>
      <c r="E8" s="32"/>
      <c r="F8" s="32"/>
      <c r="G8" s="6" t="s">
        <v>136</v>
      </c>
      <c r="H8" s="16">
        <v>3182</v>
      </c>
      <c r="I8" s="17">
        <f t="shared" si="0"/>
        <v>3182</v>
      </c>
    </row>
    <row r="9" spans="1:9" x14ac:dyDescent="0.25">
      <c r="A9" s="33"/>
      <c r="B9" s="30"/>
      <c r="C9" s="31"/>
      <c r="D9" s="31"/>
      <c r="E9" s="32"/>
      <c r="F9" s="32"/>
      <c r="G9" s="6" t="s">
        <v>137</v>
      </c>
      <c r="H9" s="16">
        <v>3877.68</v>
      </c>
      <c r="I9" s="17">
        <f t="shared" si="0"/>
        <v>3877.68</v>
      </c>
    </row>
    <row r="10" spans="1:9" x14ac:dyDescent="0.25">
      <c r="A10" s="33"/>
      <c r="B10" s="30"/>
      <c r="C10" s="31"/>
      <c r="D10" s="31"/>
      <c r="E10" s="32"/>
      <c r="F10" s="32"/>
      <c r="G10" s="6" t="s">
        <v>138</v>
      </c>
      <c r="H10" s="16">
        <v>9380</v>
      </c>
      <c r="I10" s="17" t="str">
        <f t="shared" si="0"/>
        <v>Descartado</v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2500.62461440994</v>
      </c>
      <c r="B20" s="8">
        <f>COUNT(H3:H17)</f>
        <v>8</v>
      </c>
      <c r="C20" s="9">
        <f>IF(B20&lt;2,"n/a",(A20/D20))</f>
        <v>0.72917262915085435</v>
      </c>
      <c r="D20" s="10">
        <f>IFERROR(ROUND(AVERAGE(H3:H17),2),"")</f>
        <v>3429.4</v>
      </c>
      <c r="E20" s="15">
        <f>IFERROR(ROUND(IF(B20&lt;2,"n/a",(IF(C20&lt;=25%,"n/a",AVERAGE(I3:I17)))),2),"n/a")</f>
        <v>2579.3200000000002</v>
      </c>
      <c r="F20" s="10">
        <f>IFERROR(ROUND(MEDIAN(H3:H17),2),"")</f>
        <v>2534</v>
      </c>
      <c r="G20" s="11" t="str">
        <f>IFERROR(INDEX(G3:G17,MATCH(H20,H3:H17,0)),"")</f>
        <v xml:space="preserve">GR4 COMERCIO E IMPORTACAO LTDA </v>
      </c>
      <c r="H20" s="12">
        <f>F3</f>
        <v>1838.01</v>
      </c>
    </row>
    <row r="22" spans="1:9" x14ac:dyDescent="0.25">
      <c r="G22" s="13" t="s">
        <v>20</v>
      </c>
      <c r="H22" s="14">
        <f>IF(C20&lt;=25%,D20,MIN(E20:F20))</f>
        <v>2534</v>
      </c>
    </row>
    <row r="23" spans="1:9" x14ac:dyDescent="0.25">
      <c r="G23" s="13" t="s">
        <v>6</v>
      </c>
      <c r="H23" s="14">
        <f>ROUND(H22,2)*D3</f>
        <v>116564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5</v>
      </c>
      <c r="B3" s="29" t="s">
        <v>108</v>
      </c>
      <c r="C3" s="31" t="s">
        <v>7</v>
      </c>
      <c r="D3" s="31">
        <f>20+12</f>
        <v>32</v>
      </c>
      <c r="E3" s="32">
        <f>IF(C20&lt;=25%,D20,MIN(E20:F20))</f>
        <v>1639.17</v>
      </c>
      <c r="F3" s="32">
        <f>MIN(H3:H17)</f>
        <v>1279.8</v>
      </c>
      <c r="G3" s="6" t="s">
        <v>119</v>
      </c>
      <c r="H3" s="16">
        <v>2590</v>
      </c>
      <c r="I3" s="17" t="str">
        <f>IF(H3="","",(IF($C$20&lt;25%,"n/a",IF(H3&lt;=($D$20+$A$20),H3,"Descartado"))))</f>
        <v>Descartado</v>
      </c>
    </row>
    <row r="4" spans="1:9" x14ac:dyDescent="0.25">
      <c r="A4" s="33"/>
      <c r="B4" s="30"/>
      <c r="C4" s="31"/>
      <c r="D4" s="31"/>
      <c r="E4" s="32"/>
      <c r="F4" s="32"/>
      <c r="G4" s="6" t="s">
        <v>120</v>
      </c>
      <c r="H4" s="16">
        <v>1620</v>
      </c>
      <c r="I4" s="17">
        <f t="shared" ref="I4:I17" si="0">IF(H4="","",(IF($C$20&lt;25%,"n/a",IF(H4&lt;=($D$20+$A$20),H4,"Descartado"))))</f>
        <v>1620</v>
      </c>
    </row>
    <row r="5" spans="1:9" x14ac:dyDescent="0.25">
      <c r="A5" s="33"/>
      <c r="B5" s="30"/>
      <c r="C5" s="31"/>
      <c r="D5" s="31"/>
      <c r="E5" s="32"/>
      <c r="F5" s="32"/>
      <c r="G5" s="6" t="s">
        <v>121</v>
      </c>
      <c r="H5" s="16">
        <v>1279.8</v>
      </c>
      <c r="I5" s="17">
        <f t="shared" si="0"/>
        <v>1279.8</v>
      </c>
    </row>
    <row r="6" spans="1:9" x14ac:dyDescent="0.25">
      <c r="A6" s="33"/>
      <c r="B6" s="30"/>
      <c r="C6" s="31"/>
      <c r="D6" s="31"/>
      <c r="E6" s="32"/>
      <c r="F6" s="32"/>
      <c r="G6" s="6" t="s">
        <v>122</v>
      </c>
      <c r="H6" s="16">
        <v>1900</v>
      </c>
      <c r="I6" s="17">
        <f t="shared" si="0"/>
        <v>1900</v>
      </c>
    </row>
    <row r="7" spans="1:9" x14ac:dyDescent="0.25">
      <c r="A7" s="33"/>
      <c r="B7" s="30"/>
      <c r="C7" s="31"/>
      <c r="D7" s="31"/>
      <c r="E7" s="32"/>
      <c r="F7" s="32"/>
      <c r="G7" s="6" t="s">
        <v>123</v>
      </c>
      <c r="H7" s="16">
        <v>1756.88</v>
      </c>
      <c r="I7" s="17">
        <f t="shared" si="0"/>
        <v>1756.88</v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483.39020726531078</v>
      </c>
      <c r="B20" s="8">
        <f>COUNT(H3:H17)</f>
        <v>5</v>
      </c>
      <c r="C20" s="9">
        <f>IF(B20&lt;2,"n/a",(A20/D20))</f>
        <v>0.26424295498120132</v>
      </c>
      <c r="D20" s="10">
        <f>IFERROR(ROUND(AVERAGE(H3:H17),2),"")</f>
        <v>1829.34</v>
      </c>
      <c r="E20" s="15">
        <f>IFERROR(ROUND(IF(B20&lt;2,"n/a",(IF(C20&lt;=25%,"n/a",AVERAGE(I3:I17)))),2),"n/a")</f>
        <v>1639.17</v>
      </c>
      <c r="F20" s="10">
        <f>IFERROR(ROUND(MEDIAN(H3:H17),2),"")</f>
        <v>1756.88</v>
      </c>
      <c r="G20" s="11" t="str">
        <f>IFERROR(INDEX(G3:G17,MATCH(H20,H3:H17,0)),"")</f>
        <v>LIFE CLEAN COMERCIO DE EQUIPAMENTOS LTDA</v>
      </c>
      <c r="H20" s="12">
        <f>F3</f>
        <v>1279.8</v>
      </c>
    </row>
    <row r="22" spans="1:9" x14ac:dyDescent="0.25">
      <c r="G22" s="13" t="s">
        <v>20</v>
      </c>
      <c r="H22" s="14">
        <f>IF(C20&lt;=25%,D20,MIN(E20:F20))</f>
        <v>1639.17</v>
      </c>
    </row>
    <row r="23" spans="1:9" x14ac:dyDescent="0.25">
      <c r="G23" s="13" t="s">
        <v>6</v>
      </c>
      <c r="H23" s="14">
        <f>ROUND(H22,2)*D3</f>
        <v>52453.440000000002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6</v>
      </c>
      <c r="B3" s="29" t="s">
        <v>109</v>
      </c>
      <c r="C3" s="31" t="s">
        <v>7</v>
      </c>
      <c r="D3" s="31">
        <v>10</v>
      </c>
      <c r="E3" s="32">
        <f>IF(C20&lt;=25%,D20,MIN(E20:F20))</f>
        <v>590.85</v>
      </c>
      <c r="F3" s="32">
        <f>MIN(H3:H17)</f>
        <v>495.9</v>
      </c>
      <c r="G3" s="6" t="s">
        <v>124</v>
      </c>
      <c r="H3" s="16">
        <v>616.66</v>
      </c>
      <c r="I3" s="17">
        <f>IF(H3="","",(IF($C$20&lt;25%,"n/a",IF(H3&lt;=($D$20+$A$20),H3,"Descartado"))))</f>
        <v>616.66</v>
      </c>
    </row>
    <row r="4" spans="1:9" x14ac:dyDescent="0.25">
      <c r="A4" s="33"/>
      <c r="B4" s="30"/>
      <c r="C4" s="31"/>
      <c r="D4" s="31"/>
      <c r="E4" s="32"/>
      <c r="F4" s="32"/>
      <c r="G4" s="6" t="s">
        <v>125</v>
      </c>
      <c r="H4" s="16">
        <v>660</v>
      </c>
      <c r="I4" s="17">
        <f t="shared" ref="I4:I17" si="0">IF(H4="","",(IF($C$20&lt;25%,"n/a",IF(H4&lt;=($D$20+$A$20),H4,"Descartado"))))</f>
        <v>660</v>
      </c>
    </row>
    <row r="5" spans="1:9" x14ac:dyDescent="0.25">
      <c r="A5" s="33"/>
      <c r="B5" s="30"/>
      <c r="C5" s="31"/>
      <c r="D5" s="31"/>
      <c r="E5" s="32"/>
      <c r="F5" s="32"/>
      <c r="G5" s="6" t="s">
        <v>126</v>
      </c>
      <c r="H5" s="16">
        <v>495.9</v>
      </c>
      <c r="I5" s="17">
        <f t="shared" si="0"/>
        <v>495.9</v>
      </c>
    </row>
    <row r="6" spans="1:9" x14ac:dyDescent="0.25">
      <c r="A6" s="33"/>
      <c r="B6" s="30"/>
      <c r="C6" s="31"/>
      <c r="D6" s="31"/>
      <c r="E6" s="32"/>
      <c r="F6" s="32"/>
      <c r="G6" s="6" t="s">
        <v>127</v>
      </c>
      <c r="H6" s="16">
        <v>900</v>
      </c>
      <c r="I6" s="17" t="str">
        <f t="shared" si="0"/>
        <v>Descartado</v>
      </c>
    </row>
    <row r="7" spans="1:9" x14ac:dyDescent="0.25">
      <c r="A7" s="33"/>
      <c r="B7" s="30"/>
      <c r="C7" s="31"/>
      <c r="D7" s="31"/>
      <c r="E7" s="32"/>
      <c r="F7" s="32"/>
      <c r="G7" s="6"/>
      <c r="H7" s="16"/>
      <c r="I7" s="17" t="str">
        <f t="shared" si="0"/>
        <v/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169.4521832258292</v>
      </c>
      <c r="B20" s="8">
        <f>COUNT(H3:H17)</f>
        <v>4</v>
      </c>
      <c r="C20" s="9">
        <f>IF(B20&lt;2,"n/a",(A20/D20))</f>
        <v>0.25361777954594728</v>
      </c>
      <c r="D20" s="10">
        <f>IFERROR(ROUND(AVERAGE(H3:H17),2),"")</f>
        <v>668.14</v>
      </c>
      <c r="E20" s="15">
        <f>IFERROR(ROUND(IF(B20&lt;2,"n/a",(IF(C20&lt;=25%,"n/a",AVERAGE(I3:I17)))),2),"n/a")</f>
        <v>590.85</v>
      </c>
      <c r="F20" s="10">
        <f>IFERROR(ROUND(MEDIAN(H3:H17),2),"")</f>
        <v>638.33000000000004</v>
      </c>
      <c r="G20" s="11" t="str">
        <f>IFERROR(INDEX(G3:G17,MATCH(H20,H3:H17,0)),"")</f>
        <v>SPORTHAUS COMERCIO DE ARTIGOS ESPORTIVOS LTDA</v>
      </c>
      <c r="H20" s="12">
        <f>F3</f>
        <v>495.9</v>
      </c>
    </row>
    <row r="22" spans="1:9" x14ac:dyDescent="0.25">
      <c r="G22" s="13" t="s">
        <v>20</v>
      </c>
      <c r="H22" s="14">
        <f>IF(C20&lt;=25%,D20,MIN(E20:F20))</f>
        <v>590.85</v>
      </c>
    </row>
    <row r="23" spans="1:9" x14ac:dyDescent="0.25">
      <c r="G23" s="13" t="s">
        <v>6</v>
      </c>
      <c r="H23" s="14">
        <f>ROUND(H22,2)*D3</f>
        <v>5908.5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7</v>
      </c>
      <c r="B3" s="29" t="s">
        <v>49</v>
      </c>
      <c r="C3" s="31" t="s">
        <v>48</v>
      </c>
      <c r="D3" s="31">
        <v>60</v>
      </c>
      <c r="E3" s="32">
        <f>IF(C20&lt;=25%,D20,MIN(E20:F20))</f>
        <v>10.5</v>
      </c>
      <c r="F3" s="32">
        <f>MIN(H3:H17)</f>
        <v>7.9</v>
      </c>
      <c r="G3" s="6" t="s">
        <v>60</v>
      </c>
      <c r="H3" s="16">
        <v>11.5</v>
      </c>
      <c r="I3" s="17">
        <f>IF(H3="","",(IF($C$20&lt;25%,"n/a",IF(H3&lt;=($D$20+$A$20),H3,"Descartado"))))</f>
        <v>11.5</v>
      </c>
    </row>
    <row r="4" spans="1:9" x14ac:dyDescent="0.25">
      <c r="A4" s="33"/>
      <c r="B4" s="30"/>
      <c r="C4" s="31"/>
      <c r="D4" s="31"/>
      <c r="E4" s="32"/>
      <c r="F4" s="32"/>
      <c r="G4" s="6" t="s">
        <v>61</v>
      </c>
      <c r="H4" s="16">
        <v>8.5</v>
      </c>
      <c r="I4" s="17">
        <f t="shared" ref="I4:I17" si="0">IF(H4="","",(IF($C$20&lt;25%,"n/a",IF(H4&lt;=($D$20+$A$20),H4,"Descartado"))))</f>
        <v>8.5</v>
      </c>
    </row>
    <row r="5" spans="1:9" x14ac:dyDescent="0.25">
      <c r="A5" s="33"/>
      <c r="B5" s="30"/>
      <c r="C5" s="31"/>
      <c r="D5" s="31"/>
      <c r="E5" s="32"/>
      <c r="F5" s="32"/>
      <c r="G5" s="6" t="s">
        <v>62</v>
      </c>
      <c r="H5" s="16">
        <v>14.89</v>
      </c>
      <c r="I5" s="17">
        <f t="shared" si="0"/>
        <v>14.89</v>
      </c>
    </row>
    <row r="6" spans="1:9" x14ac:dyDescent="0.25">
      <c r="A6" s="33"/>
      <c r="B6" s="30"/>
      <c r="C6" s="31"/>
      <c r="D6" s="31"/>
      <c r="E6" s="32"/>
      <c r="F6" s="32"/>
      <c r="G6" s="6" t="s">
        <v>63</v>
      </c>
      <c r="H6" s="16">
        <v>21.32</v>
      </c>
      <c r="I6" s="17" t="str">
        <f t="shared" si="0"/>
        <v>Descartado</v>
      </c>
    </row>
    <row r="7" spans="1:9" x14ac:dyDescent="0.25">
      <c r="A7" s="33"/>
      <c r="B7" s="30"/>
      <c r="C7" s="31"/>
      <c r="D7" s="31"/>
      <c r="E7" s="32"/>
      <c r="F7" s="32"/>
      <c r="G7" s="6" t="s">
        <v>64</v>
      </c>
      <c r="H7" s="16">
        <v>7.9</v>
      </c>
      <c r="I7" s="17">
        <f t="shared" si="0"/>
        <v>7.9</v>
      </c>
    </row>
    <row r="8" spans="1:9" x14ac:dyDescent="0.25">
      <c r="A8" s="33"/>
      <c r="B8" s="30"/>
      <c r="C8" s="31"/>
      <c r="D8" s="31"/>
      <c r="E8" s="32"/>
      <c r="F8" s="32"/>
      <c r="G8" s="6" t="s">
        <v>65</v>
      </c>
      <c r="H8" s="16">
        <v>9.6999999999999993</v>
      </c>
      <c r="I8" s="17">
        <f t="shared" si="0"/>
        <v>9.6999999999999993</v>
      </c>
    </row>
    <row r="9" spans="1:9" x14ac:dyDescent="0.25">
      <c r="A9" s="33"/>
      <c r="B9" s="30"/>
      <c r="C9" s="31"/>
      <c r="D9" s="31"/>
      <c r="E9" s="32"/>
      <c r="F9" s="32"/>
      <c r="G9" s="6" t="s">
        <v>66</v>
      </c>
      <c r="H9" s="16">
        <v>20.27</v>
      </c>
      <c r="I9" s="17" t="str">
        <f t="shared" si="0"/>
        <v>Descartado</v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5.533115457557944</v>
      </c>
      <c r="B20" s="8">
        <f>COUNT(H3:H17)</f>
        <v>7</v>
      </c>
      <c r="C20" s="9">
        <f>IF(B20&lt;2,"n/a",(A20/D20))</f>
        <v>0.41169013821115658</v>
      </c>
      <c r="D20" s="10">
        <f>IFERROR(ROUND(AVERAGE(H3:H17),2),"")</f>
        <v>13.44</v>
      </c>
      <c r="E20" s="15">
        <f>IFERROR(ROUND(IF(B20&lt;2,"n/a",(IF(C20&lt;=25%,"n/a",AVERAGE(I3:I17)))),2),"n/a")</f>
        <v>10.5</v>
      </c>
      <c r="F20" s="10">
        <f>IFERROR(ROUND(MEDIAN(H3:H17),2),"")</f>
        <v>11.5</v>
      </c>
      <c r="G20" s="11" t="str">
        <f>IFERROR(INDEX(G3:G17,MATCH(H20,H3:H17,0)),"")</f>
        <v>C &amp; R COMERCIO ATACADISTA DE PRODUTOS ALIMENTICIOS LTDA</v>
      </c>
      <c r="H20" s="12">
        <f>F3</f>
        <v>7.9</v>
      </c>
    </row>
    <row r="22" spans="1:9" x14ac:dyDescent="0.25">
      <c r="G22" s="13" t="s">
        <v>20</v>
      </c>
      <c r="H22" s="14">
        <f>IF(C20&lt;=25%,D20,MIN(E20:F20))</f>
        <v>10.5</v>
      </c>
    </row>
    <row r="23" spans="1:9" x14ac:dyDescent="0.25">
      <c r="G23" s="13" t="s">
        <v>6</v>
      </c>
      <c r="H23" s="14">
        <f>ROUND(H22,2)*D3</f>
        <v>630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8</v>
      </c>
      <c r="B3" s="29" t="s">
        <v>50</v>
      </c>
      <c r="C3" s="31" t="s">
        <v>48</v>
      </c>
      <c r="D3" s="31">
        <v>60</v>
      </c>
      <c r="E3" s="32">
        <f>IF(C20&lt;=25%,D20,MIN(E20:F20))</f>
        <v>12</v>
      </c>
      <c r="F3" s="32">
        <f>MIN(H3:H17)</f>
        <v>8.64</v>
      </c>
      <c r="G3" s="6" t="s">
        <v>67</v>
      </c>
      <c r="H3" s="16">
        <v>14.85</v>
      </c>
      <c r="I3" s="17">
        <f>IF(H3="","",(IF($C$20&lt;25%,"n/a",IF(H3&lt;=($D$20+$A$20),H3,"Descartado"))))</f>
        <v>14.85</v>
      </c>
    </row>
    <row r="4" spans="1:9" x14ac:dyDescent="0.25">
      <c r="A4" s="33"/>
      <c r="B4" s="30"/>
      <c r="C4" s="31"/>
      <c r="D4" s="31"/>
      <c r="E4" s="32"/>
      <c r="F4" s="32"/>
      <c r="G4" s="6" t="s">
        <v>68</v>
      </c>
      <c r="H4" s="16">
        <v>8.64</v>
      </c>
      <c r="I4" s="17">
        <f t="shared" ref="I4:I17" si="0">IF(H4="","",(IF($C$20&lt;25%,"n/a",IF(H4&lt;=($D$20+$A$20),H4,"Descartado"))))</f>
        <v>8.64</v>
      </c>
    </row>
    <row r="5" spans="1:9" x14ac:dyDescent="0.25">
      <c r="A5" s="33"/>
      <c r="B5" s="30"/>
      <c r="C5" s="31"/>
      <c r="D5" s="31"/>
      <c r="E5" s="32"/>
      <c r="F5" s="32"/>
      <c r="G5" s="6" t="s">
        <v>69</v>
      </c>
      <c r="H5" s="16">
        <v>11.5</v>
      </c>
      <c r="I5" s="17">
        <f t="shared" si="0"/>
        <v>11.5</v>
      </c>
    </row>
    <row r="6" spans="1:9" x14ac:dyDescent="0.25">
      <c r="A6" s="33"/>
      <c r="B6" s="30"/>
      <c r="C6" s="31"/>
      <c r="D6" s="31"/>
      <c r="E6" s="32"/>
      <c r="F6" s="32"/>
      <c r="G6" s="6" t="s">
        <v>70</v>
      </c>
      <c r="H6" s="16">
        <v>12.9</v>
      </c>
      <c r="I6" s="17">
        <f t="shared" si="0"/>
        <v>12.9</v>
      </c>
    </row>
    <row r="7" spans="1:9" x14ac:dyDescent="0.25">
      <c r="A7" s="33"/>
      <c r="B7" s="30"/>
      <c r="C7" s="31"/>
      <c r="D7" s="31"/>
      <c r="E7" s="32"/>
      <c r="F7" s="32"/>
      <c r="G7" s="6" t="s">
        <v>71</v>
      </c>
      <c r="H7" s="16">
        <v>26</v>
      </c>
      <c r="I7" s="17" t="str">
        <f t="shared" si="0"/>
        <v>Descartado</v>
      </c>
    </row>
    <row r="8" spans="1:9" x14ac:dyDescent="0.25">
      <c r="A8" s="33"/>
      <c r="B8" s="30"/>
      <c r="C8" s="31"/>
      <c r="D8" s="31"/>
      <c r="E8" s="32"/>
      <c r="F8" s="32"/>
      <c r="G8" s="6" t="s">
        <v>72</v>
      </c>
      <c r="H8" s="16">
        <v>10.99</v>
      </c>
      <c r="I8" s="17">
        <f t="shared" si="0"/>
        <v>10.99</v>
      </c>
    </row>
    <row r="9" spans="1:9" x14ac:dyDescent="0.25">
      <c r="A9" s="33"/>
      <c r="B9" s="30"/>
      <c r="C9" s="31"/>
      <c r="D9" s="31"/>
      <c r="E9" s="32"/>
      <c r="F9" s="32"/>
      <c r="G9" s="6" t="s">
        <v>73</v>
      </c>
      <c r="H9" s="16">
        <v>12</v>
      </c>
      <c r="I9" s="17">
        <f t="shared" si="0"/>
        <v>12</v>
      </c>
    </row>
    <row r="10" spans="1:9" x14ac:dyDescent="0.25">
      <c r="A10" s="33"/>
      <c r="B10" s="30"/>
      <c r="C10" s="31"/>
      <c r="D10" s="31"/>
      <c r="E10" s="32"/>
      <c r="F10" s="32"/>
      <c r="G10" s="6" t="s">
        <v>74</v>
      </c>
      <c r="H10" s="16">
        <v>15</v>
      </c>
      <c r="I10" s="17">
        <f t="shared" si="0"/>
        <v>15</v>
      </c>
    </row>
    <row r="11" spans="1:9" x14ac:dyDescent="0.25">
      <c r="A11" s="33"/>
      <c r="B11" s="30"/>
      <c r="C11" s="31"/>
      <c r="D11" s="31"/>
      <c r="E11" s="32"/>
      <c r="F11" s="32"/>
      <c r="G11" s="6" t="s">
        <v>75</v>
      </c>
      <c r="H11" s="16">
        <v>11</v>
      </c>
      <c r="I11" s="17">
        <f t="shared" si="0"/>
        <v>11</v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5.0360028792684401</v>
      </c>
      <c r="B20" s="8">
        <f>COUNT(H3:H17)</f>
        <v>9</v>
      </c>
      <c r="C20" s="9">
        <f>IF(B20&lt;2,"n/a",(A20/D20))</f>
        <v>0.36893793987314577</v>
      </c>
      <c r="D20" s="10">
        <f>IFERROR(ROUND(AVERAGE(H3:H17),2),"")</f>
        <v>13.65</v>
      </c>
      <c r="E20" s="15">
        <f>IFERROR(ROUND(IF(B20&lt;2,"n/a",(IF(C20&lt;=25%,"n/a",AVERAGE(I3:I17)))),2),"n/a")</f>
        <v>12.11</v>
      </c>
      <c r="F20" s="10">
        <f>IFERROR(ROUND(MEDIAN(H3:H17),2),"")</f>
        <v>12</v>
      </c>
      <c r="G20" s="11" t="str">
        <f>IFERROR(INDEX(G3:G17,MATCH(H20,H3:H17,0)),"")</f>
        <v>JCA COMERCIO DE ALIMENTOS LTDA</v>
      </c>
      <c r="H20" s="12">
        <f>F3</f>
        <v>8.64</v>
      </c>
    </row>
    <row r="22" spans="1:9" x14ac:dyDescent="0.25">
      <c r="G22" s="13" t="s">
        <v>20</v>
      </c>
      <c r="H22" s="14">
        <f>IF(C20&lt;=25%,D20,MIN(E20:F20))</f>
        <v>12</v>
      </c>
    </row>
    <row r="23" spans="1:9" x14ac:dyDescent="0.25">
      <c r="G23" s="13" t="s">
        <v>6</v>
      </c>
      <c r="H23" s="14">
        <f>ROUND(H22,2)*D3</f>
        <v>720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</row>
    <row r="2" spans="1:9" s="5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3">
        <v>9</v>
      </c>
      <c r="B3" s="29" t="s">
        <v>51</v>
      </c>
      <c r="C3" s="31" t="s">
        <v>48</v>
      </c>
      <c r="D3" s="31">
        <v>60</v>
      </c>
      <c r="E3" s="32">
        <f>IF(C20&lt;=25%,D20,MIN(E20:F20))</f>
        <v>14.2</v>
      </c>
      <c r="F3" s="32">
        <f>MIN(H3:H17)</f>
        <v>8</v>
      </c>
      <c r="G3" s="6" t="s">
        <v>75</v>
      </c>
      <c r="H3" s="16">
        <v>10</v>
      </c>
      <c r="I3" s="17">
        <f>IF(H3="","",(IF($C$20&lt;25%,"n/a",IF(H3&lt;=($D$20+$A$20),H3,"Descartado"))))</f>
        <v>10</v>
      </c>
    </row>
    <row r="4" spans="1:9" x14ac:dyDescent="0.25">
      <c r="A4" s="33"/>
      <c r="B4" s="30"/>
      <c r="C4" s="31"/>
      <c r="D4" s="31"/>
      <c r="E4" s="32"/>
      <c r="F4" s="32"/>
      <c r="G4" s="6" t="s">
        <v>60</v>
      </c>
      <c r="H4" s="16">
        <v>8</v>
      </c>
      <c r="I4" s="17">
        <f t="shared" ref="I4:I17" si="0">IF(H4="","",(IF($C$20&lt;25%,"n/a",IF(H4&lt;=($D$20+$A$20),H4,"Descartado"))))</f>
        <v>8</v>
      </c>
    </row>
    <row r="5" spans="1:9" x14ac:dyDescent="0.25">
      <c r="A5" s="33"/>
      <c r="B5" s="30"/>
      <c r="C5" s="31"/>
      <c r="D5" s="31"/>
      <c r="E5" s="32"/>
      <c r="F5" s="32"/>
      <c r="G5" s="6" t="s">
        <v>102</v>
      </c>
      <c r="H5" s="16">
        <v>18.899999999999999</v>
      </c>
      <c r="I5" s="17">
        <f t="shared" si="0"/>
        <v>18.899999999999999</v>
      </c>
    </row>
    <row r="6" spans="1:9" x14ac:dyDescent="0.25">
      <c r="A6" s="33"/>
      <c r="B6" s="30"/>
      <c r="C6" s="31"/>
      <c r="D6" s="31"/>
      <c r="E6" s="32"/>
      <c r="F6" s="32"/>
      <c r="G6" s="6" t="s">
        <v>103</v>
      </c>
      <c r="H6" s="16">
        <v>19.899999999999999</v>
      </c>
      <c r="I6" s="17">
        <f t="shared" si="0"/>
        <v>19.899999999999999</v>
      </c>
    </row>
    <row r="7" spans="1:9" x14ac:dyDescent="0.25">
      <c r="A7" s="33"/>
      <c r="B7" s="30"/>
      <c r="C7" s="31"/>
      <c r="D7" s="31"/>
      <c r="E7" s="32"/>
      <c r="F7" s="32"/>
      <c r="G7" s="6"/>
      <c r="H7" s="16"/>
      <c r="I7" s="17" t="str">
        <f t="shared" si="0"/>
        <v/>
      </c>
    </row>
    <row r="8" spans="1:9" x14ac:dyDescent="0.25">
      <c r="A8" s="33"/>
      <c r="B8" s="30"/>
      <c r="C8" s="31"/>
      <c r="D8" s="31"/>
      <c r="E8" s="32"/>
      <c r="F8" s="32"/>
      <c r="G8" s="6"/>
      <c r="H8" s="16"/>
      <c r="I8" s="17" t="str">
        <f t="shared" si="0"/>
        <v/>
      </c>
    </row>
    <row r="9" spans="1:9" x14ac:dyDescent="0.25">
      <c r="A9" s="33"/>
      <c r="B9" s="30"/>
      <c r="C9" s="31"/>
      <c r="D9" s="31"/>
      <c r="E9" s="32"/>
      <c r="F9" s="32"/>
      <c r="G9" s="6"/>
      <c r="H9" s="16"/>
      <c r="I9" s="17" t="str">
        <f t="shared" si="0"/>
        <v/>
      </c>
    </row>
    <row r="10" spans="1:9" x14ac:dyDescent="0.25">
      <c r="A10" s="33"/>
      <c r="B10" s="30"/>
      <c r="C10" s="31"/>
      <c r="D10" s="31"/>
      <c r="E10" s="32"/>
      <c r="F10" s="32"/>
      <c r="G10" s="6"/>
      <c r="H10" s="16"/>
      <c r="I10" s="17" t="str">
        <f t="shared" si="0"/>
        <v/>
      </c>
    </row>
    <row r="11" spans="1:9" x14ac:dyDescent="0.25">
      <c r="A11" s="33"/>
      <c r="B11" s="30"/>
      <c r="C11" s="31"/>
      <c r="D11" s="31"/>
      <c r="E11" s="32"/>
      <c r="F11" s="32"/>
      <c r="G11" s="6"/>
      <c r="H11" s="16"/>
      <c r="I11" s="17" t="str">
        <f t="shared" si="0"/>
        <v/>
      </c>
    </row>
    <row r="12" spans="1:9" x14ac:dyDescent="0.25">
      <c r="A12" s="33"/>
      <c r="B12" s="30"/>
      <c r="C12" s="31"/>
      <c r="D12" s="31"/>
      <c r="E12" s="32"/>
      <c r="F12" s="32"/>
      <c r="G12" s="6"/>
      <c r="H12" s="16"/>
      <c r="I12" s="17" t="str">
        <f t="shared" si="0"/>
        <v/>
      </c>
    </row>
    <row r="13" spans="1:9" x14ac:dyDescent="0.25">
      <c r="A13" s="33"/>
      <c r="B13" s="30"/>
      <c r="C13" s="31"/>
      <c r="D13" s="31"/>
      <c r="E13" s="32"/>
      <c r="F13" s="32"/>
      <c r="G13" s="6"/>
      <c r="H13" s="16"/>
      <c r="I13" s="17" t="str">
        <f t="shared" si="0"/>
        <v/>
      </c>
    </row>
    <row r="14" spans="1:9" x14ac:dyDescent="0.25">
      <c r="A14" s="33"/>
      <c r="B14" s="30"/>
      <c r="C14" s="31"/>
      <c r="D14" s="31"/>
      <c r="E14" s="32"/>
      <c r="F14" s="32"/>
      <c r="G14" s="6"/>
      <c r="H14" s="16"/>
      <c r="I14" s="17" t="str">
        <f t="shared" si="0"/>
        <v/>
      </c>
    </row>
    <row r="15" spans="1:9" x14ac:dyDescent="0.25">
      <c r="A15" s="33"/>
      <c r="B15" s="30"/>
      <c r="C15" s="31"/>
      <c r="D15" s="31"/>
      <c r="E15" s="32"/>
      <c r="F15" s="32"/>
      <c r="G15" s="6"/>
      <c r="H15" s="16"/>
      <c r="I15" s="17" t="str">
        <f t="shared" si="0"/>
        <v/>
      </c>
    </row>
    <row r="16" spans="1:9" x14ac:dyDescent="0.25">
      <c r="A16" s="33"/>
      <c r="B16" s="30"/>
      <c r="C16" s="31"/>
      <c r="D16" s="31"/>
      <c r="E16" s="32"/>
      <c r="F16" s="32"/>
      <c r="G16" s="6"/>
      <c r="H16" s="16"/>
      <c r="I16" s="17" t="str">
        <f t="shared" si="0"/>
        <v/>
      </c>
    </row>
    <row r="17" spans="1:9" x14ac:dyDescent="0.25">
      <c r="A17" s="33"/>
      <c r="B17" s="30"/>
      <c r="C17" s="31"/>
      <c r="D17" s="31"/>
      <c r="E17" s="32"/>
      <c r="F17" s="32"/>
      <c r="G17" s="6"/>
      <c r="H17" s="16"/>
      <c r="I17" s="17" t="str">
        <f t="shared" si="0"/>
        <v/>
      </c>
    </row>
    <row r="19" spans="1:9" s="5" customFormat="1" ht="24" x14ac:dyDescent="0.25">
      <c r="A19" s="7" t="s">
        <v>14</v>
      </c>
      <c r="B19" s="7" t="s">
        <v>15</v>
      </c>
      <c r="C19" s="7" t="s">
        <v>41</v>
      </c>
      <c r="D19" s="7" t="s">
        <v>16</v>
      </c>
      <c r="E19" s="7" t="s">
        <v>17</v>
      </c>
      <c r="F19" s="7" t="s">
        <v>18</v>
      </c>
      <c r="G19" s="27" t="s">
        <v>19</v>
      </c>
      <c r="H19" s="27"/>
    </row>
    <row r="20" spans="1:9" x14ac:dyDescent="0.25">
      <c r="A20" s="8">
        <f>IF(B20&lt;2,"n/a",(_xlfn.STDEV.S(H3:H17)))</f>
        <v>6.0734394429076692</v>
      </c>
      <c r="B20" s="8">
        <f>COUNT(H3:H17)</f>
        <v>4</v>
      </c>
      <c r="C20" s="9">
        <f>IF(B20&lt;2,"n/a",(A20/D20))</f>
        <v>0.42770700302166687</v>
      </c>
      <c r="D20" s="10">
        <f>IFERROR(ROUND(AVERAGE(H3:H17),2),"")</f>
        <v>14.2</v>
      </c>
      <c r="E20" s="15">
        <f>IFERROR(ROUND(IF(B20&lt;2,"n/a",(IF(C20&lt;=25%,"n/a",AVERAGE(I3:I17)))),2),"n/a")</f>
        <v>14.2</v>
      </c>
      <c r="F20" s="10">
        <f>IFERROR(ROUND(MEDIAN(H3:H17),2),"")</f>
        <v>14.45</v>
      </c>
      <c r="G20" s="11" t="str">
        <f>IFERROR(INDEX(G3:G17,MATCH(H20,H3:H17,0)),"")</f>
        <v>BAHIA CESTAS LTDA</v>
      </c>
      <c r="H20" s="12">
        <f>F3</f>
        <v>8</v>
      </c>
    </row>
    <row r="22" spans="1:9" x14ac:dyDescent="0.25">
      <c r="G22" s="13" t="s">
        <v>20</v>
      </c>
      <c r="H22" s="14">
        <f>IF(C20&lt;=25%,D20,MIN(E20:F20))</f>
        <v>14.2</v>
      </c>
    </row>
    <row r="23" spans="1:9" x14ac:dyDescent="0.25">
      <c r="G23" s="13" t="s">
        <v>6</v>
      </c>
      <c r="H23" s="14">
        <f>ROUND(H22,2)*D3</f>
        <v>852</v>
      </c>
    </row>
    <row r="25" spans="1:9" x14ac:dyDescent="0.25">
      <c r="A25" s="2" t="s">
        <v>44</v>
      </c>
    </row>
    <row r="26" spans="1:9" x14ac:dyDescent="0.25">
      <c r="A26" s="2" t="s">
        <v>42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43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21</vt:i4>
      </vt:variant>
      <vt:variant>
        <vt:lpstr>Intervalos nomeados</vt:lpstr>
      </vt:variant>
      <vt:variant>
        <vt:i4>2</vt:i4>
      </vt:variant>
    </vt:vector>
  </HeadingPairs>
  <TitlesOfParts>
    <vt:vector size="2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2023-11-14T16:34:11Z</cp:lastPrinted>
  <dcterms:created xsi:type="dcterms:W3CDTF">2023-11-07T17:10:34Z</dcterms:created>
  <dcterms:modified xsi:type="dcterms:W3CDTF">2023-11-14T17:34:19Z</dcterms:modified>
</cp:coreProperties>
</file>