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0" windowWidth="22995" windowHeight="10050" tabRatio="805" firstSheet="17" activeTab="39"/>
  </bookViews>
  <sheets>
    <sheet name="Item1" sheetId="1" r:id="rId1"/>
    <sheet name="Item2" sheetId="4" r:id="rId2"/>
    <sheet name="Item3" sheetId="5" r:id="rId3"/>
    <sheet name="Item4" sheetId="6" r:id="rId4"/>
    <sheet name="Item5" sheetId="7" r:id="rId5"/>
    <sheet name="Item6" sheetId="8" r:id="rId6"/>
    <sheet name="Item7" sheetId="9" r:id="rId7"/>
    <sheet name="Item8" sheetId="10" r:id="rId8"/>
    <sheet name="Item9" sheetId="11" r:id="rId9"/>
    <sheet name="Item10" sheetId="12" r:id="rId10"/>
    <sheet name="Item11" sheetId="13" r:id="rId11"/>
    <sheet name="Item12" sheetId="14" r:id="rId12"/>
    <sheet name="Item13" sheetId="15" r:id="rId13"/>
    <sheet name="Item14" sheetId="16" r:id="rId14"/>
    <sheet name="Item15" sheetId="17" r:id="rId15"/>
    <sheet name="Item16" sheetId="18" r:id="rId16"/>
    <sheet name="Item17" sheetId="19" r:id="rId17"/>
    <sheet name="Item18" sheetId="20" r:id="rId18"/>
    <sheet name="Item19" sheetId="21" r:id="rId19"/>
    <sheet name="Item20" sheetId="22" r:id="rId20"/>
    <sheet name="Item21" sheetId="24" r:id="rId21"/>
    <sheet name="Item22" sheetId="25" r:id="rId22"/>
    <sheet name="Item23" sheetId="26" r:id="rId23"/>
    <sheet name="Item24" sheetId="27" r:id="rId24"/>
    <sheet name="Item25" sheetId="28" r:id="rId25"/>
    <sheet name="Item26" sheetId="29" r:id="rId26"/>
    <sheet name="Item27" sheetId="30" r:id="rId27"/>
    <sheet name="Item28" sheetId="31" r:id="rId28"/>
    <sheet name="Item29" sheetId="32" r:id="rId29"/>
    <sheet name="Item30" sheetId="33" r:id="rId30"/>
    <sheet name="Item31" sheetId="34" r:id="rId31"/>
    <sheet name="Item32" sheetId="35" r:id="rId32"/>
    <sheet name="Item33" sheetId="38" r:id="rId33"/>
    <sheet name="Item34" sheetId="39" r:id="rId34"/>
    <sheet name="Item35" sheetId="40" r:id="rId35"/>
    <sheet name="Item38" sheetId="41" state="hidden" r:id="rId36"/>
    <sheet name="Item39" sheetId="42" state="hidden" r:id="rId37"/>
    <sheet name="Item40" sheetId="43" state="hidden" r:id="rId38"/>
    <sheet name="Item41" sheetId="44" state="hidden" r:id="rId39"/>
    <sheet name="total" sheetId="23" r:id="rId40"/>
  </sheets>
  <definedNames>
    <definedName name="_xlnm._FilterDatabase" localSheetId="39" hidden="1">total!$A$2:$I$37</definedName>
    <definedName name="_xlnm.Print_Area" localSheetId="39">total!$A$1:$K$42</definedName>
    <definedName name="_xlnm.Print_Titles" localSheetId="39">total!$1:$2</definedName>
  </definedNames>
  <calcPr calcId="145621"/>
</workbook>
</file>

<file path=xl/calcChain.xml><?xml version="1.0" encoding="utf-8"?>
<calcChain xmlns="http://schemas.openxmlformats.org/spreadsheetml/2006/main">
  <c r="F42" i="23" l="1"/>
  <c r="F41" i="23"/>
  <c r="E42" i="23"/>
  <c r="E41" i="23"/>
  <c r="H9" i="40"/>
  <c r="H8" i="40"/>
  <c r="H7" i="40"/>
  <c r="H6" i="40"/>
  <c r="H5" i="40"/>
  <c r="H4" i="40"/>
  <c r="H3" i="40"/>
  <c r="D3" i="27"/>
  <c r="D3" i="11"/>
  <c r="H6" i="15" l="1"/>
  <c r="D3" i="8"/>
  <c r="D3" i="19"/>
  <c r="D3" i="18"/>
  <c r="D3" i="17"/>
  <c r="D3" i="25"/>
  <c r="D3" i="13"/>
  <c r="D3" i="14"/>
  <c r="D3" i="34"/>
  <c r="D3" i="33"/>
  <c r="D3" i="29"/>
  <c r="D3" i="28"/>
  <c r="D3" i="4"/>
  <c r="D3" i="42" l="1"/>
  <c r="C32" i="23" l="1"/>
  <c r="D32" i="23"/>
  <c r="G32" i="23"/>
  <c r="E32" i="23" s="1"/>
  <c r="C33" i="23"/>
  <c r="D33" i="23"/>
  <c r="G33" i="23"/>
  <c r="E33" i="23" s="1"/>
  <c r="C34" i="23"/>
  <c r="D34" i="23"/>
  <c r="G34" i="23"/>
  <c r="E34" i="23" s="1"/>
  <c r="C35" i="23"/>
  <c r="D35" i="23"/>
  <c r="G35" i="23"/>
  <c r="E35" i="23" s="1"/>
  <c r="C36" i="23"/>
  <c r="D36" i="23"/>
  <c r="G36" i="23"/>
  <c r="E36" i="23" s="1"/>
  <c r="C37" i="23"/>
  <c r="D37" i="23"/>
  <c r="G37" i="23"/>
  <c r="E37" i="23" s="1"/>
  <c r="B37" i="23"/>
  <c r="B36" i="23"/>
  <c r="B35" i="23"/>
  <c r="B34" i="23"/>
  <c r="B33" i="23"/>
  <c r="B32" i="23"/>
  <c r="C31" i="23"/>
  <c r="D31" i="23"/>
  <c r="G31" i="23"/>
  <c r="E31" i="23" s="1"/>
  <c r="G30" i="23"/>
  <c r="E30" i="23" s="1"/>
  <c r="D30" i="23"/>
  <c r="C30" i="23"/>
  <c r="B31" i="23"/>
  <c r="B30" i="23"/>
  <c r="F20" i="44"/>
  <c r="D20" i="44"/>
  <c r="B20" i="44"/>
  <c r="I17" i="44"/>
  <c r="I16" i="44"/>
  <c r="I15" i="44"/>
  <c r="I14" i="44"/>
  <c r="I13" i="44"/>
  <c r="I12" i="44"/>
  <c r="F3" i="44"/>
  <c r="H20" i="44" s="1"/>
  <c r="G20" i="44" s="1"/>
  <c r="F20" i="43"/>
  <c r="D20" i="43"/>
  <c r="B20" i="43"/>
  <c r="A20" i="43" s="1"/>
  <c r="C20" i="43" s="1"/>
  <c r="I17" i="43"/>
  <c r="I16" i="43"/>
  <c r="I15" i="43"/>
  <c r="F3" i="43"/>
  <c r="H20" i="43" s="1"/>
  <c r="G20" i="43" s="1"/>
  <c r="F20" i="42"/>
  <c r="D20" i="42"/>
  <c r="B20" i="42"/>
  <c r="A20" i="42" s="1"/>
  <c r="C20" i="42" s="1"/>
  <c r="I7" i="42" s="1"/>
  <c r="I17" i="42"/>
  <c r="I16" i="42"/>
  <c r="I15" i="42"/>
  <c r="I14" i="42"/>
  <c r="I13" i="42"/>
  <c r="I12" i="42"/>
  <c r="I11" i="42"/>
  <c r="I10" i="42"/>
  <c r="I9" i="42"/>
  <c r="I8" i="42"/>
  <c r="F3" i="42"/>
  <c r="H20" i="42" s="1"/>
  <c r="G20" i="42" s="1"/>
  <c r="F20" i="41"/>
  <c r="D20" i="41"/>
  <c r="B20" i="41"/>
  <c r="A20" i="41" s="1"/>
  <c r="I17" i="41"/>
  <c r="I16" i="41"/>
  <c r="I15" i="41"/>
  <c r="I14" i="41"/>
  <c r="I13" i="41"/>
  <c r="I12" i="41"/>
  <c r="I11" i="41"/>
  <c r="I10" i="41"/>
  <c r="I9" i="41"/>
  <c r="I8" i="41"/>
  <c r="I7" i="41"/>
  <c r="F3" i="41"/>
  <c r="H20" i="41" s="1"/>
  <c r="G20" i="41" s="1"/>
  <c r="F20" i="40"/>
  <c r="D20" i="40"/>
  <c r="B20" i="40"/>
  <c r="A20" i="40" s="1"/>
  <c r="I17" i="40"/>
  <c r="I16" i="40"/>
  <c r="I15" i="40"/>
  <c r="I14" i="40"/>
  <c r="I13" i="40"/>
  <c r="I12" i="40"/>
  <c r="I11" i="40"/>
  <c r="F3" i="40"/>
  <c r="H20" i="40" s="1"/>
  <c r="G20" i="40" s="1"/>
  <c r="F20" i="39"/>
  <c r="D20" i="39"/>
  <c r="B20" i="39"/>
  <c r="A20" i="39" s="1"/>
  <c r="I17" i="39"/>
  <c r="I16" i="39"/>
  <c r="I15" i="39"/>
  <c r="I14" i="39"/>
  <c r="I13" i="39"/>
  <c r="I12" i="39"/>
  <c r="I11" i="39"/>
  <c r="F3" i="39"/>
  <c r="H20" i="39" s="1"/>
  <c r="G20" i="39" s="1"/>
  <c r="F20" i="38"/>
  <c r="D20" i="38"/>
  <c r="B20" i="38"/>
  <c r="I17" i="38"/>
  <c r="I16" i="38"/>
  <c r="F3" i="38"/>
  <c r="H20" i="38" s="1"/>
  <c r="G20" i="38" s="1"/>
  <c r="F20" i="35"/>
  <c r="D20" i="35"/>
  <c r="B20" i="35"/>
  <c r="A20" i="35" s="1"/>
  <c r="C20" i="35" s="1"/>
  <c r="I17" i="35"/>
  <c r="I16" i="35"/>
  <c r="I15" i="35"/>
  <c r="I14" i="35"/>
  <c r="I13" i="35"/>
  <c r="I12" i="35"/>
  <c r="F3" i="35"/>
  <c r="H20" i="35" s="1"/>
  <c r="G20" i="35" s="1"/>
  <c r="F20" i="34"/>
  <c r="D20" i="34"/>
  <c r="B20" i="34"/>
  <c r="A20" i="34" s="1"/>
  <c r="I17" i="34"/>
  <c r="I16" i="34"/>
  <c r="I15" i="34"/>
  <c r="I14" i="34"/>
  <c r="I13" i="34"/>
  <c r="I12" i="34"/>
  <c r="I11" i="34"/>
  <c r="F3" i="34"/>
  <c r="H20" i="34" s="1"/>
  <c r="G20" i="34" s="1"/>
  <c r="F20" i="33"/>
  <c r="D20" i="33"/>
  <c r="B20" i="33"/>
  <c r="A20" i="33" s="1"/>
  <c r="I17" i="33"/>
  <c r="I16" i="33"/>
  <c r="I15" i="33"/>
  <c r="I14" i="33"/>
  <c r="I13" i="33"/>
  <c r="I12" i="33"/>
  <c r="I11" i="33"/>
  <c r="I10" i="33"/>
  <c r="F3" i="33"/>
  <c r="H20" i="33" s="1"/>
  <c r="G20" i="33" s="1"/>
  <c r="F20" i="32"/>
  <c r="D20" i="32"/>
  <c r="B20" i="32"/>
  <c r="A20" i="32" s="1"/>
  <c r="C20" i="32" s="1"/>
  <c r="I6" i="32" s="1"/>
  <c r="I17" i="32"/>
  <c r="I16" i="32"/>
  <c r="I15" i="32"/>
  <c r="I14" i="32"/>
  <c r="I13" i="32"/>
  <c r="I12" i="32"/>
  <c r="I11" i="32"/>
  <c r="I10" i="32"/>
  <c r="I9" i="32"/>
  <c r="I8" i="32"/>
  <c r="F3" i="32"/>
  <c r="H20" i="32" s="1"/>
  <c r="G20" i="32" s="1"/>
  <c r="F20" i="31"/>
  <c r="D20" i="31"/>
  <c r="B20" i="31"/>
  <c r="A20" i="31" s="1"/>
  <c r="I17" i="31"/>
  <c r="I16" i="31"/>
  <c r="I15" i="31"/>
  <c r="I14" i="31"/>
  <c r="I13" i="31"/>
  <c r="F3" i="31"/>
  <c r="H20" i="31" s="1"/>
  <c r="G20" i="31" s="1"/>
  <c r="C20" i="40" l="1"/>
  <c r="I7" i="40" s="1"/>
  <c r="C20" i="39"/>
  <c r="C20" i="34"/>
  <c r="I3" i="34" s="1"/>
  <c r="C20" i="31"/>
  <c r="A20" i="38"/>
  <c r="C20" i="38" s="1"/>
  <c r="I15" i="38" s="1"/>
  <c r="C20" i="33"/>
  <c r="I6" i="33" s="1"/>
  <c r="I7" i="32"/>
  <c r="C20" i="41"/>
  <c r="I9" i="33"/>
  <c r="I8" i="33"/>
  <c r="I5" i="33"/>
  <c r="I3" i="40"/>
  <c r="I10" i="40"/>
  <c r="I6" i="35"/>
  <c r="I5" i="35"/>
  <c r="I10" i="35"/>
  <c r="I4" i="35"/>
  <c r="I9" i="35"/>
  <c r="I3" i="35"/>
  <c r="E20" i="35" s="1"/>
  <c r="I8" i="35"/>
  <c r="I7" i="35"/>
  <c r="I11" i="35"/>
  <c r="I10" i="34"/>
  <c r="I3" i="42"/>
  <c r="I6" i="42"/>
  <c r="I5" i="42"/>
  <c r="I4" i="42"/>
  <c r="I3" i="32"/>
  <c r="I5" i="32"/>
  <c r="I4" i="32"/>
  <c r="E20" i="32" s="1"/>
  <c r="I12" i="43"/>
  <c r="I6" i="43"/>
  <c r="I11" i="43"/>
  <c r="I5" i="43"/>
  <c r="I10" i="43"/>
  <c r="I4" i="43"/>
  <c r="E20" i="43" s="1"/>
  <c r="I9" i="43"/>
  <c r="I3" i="43"/>
  <c r="I14" i="43"/>
  <c r="I8" i="43"/>
  <c r="I13" i="43"/>
  <c r="I7" i="43"/>
  <c r="E3" i="41"/>
  <c r="E20" i="42"/>
  <c r="H22" i="42" s="1"/>
  <c r="H23" i="42" s="1"/>
  <c r="I3" i="41"/>
  <c r="A20" i="44"/>
  <c r="C20" i="44" s="1"/>
  <c r="E20" i="41"/>
  <c r="E20" i="40" l="1"/>
  <c r="E3" i="40" s="1"/>
  <c r="H37" i="23" s="1"/>
  <c r="J37" i="23" s="1"/>
  <c r="I9" i="40"/>
  <c r="I4" i="40"/>
  <c r="I8" i="40"/>
  <c r="I5" i="40"/>
  <c r="I6" i="40"/>
  <c r="I9" i="39"/>
  <c r="I10" i="39"/>
  <c r="I6" i="39"/>
  <c r="I8" i="39"/>
  <c r="I7" i="39"/>
  <c r="I4" i="39"/>
  <c r="I5" i="39"/>
  <c r="I3" i="39"/>
  <c r="I10" i="38"/>
  <c r="I14" i="38"/>
  <c r="I12" i="38"/>
  <c r="I13" i="38"/>
  <c r="I8" i="38"/>
  <c r="I11" i="38"/>
  <c r="I9" i="34"/>
  <c r="I7" i="34"/>
  <c r="I8" i="34"/>
  <c r="I5" i="34"/>
  <c r="I6" i="34"/>
  <c r="I4" i="34"/>
  <c r="I7" i="33"/>
  <c r="I3" i="33"/>
  <c r="I4" i="33"/>
  <c r="I11" i="31"/>
  <c r="I12" i="31"/>
  <c r="I4" i="31"/>
  <c r="I10" i="31"/>
  <c r="I9" i="31"/>
  <c r="I8" i="31"/>
  <c r="I6" i="31"/>
  <c r="I7" i="31"/>
  <c r="I5" i="31"/>
  <c r="I3" i="31"/>
  <c r="I5" i="41"/>
  <c r="I6" i="41"/>
  <c r="I4" i="41"/>
  <c r="H22" i="41"/>
  <c r="H23" i="41" s="1"/>
  <c r="I9" i="38"/>
  <c r="I6" i="38"/>
  <c r="I7" i="38"/>
  <c r="I3" i="38"/>
  <c r="I5" i="38"/>
  <c r="I4" i="38"/>
  <c r="E3" i="43"/>
  <c r="H22" i="43"/>
  <c r="H23" i="43" s="1"/>
  <c r="E3" i="32"/>
  <c r="H31" i="23" s="1"/>
  <c r="H22" i="32"/>
  <c r="H23" i="32" s="1"/>
  <c r="H22" i="35"/>
  <c r="H23" i="35" s="1"/>
  <c r="E3" i="35"/>
  <c r="H34" i="23" s="1"/>
  <c r="I9" i="44"/>
  <c r="I3" i="44"/>
  <c r="I8" i="44"/>
  <c r="I7" i="44"/>
  <c r="I6" i="44"/>
  <c r="E20" i="44" s="1"/>
  <c r="I11" i="44"/>
  <c r="I5" i="44"/>
  <c r="I10" i="44"/>
  <c r="I4" i="44"/>
  <c r="H22" i="40"/>
  <c r="H23" i="40" s="1"/>
  <c r="E3" i="42"/>
  <c r="C23" i="23"/>
  <c r="D23" i="23"/>
  <c r="G23" i="23"/>
  <c r="E23" i="23" s="1"/>
  <c r="C24" i="23"/>
  <c r="D24" i="23"/>
  <c r="G24" i="23"/>
  <c r="E24" i="23" s="1"/>
  <c r="C25" i="23"/>
  <c r="D25" i="23"/>
  <c r="G25" i="23"/>
  <c r="E25" i="23" s="1"/>
  <c r="C26" i="23"/>
  <c r="D26" i="23"/>
  <c r="G26" i="23"/>
  <c r="E26" i="23" s="1"/>
  <c r="C27" i="23"/>
  <c r="D27" i="23"/>
  <c r="G27" i="23"/>
  <c r="E27" i="23" s="1"/>
  <c r="C28" i="23"/>
  <c r="D28" i="23"/>
  <c r="G28" i="23"/>
  <c r="E28" i="23" s="1"/>
  <c r="C29" i="23"/>
  <c r="D29" i="23"/>
  <c r="G29" i="23"/>
  <c r="E29" i="23" s="1"/>
  <c r="B29" i="23"/>
  <c r="B28" i="23"/>
  <c r="B27" i="23"/>
  <c r="B26" i="23"/>
  <c r="B25" i="23"/>
  <c r="B24" i="23"/>
  <c r="B23" i="23"/>
  <c r="F20" i="30"/>
  <c r="D20" i="30"/>
  <c r="B20" i="30"/>
  <c r="F3" i="30"/>
  <c r="H20" i="30" s="1"/>
  <c r="G20" i="30" s="1"/>
  <c r="F20" i="29"/>
  <c r="D20" i="29"/>
  <c r="B20" i="29"/>
  <c r="A20" i="29" s="1"/>
  <c r="F3" i="29"/>
  <c r="H20" i="29" s="1"/>
  <c r="G20" i="29" s="1"/>
  <c r="F20" i="28"/>
  <c r="D20" i="28"/>
  <c r="B20" i="28"/>
  <c r="A20" i="28" s="1"/>
  <c r="F3" i="28"/>
  <c r="H20" i="28" s="1"/>
  <c r="G20" i="28" s="1"/>
  <c r="F20" i="27"/>
  <c r="D20" i="27"/>
  <c r="B20" i="27"/>
  <c r="A20" i="27" s="1"/>
  <c r="F3" i="27"/>
  <c r="H20" i="27" s="1"/>
  <c r="G20" i="27" s="1"/>
  <c r="F20" i="26"/>
  <c r="D20" i="26"/>
  <c r="B20" i="26"/>
  <c r="A20" i="26" s="1"/>
  <c r="F3" i="26"/>
  <c r="H20" i="26" s="1"/>
  <c r="G20" i="26" s="1"/>
  <c r="F20" i="25"/>
  <c r="D20" i="25"/>
  <c r="B20" i="25"/>
  <c r="A20" i="25" s="1"/>
  <c r="F3" i="25"/>
  <c r="H20" i="25" s="1"/>
  <c r="G20" i="25" s="1"/>
  <c r="F20" i="24"/>
  <c r="D20" i="24"/>
  <c r="B20" i="24"/>
  <c r="A20" i="24" s="1"/>
  <c r="F3" i="24"/>
  <c r="H20" i="24" s="1"/>
  <c r="G20" i="24" s="1"/>
  <c r="I37" i="23" l="1"/>
  <c r="K37" i="23"/>
  <c r="E20" i="39"/>
  <c r="H22" i="39" s="1"/>
  <c r="H23" i="39" s="1"/>
  <c r="E20" i="38"/>
  <c r="E20" i="34"/>
  <c r="E3" i="34" s="1"/>
  <c r="H33" i="23" s="1"/>
  <c r="K33" i="23" s="1"/>
  <c r="E20" i="33"/>
  <c r="H22" i="33" s="1"/>
  <c r="H23" i="33" s="1"/>
  <c r="E20" i="31"/>
  <c r="E3" i="31" s="1"/>
  <c r="H30" i="23" s="1"/>
  <c r="J30" i="23" s="1"/>
  <c r="C20" i="28"/>
  <c r="I3" i="28" s="1"/>
  <c r="C20" i="26"/>
  <c r="I3" i="26" s="1"/>
  <c r="I34" i="23"/>
  <c r="K34" i="23"/>
  <c r="J34" i="23"/>
  <c r="I31" i="23"/>
  <c r="K31" i="23"/>
  <c r="J31" i="23"/>
  <c r="H22" i="44"/>
  <c r="H23" i="44" s="1"/>
  <c r="E3" i="44"/>
  <c r="C20" i="24"/>
  <c r="I8" i="24" s="1"/>
  <c r="I15" i="28"/>
  <c r="I9" i="28"/>
  <c r="I14" i="28"/>
  <c r="I13" i="28"/>
  <c r="I16" i="28"/>
  <c r="I12" i="28"/>
  <c r="I17" i="28"/>
  <c r="I11" i="28"/>
  <c r="I10" i="28"/>
  <c r="I15" i="24"/>
  <c r="I14" i="24"/>
  <c r="I13" i="24"/>
  <c r="I16" i="24"/>
  <c r="I17" i="24"/>
  <c r="I15" i="26"/>
  <c r="I9" i="26"/>
  <c r="I16" i="26"/>
  <c r="I14" i="26"/>
  <c r="I8" i="26"/>
  <c r="I13" i="26"/>
  <c r="I12" i="26"/>
  <c r="I10" i="26"/>
  <c r="I17" i="26"/>
  <c r="I11" i="26"/>
  <c r="C20" i="25"/>
  <c r="C20" i="27"/>
  <c r="C20" i="29"/>
  <c r="A20" i="30"/>
  <c r="C20" i="30" s="1"/>
  <c r="G44" i="23"/>
  <c r="C4" i="23"/>
  <c r="D4" i="23"/>
  <c r="G4" i="23"/>
  <c r="E4" i="23" s="1"/>
  <c r="C5" i="23"/>
  <c r="D5" i="23"/>
  <c r="G5" i="23"/>
  <c r="E5" i="23" s="1"/>
  <c r="C6" i="23"/>
  <c r="D6" i="23"/>
  <c r="G6" i="23"/>
  <c r="E6" i="23" s="1"/>
  <c r="C7" i="23"/>
  <c r="D7" i="23"/>
  <c r="G7" i="23"/>
  <c r="E7" i="23" s="1"/>
  <c r="C8" i="23"/>
  <c r="D8" i="23"/>
  <c r="G8" i="23"/>
  <c r="E8" i="23" s="1"/>
  <c r="C9" i="23"/>
  <c r="D9" i="23"/>
  <c r="G9" i="23"/>
  <c r="E9" i="23" s="1"/>
  <c r="C10" i="23"/>
  <c r="D10" i="23"/>
  <c r="G10" i="23"/>
  <c r="E10" i="23" s="1"/>
  <c r="C11" i="23"/>
  <c r="D11" i="23"/>
  <c r="G11" i="23"/>
  <c r="E11" i="23" s="1"/>
  <c r="C12" i="23"/>
  <c r="D12" i="23"/>
  <c r="G12" i="23"/>
  <c r="E12" i="23" s="1"/>
  <c r="C13" i="23"/>
  <c r="D13" i="23"/>
  <c r="G13" i="23"/>
  <c r="E13" i="23" s="1"/>
  <c r="C14" i="23"/>
  <c r="D14" i="23"/>
  <c r="G14" i="23"/>
  <c r="E14" i="23" s="1"/>
  <c r="C15" i="23"/>
  <c r="D15" i="23"/>
  <c r="G15" i="23"/>
  <c r="E15" i="23" s="1"/>
  <c r="C16" i="23"/>
  <c r="D16" i="23"/>
  <c r="G16" i="23"/>
  <c r="E16" i="23" s="1"/>
  <c r="C17" i="23"/>
  <c r="D17" i="23"/>
  <c r="G17" i="23"/>
  <c r="E17" i="23" s="1"/>
  <c r="C18" i="23"/>
  <c r="D18" i="23"/>
  <c r="G18" i="23"/>
  <c r="E18" i="23" s="1"/>
  <c r="C19" i="23"/>
  <c r="D19" i="23"/>
  <c r="G19" i="23"/>
  <c r="E19" i="23" s="1"/>
  <c r="C20" i="23"/>
  <c r="D20" i="23"/>
  <c r="G20" i="23"/>
  <c r="E20" i="23" s="1"/>
  <c r="C21" i="23"/>
  <c r="D21" i="23"/>
  <c r="G21" i="23"/>
  <c r="E21" i="23" s="1"/>
  <c r="C22" i="23"/>
  <c r="D22" i="23"/>
  <c r="G22" i="23"/>
  <c r="E22" i="23" s="1"/>
  <c r="B22" i="23"/>
  <c r="B21" i="23"/>
  <c r="B20" i="23"/>
  <c r="B19" i="23"/>
  <c r="B18" i="23"/>
  <c r="B17" i="23"/>
  <c r="B16" i="23"/>
  <c r="B15" i="23"/>
  <c r="B14" i="23"/>
  <c r="B13" i="23"/>
  <c r="B12" i="23"/>
  <c r="B11" i="23"/>
  <c r="B10" i="23"/>
  <c r="B9" i="23"/>
  <c r="B8" i="23"/>
  <c r="B7" i="23"/>
  <c r="B6" i="23"/>
  <c r="B5" i="23"/>
  <c r="B4" i="23"/>
  <c r="C3" i="23"/>
  <c r="D3" i="23"/>
  <c r="G3" i="23"/>
  <c r="E3" i="23" s="1"/>
  <c r="B3" i="23"/>
  <c r="F20" i="22"/>
  <c r="D20" i="22"/>
  <c r="B20" i="22"/>
  <c r="A20" i="22" s="1"/>
  <c r="F3" i="22"/>
  <c r="H20" i="22" s="1"/>
  <c r="G20" i="22" s="1"/>
  <c r="F20" i="21"/>
  <c r="D20" i="21"/>
  <c r="B20" i="21"/>
  <c r="A20" i="21" s="1"/>
  <c r="F3" i="21"/>
  <c r="H20" i="21" s="1"/>
  <c r="G20" i="21" s="1"/>
  <c r="F20" i="20"/>
  <c r="D20" i="20"/>
  <c r="B20" i="20"/>
  <c r="A20" i="20" s="1"/>
  <c r="F3" i="20"/>
  <c r="H20" i="20" s="1"/>
  <c r="G20" i="20" s="1"/>
  <c r="F20" i="19"/>
  <c r="D20" i="19"/>
  <c r="B20" i="19"/>
  <c r="A20" i="19" s="1"/>
  <c r="F3" i="19"/>
  <c r="H20" i="19" s="1"/>
  <c r="G20" i="19" s="1"/>
  <c r="F20" i="18"/>
  <c r="D20" i="18"/>
  <c r="B20" i="18"/>
  <c r="A20" i="18" s="1"/>
  <c r="F3" i="18"/>
  <c r="H20" i="18" s="1"/>
  <c r="G20" i="18" s="1"/>
  <c r="F20" i="17"/>
  <c r="D20" i="17"/>
  <c r="B20" i="17"/>
  <c r="A20" i="17" s="1"/>
  <c r="F3" i="17"/>
  <c r="H20" i="17" s="1"/>
  <c r="G20" i="17" s="1"/>
  <c r="F20" i="16"/>
  <c r="D20" i="16"/>
  <c r="B20" i="16"/>
  <c r="A20" i="16" s="1"/>
  <c r="F3" i="16"/>
  <c r="H20" i="16" s="1"/>
  <c r="G20" i="16" s="1"/>
  <c r="F20" i="15"/>
  <c r="D20" i="15"/>
  <c r="B20" i="15"/>
  <c r="A20" i="15" s="1"/>
  <c r="F3" i="15"/>
  <c r="H20" i="15" s="1"/>
  <c r="G20" i="15" s="1"/>
  <c r="F20" i="14"/>
  <c r="D20" i="14"/>
  <c r="B20" i="14"/>
  <c r="A20" i="14" s="1"/>
  <c r="F3" i="14"/>
  <c r="H20" i="14" s="1"/>
  <c r="G20" i="14" s="1"/>
  <c r="F20" i="13"/>
  <c r="D20" i="13"/>
  <c r="B20" i="13"/>
  <c r="A20" i="13" s="1"/>
  <c r="F3" i="13"/>
  <c r="H20" i="13" s="1"/>
  <c r="G20" i="13" s="1"/>
  <c r="F20" i="12"/>
  <c r="D20" i="12"/>
  <c r="B20" i="12"/>
  <c r="A20" i="12" s="1"/>
  <c r="F3" i="12"/>
  <c r="H20" i="12" s="1"/>
  <c r="G20" i="12" s="1"/>
  <c r="F20" i="11"/>
  <c r="D20" i="11"/>
  <c r="B20" i="11"/>
  <c r="A20" i="11" s="1"/>
  <c r="F3" i="11"/>
  <c r="H20" i="11" s="1"/>
  <c r="G20" i="11" s="1"/>
  <c r="F20" i="10"/>
  <c r="D20" i="10"/>
  <c r="B20" i="10"/>
  <c r="A20" i="10" s="1"/>
  <c r="F3" i="10"/>
  <c r="H20" i="10" s="1"/>
  <c r="G20" i="10" s="1"/>
  <c r="F20" i="9"/>
  <c r="D20" i="9"/>
  <c r="B20" i="9"/>
  <c r="A20" i="9" s="1"/>
  <c r="I14" i="9"/>
  <c r="I8" i="9"/>
  <c r="F3" i="9"/>
  <c r="H20" i="9" s="1"/>
  <c r="G20" i="9" s="1"/>
  <c r="F20" i="8"/>
  <c r="D20" i="8"/>
  <c r="B20" i="8"/>
  <c r="F3" i="8"/>
  <c r="H20" i="8" s="1"/>
  <c r="G20" i="8" s="1"/>
  <c r="F20" i="7"/>
  <c r="D20" i="7"/>
  <c r="B20" i="7"/>
  <c r="F3" i="7"/>
  <c r="H20" i="7" s="1"/>
  <c r="G20" i="7" s="1"/>
  <c r="F20" i="6"/>
  <c r="D20" i="6"/>
  <c r="B20" i="6"/>
  <c r="A20" i="6" s="1"/>
  <c r="F3" i="6"/>
  <c r="H20" i="6" s="1"/>
  <c r="G20" i="6" s="1"/>
  <c r="F20" i="5"/>
  <c r="D20" i="5"/>
  <c r="B20" i="5"/>
  <c r="A20" i="5" s="1"/>
  <c r="F3" i="5"/>
  <c r="H20" i="5" s="1"/>
  <c r="G20" i="5" s="1"/>
  <c r="F20" i="4"/>
  <c r="D20" i="4"/>
  <c r="B20" i="4"/>
  <c r="F3" i="4"/>
  <c r="H20" i="4" s="1"/>
  <c r="G20" i="4" s="1"/>
  <c r="F20" i="1"/>
  <c r="D20" i="1"/>
  <c r="B20" i="1"/>
  <c r="A20" i="1" s="1"/>
  <c r="F3" i="1"/>
  <c r="H20" i="1" s="1"/>
  <c r="G20" i="1" s="1"/>
  <c r="E3" i="39" l="1"/>
  <c r="H36" i="23" s="1"/>
  <c r="K36" i="23" s="1"/>
  <c r="H22" i="38"/>
  <c r="H23" i="38" s="1"/>
  <c r="E3" i="38"/>
  <c r="H35" i="23" s="1"/>
  <c r="I33" i="23"/>
  <c r="J33" i="23"/>
  <c r="H22" i="34"/>
  <c r="H23" i="34" s="1"/>
  <c r="E3" i="33"/>
  <c r="H32" i="23" s="1"/>
  <c r="I32" i="23" s="1"/>
  <c r="K30" i="23"/>
  <c r="I30" i="23"/>
  <c r="H22" i="31"/>
  <c r="H23" i="31" s="1"/>
  <c r="I7" i="28"/>
  <c r="I8" i="28"/>
  <c r="I6" i="28"/>
  <c r="I4" i="28"/>
  <c r="I5" i="28"/>
  <c r="I7" i="26"/>
  <c r="I6" i="26"/>
  <c r="I4" i="26"/>
  <c r="I5" i="26"/>
  <c r="C20" i="14"/>
  <c r="I5" i="14" s="1"/>
  <c r="I12" i="24"/>
  <c r="I3" i="24"/>
  <c r="I7" i="24"/>
  <c r="I11" i="24"/>
  <c r="I4" i="24"/>
  <c r="I10" i="24"/>
  <c r="I6" i="24"/>
  <c r="C20" i="16"/>
  <c r="I9" i="16" s="1"/>
  <c r="C20" i="5"/>
  <c r="I6" i="5" s="1"/>
  <c r="I5" i="24"/>
  <c r="I9" i="24"/>
  <c r="C20" i="22"/>
  <c r="I3" i="22" s="1"/>
  <c r="C20" i="20"/>
  <c r="I5" i="20" s="1"/>
  <c r="C20" i="18"/>
  <c r="I6" i="18" s="1"/>
  <c r="C20" i="12"/>
  <c r="I9" i="12" s="1"/>
  <c r="C20" i="9"/>
  <c r="I12" i="9" s="1"/>
  <c r="C20" i="6"/>
  <c r="I8" i="6" s="1"/>
  <c r="A20" i="7"/>
  <c r="C20" i="7" s="1"/>
  <c r="I16" i="7" s="1"/>
  <c r="A20" i="8"/>
  <c r="C20" i="8" s="1"/>
  <c r="I4" i="8" s="1"/>
  <c r="I15" i="30"/>
  <c r="I9" i="30"/>
  <c r="I3" i="30"/>
  <c r="I14" i="30"/>
  <c r="I8" i="30"/>
  <c r="I13" i="30"/>
  <c r="I7" i="30"/>
  <c r="I4" i="30"/>
  <c r="I12" i="30"/>
  <c r="I6" i="30"/>
  <c r="I17" i="30"/>
  <c r="I11" i="30"/>
  <c r="I5" i="30"/>
  <c r="I10" i="30"/>
  <c r="I16" i="30"/>
  <c r="I12" i="29"/>
  <c r="I6" i="29"/>
  <c r="I17" i="29"/>
  <c r="I11" i="29"/>
  <c r="I5" i="29"/>
  <c r="I16" i="29"/>
  <c r="I10" i="29"/>
  <c r="I4" i="29"/>
  <c r="I13" i="29"/>
  <c r="I7" i="29"/>
  <c r="I15" i="29"/>
  <c r="I9" i="29"/>
  <c r="I3" i="29"/>
  <c r="I14" i="29"/>
  <c r="I8" i="29"/>
  <c r="I12" i="27"/>
  <c r="I6" i="27"/>
  <c r="I17" i="27"/>
  <c r="I11" i="27"/>
  <c r="I5" i="27"/>
  <c r="I13" i="27"/>
  <c r="I16" i="27"/>
  <c r="I10" i="27"/>
  <c r="I4" i="27"/>
  <c r="I15" i="27"/>
  <c r="I9" i="27"/>
  <c r="I3" i="27"/>
  <c r="I14" i="27"/>
  <c r="I8" i="27"/>
  <c r="I7" i="27"/>
  <c r="I12" i="25"/>
  <c r="I6" i="25"/>
  <c r="I15" i="25"/>
  <c r="I9" i="25"/>
  <c r="I3" i="25"/>
  <c r="I17" i="25"/>
  <c r="I11" i="25"/>
  <c r="I5" i="25"/>
  <c r="I16" i="25"/>
  <c r="I10" i="25"/>
  <c r="I4" i="25"/>
  <c r="I13" i="25"/>
  <c r="I14" i="25"/>
  <c r="I8" i="25"/>
  <c r="I7" i="25"/>
  <c r="I15" i="20"/>
  <c r="I13" i="20"/>
  <c r="I14" i="20"/>
  <c r="I12" i="20"/>
  <c r="I17" i="20"/>
  <c r="I11" i="20"/>
  <c r="I16" i="20"/>
  <c r="I15" i="22"/>
  <c r="I14" i="22"/>
  <c r="I17" i="22"/>
  <c r="I16" i="22"/>
  <c r="C20" i="19"/>
  <c r="C20" i="21"/>
  <c r="I15" i="12"/>
  <c r="I14" i="12"/>
  <c r="I13" i="12"/>
  <c r="I17" i="12"/>
  <c r="I11" i="12"/>
  <c r="I16" i="12"/>
  <c r="I15" i="16"/>
  <c r="I16" i="16"/>
  <c r="I14" i="16"/>
  <c r="I8" i="16"/>
  <c r="I13" i="16"/>
  <c r="I12" i="16"/>
  <c r="I17" i="16"/>
  <c r="I11" i="16"/>
  <c r="I10" i="16"/>
  <c r="I15" i="14"/>
  <c r="I9" i="14"/>
  <c r="I16" i="14"/>
  <c r="I14" i="14"/>
  <c r="I8" i="14"/>
  <c r="I10" i="14"/>
  <c r="I13" i="14"/>
  <c r="I12" i="14"/>
  <c r="I17" i="14"/>
  <c r="I11" i="14"/>
  <c r="I15" i="18"/>
  <c r="I14" i="18"/>
  <c r="I13" i="18"/>
  <c r="I16" i="18"/>
  <c r="I12" i="18"/>
  <c r="I17" i="18"/>
  <c r="C20" i="11"/>
  <c r="C20" i="13"/>
  <c r="C20" i="15"/>
  <c r="C20" i="17"/>
  <c r="I15" i="8"/>
  <c r="I9" i="8"/>
  <c r="I14" i="8"/>
  <c r="I8" i="8"/>
  <c r="I7" i="8"/>
  <c r="I12" i="8"/>
  <c r="I13" i="8"/>
  <c r="I17" i="8"/>
  <c r="I11" i="8"/>
  <c r="I16" i="8"/>
  <c r="I10" i="8"/>
  <c r="I16" i="9"/>
  <c r="C20" i="10"/>
  <c r="I13" i="9"/>
  <c r="I9" i="9"/>
  <c r="I15" i="9"/>
  <c r="I15" i="7"/>
  <c r="I10" i="9"/>
  <c r="I17" i="7"/>
  <c r="I11" i="9"/>
  <c r="I17" i="9"/>
  <c r="I6" i="9"/>
  <c r="I15" i="6"/>
  <c r="I14" i="6"/>
  <c r="I17" i="6"/>
  <c r="I16" i="6"/>
  <c r="I12" i="6"/>
  <c r="I6" i="6"/>
  <c r="I12" i="5"/>
  <c r="I17" i="5"/>
  <c r="I11" i="5"/>
  <c r="I16" i="5"/>
  <c r="I8" i="5"/>
  <c r="I13" i="5"/>
  <c r="I15" i="5"/>
  <c r="I14" i="5"/>
  <c r="A20" i="4"/>
  <c r="C20" i="4" s="1"/>
  <c r="C20" i="1"/>
  <c r="K32" i="23" l="1"/>
  <c r="I5" i="9"/>
  <c r="J36" i="23"/>
  <c r="I36" i="23"/>
  <c r="J35" i="23"/>
  <c r="K35" i="23"/>
  <c r="I35" i="23"/>
  <c r="J32" i="23"/>
  <c r="E20" i="28"/>
  <c r="E3" i="28" s="1"/>
  <c r="H27" i="23" s="1"/>
  <c r="K27" i="23" s="1"/>
  <c r="E20" i="27"/>
  <c r="E3" i="27" s="1"/>
  <c r="H26" i="23" s="1"/>
  <c r="E20" i="26"/>
  <c r="H22" i="26" s="1"/>
  <c r="H23" i="26" s="1"/>
  <c r="I13" i="22"/>
  <c r="I10" i="22"/>
  <c r="I3" i="18"/>
  <c r="I7" i="18"/>
  <c r="I5" i="18"/>
  <c r="I11" i="18"/>
  <c r="I10" i="18"/>
  <c r="I8" i="18"/>
  <c r="I9" i="18"/>
  <c r="I6" i="14"/>
  <c r="I7" i="14"/>
  <c r="I4" i="14"/>
  <c r="I3" i="14"/>
  <c r="I5" i="6"/>
  <c r="I3" i="6"/>
  <c r="I6" i="16"/>
  <c r="I3" i="9"/>
  <c r="I7" i="9"/>
  <c r="I7" i="6"/>
  <c r="E20" i="24"/>
  <c r="E3" i="24" s="1"/>
  <c r="H23" i="23" s="1"/>
  <c r="I8" i="20"/>
  <c r="I3" i="20"/>
  <c r="I7" i="20"/>
  <c r="I6" i="20"/>
  <c r="I4" i="20"/>
  <c r="I10" i="20"/>
  <c r="I9" i="20"/>
  <c r="I4" i="18"/>
  <c r="I4" i="16"/>
  <c r="I3" i="16"/>
  <c r="I5" i="16"/>
  <c r="I7" i="16"/>
  <c r="I10" i="12"/>
  <c r="I12" i="12"/>
  <c r="I4" i="12"/>
  <c r="I8" i="12"/>
  <c r="I6" i="12"/>
  <c r="I7" i="12"/>
  <c r="I3" i="12"/>
  <c r="I5" i="12"/>
  <c r="I6" i="8"/>
  <c r="I5" i="8"/>
  <c r="I3" i="8"/>
  <c r="I11" i="6"/>
  <c r="I9" i="6"/>
  <c r="I4" i="6"/>
  <c r="I13" i="6"/>
  <c r="I10" i="6"/>
  <c r="I3" i="5"/>
  <c r="I10" i="5"/>
  <c r="I4" i="5"/>
  <c r="I9" i="5"/>
  <c r="I7" i="5"/>
  <c r="I5" i="5"/>
  <c r="E20" i="30"/>
  <c r="E3" i="30" s="1"/>
  <c r="H29" i="23" s="1"/>
  <c r="E20" i="29"/>
  <c r="H22" i="29" s="1"/>
  <c r="H23" i="29" s="1"/>
  <c r="E20" i="25"/>
  <c r="H22" i="25" s="1"/>
  <c r="H23" i="25" s="1"/>
  <c r="I11" i="22"/>
  <c r="I12" i="22"/>
  <c r="I9" i="22"/>
  <c r="I6" i="22"/>
  <c r="I5" i="22"/>
  <c r="I8" i="22"/>
  <c r="I4" i="22"/>
  <c r="I7" i="22"/>
  <c r="I4" i="9"/>
  <c r="E20" i="9"/>
  <c r="H22" i="9" s="1"/>
  <c r="H23" i="9" s="1"/>
  <c r="I10" i="7"/>
  <c r="I14" i="7"/>
  <c r="I8" i="7"/>
  <c r="I6" i="7"/>
  <c r="I4" i="7"/>
  <c r="I12" i="7"/>
  <c r="I9" i="7"/>
  <c r="I3" i="7"/>
  <c r="I13" i="7"/>
  <c r="I7" i="7"/>
  <c r="I5" i="7"/>
  <c r="I11" i="7"/>
  <c r="I12" i="21"/>
  <c r="I6" i="21"/>
  <c r="I17" i="21"/>
  <c r="I11" i="21"/>
  <c r="I5" i="21"/>
  <c r="I3" i="21"/>
  <c r="I16" i="21"/>
  <c r="I10" i="21"/>
  <c r="I4" i="21"/>
  <c r="I15" i="21"/>
  <c r="I14" i="21"/>
  <c r="I8" i="21"/>
  <c r="I13" i="21"/>
  <c r="I7" i="21"/>
  <c r="I9" i="21"/>
  <c r="I12" i="19"/>
  <c r="I6" i="19"/>
  <c r="I5" i="19"/>
  <c r="I16" i="19"/>
  <c r="I17" i="19"/>
  <c r="I11" i="19"/>
  <c r="I4" i="19"/>
  <c r="I15" i="19"/>
  <c r="I3" i="19"/>
  <c r="I9" i="19"/>
  <c r="I14" i="19"/>
  <c r="I8" i="19"/>
  <c r="I13" i="19"/>
  <c r="I7" i="19"/>
  <c r="I10" i="19"/>
  <c r="I12" i="13"/>
  <c r="I6" i="13"/>
  <c r="I17" i="13"/>
  <c r="I11" i="13"/>
  <c r="I5" i="13"/>
  <c r="I16" i="13"/>
  <c r="I10" i="13"/>
  <c r="I4" i="13"/>
  <c r="I15" i="13"/>
  <c r="I9" i="13"/>
  <c r="I3" i="13"/>
  <c r="I13" i="13"/>
  <c r="I14" i="13"/>
  <c r="I8" i="13"/>
  <c r="I7" i="13"/>
  <c r="I12" i="11"/>
  <c r="I6" i="11"/>
  <c r="I7" i="11"/>
  <c r="I17" i="11"/>
  <c r="I11" i="11"/>
  <c r="I5" i="11"/>
  <c r="I16" i="11"/>
  <c r="I10" i="11"/>
  <c r="I4" i="11"/>
  <c r="I15" i="11"/>
  <c r="I9" i="11"/>
  <c r="I3" i="11"/>
  <c r="I13" i="11"/>
  <c r="I14" i="11"/>
  <c r="I8" i="11"/>
  <c r="I12" i="17"/>
  <c r="I6" i="17"/>
  <c r="I13" i="17"/>
  <c r="I17" i="17"/>
  <c r="I11" i="17"/>
  <c r="I5" i="17"/>
  <c r="I16" i="17"/>
  <c r="I10" i="17"/>
  <c r="I4" i="17"/>
  <c r="I15" i="17"/>
  <c r="I9" i="17"/>
  <c r="I3" i="17"/>
  <c r="I14" i="17"/>
  <c r="I8" i="17"/>
  <c r="I7" i="17"/>
  <c r="I12" i="15"/>
  <c r="I6" i="15"/>
  <c r="I17" i="15"/>
  <c r="I11" i="15"/>
  <c r="I5" i="15"/>
  <c r="I7" i="15"/>
  <c r="I16" i="15"/>
  <c r="I10" i="15"/>
  <c r="I4" i="15"/>
  <c r="I15" i="15"/>
  <c r="I9" i="15"/>
  <c r="I3" i="15"/>
  <c r="I13" i="15"/>
  <c r="I14" i="15"/>
  <c r="I8" i="15"/>
  <c r="I15" i="10"/>
  <c r="I13" i="10"/>
  <c r="I7" i="10"/>
  <c r="I12" i="10"/>
  <c r="I6" i="10"/>
  <c r="I17" i="10"/>
  <c r="I11" i="10"/>
  <c r="I5" i="10"/>
  <c r="I16" i="10"/>
  <c r="I10" i="10"/>
  <c r="I4" i="10"/>
  <c r="I9" i="10"/>
  <c r="I3" i="10"/>
  <c r="I14" i="10"/>
  <c r="I8" i="10"/>
  <c r="I15" i="4"/>
  <c r="I9" i="4"/>
  <c r="I8" i="4"/>
  <c r="I13" i="4"/>
  <c r="I7" i="4"/>
  <c r="I12" i="4"/>
  <c r="I6" i="4"/>
  <c r="I16" i="4"/>
  <c r="I10" i="4"/>
  <c r="I4" i="4"/>
  <c r="I3" i="4"/>
  <c r="I14" i="4"/>
  <c r="I17" i="4"/>
  <c r="I11" i="4"/>
  <c r="I5" i="4"/>
  <c r="I8" i="1"/>
  <c r="I4" i="1"/>
  <c r="I10" i="1"/>
  <c r="I16" i="1"/>
  <c r="I5" i="1"/>
  <c r="I11" i="1"/>
  <c r="I17" i="1"/>
  <c r="I6" i="1"/>
  <c r="I12" i="1"/>
  <c r="I3" i="1"/>
  <c r="I7" i="1"/>
  <c r="I13" i="1"/>
  <c r="I14" i="1"/>
  <c r="I9" i="1"/>
  <c r="I15" i="1"/>
  <c r="E20" i="12" l="1"/>
  <c r="H22" i="12" s="1"/>
  <c r="H23" i="12" s="1"/>
  <c r="I27" i="23"/>
  <c r="H22" i="28"/>
  <c r="H23" i="28" s="1"/>
  <c r="J27" i="23"/>
  <c r="H22" i="27"/>
  <c r="H23" i="27" s="1"/>
  <c r="E3" i="26"/>
  <c r="H25" i="23" s="1"/>
  <c r="I25" i="23" s="1"/>
  <c r="E20" i="22"/>
  <c r="H22" i="22" s="1"/>
  <c r="H23" i="22" s="1"/>
  <c r="E20" i="18"/>
  <c r="H22" i="18" s="1"/>
  <c r="H23" i="18" s="1"/>
  <c r="E20" i="16"/>
  <c r="H22" i="16" s="1"/>
  <c r="H23" i="16" s="1"/>
  <c r="E20" i="14"/>
  <c r="E3" i="14" s="1"/>
  <c r="H14" i="23" s="1"/>
  <c r="I14" i="23" s="1"/>
  <c r="E20" i="8"/>
  <c r="H22" i="8" s="1"/>
  <c r="H23" i="8" s="1"/>
  <c r="E20" i="6"/>
  <c r="H22" i="6" s="1"/>
  <c r="H23" i="6" s="1"/>
  <c r="I29" i="23"/>
  <c r="K29" i="23"/>
  <c r="J29" i="23"/>
  <c r="I23" i="23"/>
  <c r="K23" i="23"/>
  <c r="J23" i="23"/>
  <c r="I26" i="23"/>
  <c r="K26" i="23"/>
  <c r="J26" i="23"/>
  <c r="H22" i="24"/>
  <c r="H23" i="24" s="1"/>
  <c r="E20" i="20"/>
  <c r="E3" i="20" s="1"/>
  <c r="H20" i="23" s="1"/>
  <c r="E20" i="5"/>
  <c r="E3" i="5" s="1"/>
  <c r="H5" i="23" s="1"/>
  <c r="H22" i="30"/>
  <c r="H23" i="30" s="1"/>
  <c r="E3" i="29"/>
  <c r="H28" i="23" s="1"/>
  <c r="E3" i="25"/>
  <c r="H24" i="23" s="1"/>
  <c r="E20" i="21"/>
  <c r="H22" i="21" s="1"/>
  <c r="H23" i="21" s="1"/>
  <c r="E20" i="19"/>
  <c r="H22" i="19" s="1"/>
  <c r="H23" i="19" s="1"/>
  <c r="E20" i="15"/>
  <c r="H22" i="15" s="1"/>
  <c r="H23" i="15" s="1"/>
  <c r="E20" i="13"/>
  <c r="E3" i="13" s="1"/>
  <c r="H13" i="23" s="1"/>
  <c r="E20" i="11"/>
  <c r="H22" i="11" s="1"/>
  <c r="H23" i="11" s="1"/>
  <c r="E20" i="10"/>
  <c r="H22" i="10" s="1"/>
  <c r="H23" i="10" s="1"/>
  <c r="E3" i="9"/>
  <c r="H9" i="23" s="1"/>
  <c r="E20" i="7"/>
  <c r="E20" i="4"/>
  <c r="E3" i="4" s="1"/>
  <c r="H4" i="23" s="1"/>
  <c r="E20" i="17"/>
  <c r="E20" i="1"/>
  <c r="E3" i="12" l="1"/>
  <c r="H12" i="23" s="1"/>
  <c r="I12" i="23" s="1"/>
  <c r="J25" i="23"/>
  <c r="K25" i="23"/>
  <c r="E3" i="22"/>
  <c r="H22" i="23" s="1"/>
  <c r="K22" i="23" s="1"/>
  <c r="E3" i="18"/>
  <c r="H18" i="23" s="1"/>
  <c r="I18" i="23" s="1"/>
  <c r="E3" i="16"/>
  <c r="H16" i="23" s="1"/>
  <c r="J16" i="23" s="1"/>
  <c r="K14" i="23"/>
  <c r="J14" i="23"/>
  <c r="H22" i="14"/>
  <c r="H23" i="14" s="1"/>
  <c r="E3" i="8"/>
  <c r="H8" i="23" s="1"/>
  <c r="I8" i="23" s="1"/>
  <c r="E3" i="6"/>
  <c r="H6" i="23" s="1"/>
  <c r="I6" i="23" s="1"/>
  <c r="I9" i="23"/>
  <c r="K9" i="23"/>
  <c r="J9" i="23"/>
  <c r="I5" i="23"/>
  <c r="K5" i="23"/>
  <c r="J5" i="23"/>
  <c r="I20" i="23"/>
  <c r="K20" i="23"/>
  <c r="J20" i="23"/>
  <c r="I13" i="23"/>
  <c r="K13" i="23"/>
  <c r="J13" i="23"/>
  <c r="I24" i="23"/>
  <c r="K24" i="23"/>
  <c r="J24" i="23"/>
  <c r="I4" i="23"/>
  <c r="K4" i="23"/>
  <c r="J4" i="23"/>
  <c r="I28" i="23"/>
  <c r="H49" i="23" s="1"/>
  <c r="K28" i="23"/>
  <c r="J28" i="23"/>
  <c r="H22" i="20"/>
  <c r="H23" i="20" s="1"/>
  <c r="E3" i="21"/>
  <c r="H21" i="23" s="1"/>
  <c r="E3" i="19"/>
  <c r="H19" i="23" s="1"/>
  <c r="E3" i="15"/>
  <c r="H15" i="23" s="1"/>
  <c r="H22" i="13"/>
  <c r="H23" i="13" s="1"/>
  <c r="E3" i="10"/>
  <c r="H10" i="23" s="1"/>
  <c r="H22" i="5"/>
  <c r="H23" i="5" s="1"/>
  <c r="H22" i="4"/>
  <c r="H23" i="4" s="1"/>
  <c r="E3" i="11"/>
  <c r="H11" i="23" s="1"/>
  <c r="H22" i="7"/>
  <c r="H23" i="7" s="1"/>
  <c r="E3" i="7"/>
  <c r="H7" i="23" s="1"/>
  <c r="H22" i="17"/>
  <c r="H23" i="17" s="1"/>
  <c r="E3" i="17"/>
  <c r="H17" i="23" s="1"/>
  <c r="E3" i="1"/>
  <c r="H3" i="23" s="1"/>
  <c r="H22" i="1"/>
  <c r="H23" i="1" s="1"/>
  <c r="K12" i="23" l="1"/>
  <c r="J12" i="23"/>
  <c r="K6" i="23"/>
  <c r="I22" i="23"/>
  <c r="J22" i="23"/>
  <c r="J18" i="23"/>
  <c r="K18" i="23"/>
  <c r="K16" i="23"/>
  <c r="I16" i="23"/>
  <c r="K8" i="23"/>
  <c r="J8" i="23"/>
  <c r="J6" i="23"/>
  <c r="I19" i="23"/>
  <c r="K19" i="23"/>
  <c r="J19" i="23"/>
  <c r="I3" i="23"/>
  <c r="K3" i="23"/>
  <c r="J3" i="23"/>
  <c r="I10" i="23"/>
  <c r="H48" i="23" s="1"/>
  <c r="K10" i="23"/>
  <c r="J10" i="23"/>
  <c r="I7" i="23"/>
  <c r="K7" i="23"/>
  <c r="J7" i="23"/>
  <c r="I15" i="23"/>
  <c r="K15" i="23"/>
  <c r="J15" i="23"/>
  <c r="I11" i="23"/>
  <c r="K11" i="23"/>
  <c r="J11" i="23"/>
  <c r="I21" i="23"/>
  <c r="K21" i="23"/>
  <c r="J21" i="23"/>
  <c r="I17" i="23"/>
  <c r="K17" i="23"/>
  <c r="J17" i="23"/>
  <c r="H47" i="23"/>
  <c r="H46" i="23"/>
  <c r="D41" i="23" l="1"/>
  <c r="D42" i="23"/>
  <c r="D40" i="23"/>
</calcChain>
</file>

<file path=xl/sharedStrings.xml><?xml version="1.0" encoding="utf-8"?>
<sst xmlns="http://schemas.openxmlformats.org/spreadsheetml/2006/main" count="1371" uniqueCount="232">
  <si>
    <t>Resultado da Estimativa</t>
  </si>
  <si>
    <t>item</t>
  </si>
  <si>
    <t>descrição</t>
  </si>
  <si>
    <t>unidade de fornecimento</t>
  </si>
  <si>
    <t>quantidade</t>
  </si>
  <si>
    <t>valor unitário</t>
  </si>
  <si>
    <t>valor total</t>
  </si>
  <si>
    <t>unidade</t>
  </si>
  <si>
    <t>Estimativa do Item</t>
  </si>
  <si>
    <t>preço estimado</t>
  </si>
  <si>
    <t>menor preço</t>
  </si>
  <si>
    <t>fonte de pesquisa</t>
  </si>
  <si>
    <t>preços</t>
  </si>
  <si>
    <t>descarte</t>
  </si>
  <si>
    <t>desvio padrão</t>
  </si>
  <si>
    <t>quantidade de preços coletados</t>
  </si>
  <si>
    <t>média</t>
  </si>
  <si>
    <t>média após descarte</t>
  </si>
  <si>
    <t>mediana</t>
  </si>
  <si>
    <t>menor preço unitário encontrado</t>
  </si>
  <si>
    <t>valor unitário estimado</t>
  </si>
  <si>
    <t>MÉDIA: média aritmética dos preços pesquisados.</t>
  </si>
  <si>
    <t>DESCARTE: coluna que exibe os preços considerados, quando COEF. é maior que 25%. São descartados os preços fora do intervalo entre o menor preço e a soma [MÉDIA + DESVIO].</t>
  </si>
  <si>
    <t>MÉDIA APÓS DESCARTE: média aritmética dos preços dentro do intervalo acima descrito.</t>
  </si>
  <si>
    <t>MEDIANA: valor estatístico que separa a metade maior da metade menor da amostra, calculado pela função MED do editor de planilhas.</t>
  </si>
  <si>
    <t>coef.</t>
  </si>
  <si>
    <t>COEF.: (coeficiente de variação) relação entre o DESVIO e a MÉDIA, expresso em valor percentual.</t>
  </si>
  <si>
    <t>VALOR UNITÁRIO: quando COEF. for menor ou igual a 25%, será a MÉDIA dos preços pesquisados; quando COEF. for maior que 25%, será o menor valor dentre a MÉDIA APÓS DESCARTE e a MEDIANA.</t>
  </si>
  <si>
    <t>DESVIO: desvio padrão dos preços pesquisados, calculado por meio da função DESVPAD.A do editor de planilhas.</t>
  </si>
  <si>
    <t>lote</t>
  </si>
  <si>
    <t>valor total do item</t>
  </si>
  <si>
    <t>total lote</t>
  </si>
  <si>
    <t>qtde lotes</t>
  </si>
  <si>
    <t>n/a</t>
  </si>
  <si>
    <t>PROJETOR DE VIDEO LASER 6000 lúmens.
• Tipo do display: Poly-silicon TFT matriz ativa
Resolução nativa: 1920 x 1200 pixels WUXGA
• Modo de projeção: Frontal, Frontal/Teto, Traseiro, Traseiro/Teto.
• Painel LCD: 0,67" (D10 com C2Fine™).
• Número de pixels: 2.304.000 pixels (1920x1200) x 3
• Brilho em cores - Saída de luz colorida: 6.000 lumens (ISSO 21118 padrão)
• Brilho em branco - Saída de luz branca: 6.000 lumens
• Razão de aspecto: 16:10
• Resolução nativa: 1920x1200 (WUXGA)
• Alcance do Throw-Ratio: 1,35–2,2
• Dimensões da imagem: 48” (1,22m) a 470” (7,11m)
• Correção de Keystone: Vertical: ±30 graus; Horizontal: ±30 graus.
• Razão de contraste: até 2.500.000:1 com modo dinâmico de cores, modo normal de fonte de luz e modo wide zoom
• Alcance de mudança da lente: Vertical: ±50 graus; Horizontal: ±20 graus.
• Processamento de cor: 10 bits
• Reprodução de cor: até 1,07 bilhão de cores
• Tipo de laser: laser diodo
• Potencia de saída da fonte de luz: até 104,5W
• Comprimento de onda: 449 a 491nm
• Duração da fonte de luz laser: Normal: 20.000 horas; Silencioso: 20.000 horas; Estendido: 30.000 horas
• Lente de projeção standard: F=1.5 a 1.7
• Distância focal: 20.0 a 31.8 mm
• Interfaces:
                    HDBaseT x1
HDMI x2
Analógico: D-sub 15 pin x1
Controle I/O: RS-232C (D-sub 9 pin)
USB-I/O: Tipo A x1; Tipo B x1
LAN RJ45 x1
Wireless LAN (acessório opcional) USB Tipo A x1
Entrada de Áudio (stereo): x2
Saída de Áudio (stereo): x1
                     Ruído do ventilador: 37dB (Modo Normal), 25dB (Modo ECO)0
• Energia:
Voltagem: 100 – 240VAC ±10%, 50/60Hz
Voltagem nominal: 100 – 240VAC
Frequência nominal: 50/60Hz
Consumo de energia:
Normal: 353W
Silencioso: 254W
Standby em Rede 2,0W
• Acessório:
Suporte articulado para montagem em mastro fixo no teto (ceiling-mount) conforme
modelo/fabricante.
Equipamento especificado: Epson, Panasonic, Christie ou equivalente técnico.
• Garantia de, no mínimo, 180 dias.</t>
  </si>
  <si>
    <t>APARELHO TELEFÔNICO IP Fixo – tipo 2, com as seguintes características:
• Terminal de comunicação IP composto por telefone, monofone, e acessórios para seu pleno funcionamento;
• Possuir a capacidade de autoregistrar-se no sistema de controle de chamadas, solicitar seu endereço IP e demais informações operacionais através do protocolo DHCP/BOOTP. Caso algum servidor DHCP/BOOTP não esteja disponível, deverá ser possível a configuração manual do telefone IP fixo;
• Possuir duas portas switch fast ethernet integradas internas, permitindo a conexão de um computador diretamente ao telefone IP fixo, nas velocidades de 10/100 Mbps, autosensing. Não será aceito o uso de adaptadores internos ou externos para as portas fast ethernet;
• Suportar PoE (Power over Ethernet) conforme a classificação do padrão IEEE 802.3af (calss1), suportando alimentação direta via interface ethernet;
• A porta do telefone IP deverá suportar mecanismo de qualidade de serviço e tronco de VLAN padrão 802.1q e 802.1p. Desta forma, o tráfego de dados e de voz utilizarão VLANs distintas;
• Certificado/homologado pela ANATEL;
• Possuir no mínimo os codecs G.711 e G.729;
• Permitir busca de configuração em servidores comuns por meio de protocolos padrão;
• Suportar o protocolo Session Initiation Protocol (SIP), não serão aceitos equipamentos híbridos com telefonia analógica ou que necessitem de adaptadores externos para o funcionamento;
• Possuir recurso de viva-voz bidirecional com cancelamento de eco;
• Permitir o ajuste de toque de chamada;
• Possuir ajuste de volume para fone, campainha e fone de ouvido;
• Possuir, no mínimo, 4 teclas de função programáveis;
• Possuir entrada de headset;
• Possuir base com ângulo de visão ajustável;
• Possuir display de cristal líquido (LCD) monocromático, com iluminação de fundo, com resolução mínima de 160 x 80 pixels. Este display deve prover informações de data e hora, correio e voz, ícone de chamadas perdidas, detalhes da chamada durante uma ligação, histórico de chamadas efetuadas e recebidas e configurações do aparelho;
• Suportar o idioma Português (Brasil);
• Possuir recurso de geração de supressão de silêncio;
• A compressão dos canais de voz deve ser realizada no próprio aparelho;
• Suportar o protocolo Transport Layer Security (TLS) com criptografia AES de 128 bits;
• Permitir que se efetue transferência de chamadas internas e externas. O usuário poderá optar pela transferência de uma chamada recebida para um número interno ou externo;
• Possuir recurso que indique a existência de “chamada em espera”, informando ao usuário que há uma chamada entrante durante uma conversação;
• Permitir a rediscagem do último número discado; 
• Possuir a tecla mute;
• Possuir recurso de discagem rápida para números pré-configurados pelo usuário; 
• Suportar desvio automático de chamada para voicemail ou outro destino pré-configurado;
• Suportar conferência e captura de chamadas;
• Deve suportar de forma nativa autenticação e criptografia nas chamadas telefônicas, com indicação na tela do uso destas funcionalidades;
• Garantia mínima de 36 (trinta e seis) meses.
• Referência: CISCO UC PHONE CP-7821</t>
  </si>
  <si>
    <t>AMERICANAS</t>
  </si>
  <si>
    <t>MAGAZINE LUIZA</t>
  </si>
  <si>
    <t>GLOBAL PROJETORES</t>
  </si>
  <si>
    <t>HTCLICK</t>
  </si>
  <si>
    <t>IFONTECH</t>
  </si>
  <si>
    <t>RMS COMMERCE</t>
  </si>
  <si>
    <t>TIMIX</t>
  </si>
  <si>
    <t>SOLUÇÃO CABOS</t>
  </si>
  <si>
    <t>TECHINN</t>
  </si>
  <si>
    <t>quantidade total</t>
  </si>
  <si>
    <t>quantidade
Anexo A
Salvador</t>
  </si>
  <si>
    <t>quantidade
Anexo B
Feira de Santana</t>
  </si>
  <si>
    <t>Cabo de cobre, flexivel, classe 4 ou 5, isolacao em pvc/a, antichama bwf-b, 1 condutor, 450/750 v, secao nominal 1,5 mm²</t>
  </si>
  <si>
    <t>metro</t>
  </si>
  <si>
    <t>Cabo de cobre, flexivel, classe 4 ou 5, isolacao em pvc/a, antichama bwf-b, 1 condutor, 450/750 v, secao nominal 2,5 mm²</t>
  </si>
  <si>
    <t>Cabo gsette 0,6/1kv 2 condutores 1,5mm²</t>
  </si>
  <si>
    <t>Cabo gsette 0,6/1kv 2 condutores 2,5mm²</t>
  </si>
  <si>
    <t>Cabo multipolar de cobre, flexivel, classe 4 ou 5, isolacao em hepr, cobertura em pvc-st2, antichama bwf-b, 0,6/1 kv, 3 condutores de 1,5 mm²</t>
  </si>
  <si>
    <t>Cabo pp cordplast 2 condutores 450/750v 2,50mm²</t>
  </si>
  <si>
    <t>Caixa de sobrepor com suporte e placa p/ 1 modulos</t>
  </si>
  <si>
    <t>Caixa de sobrepor com suporte e placa p/ 3 modulos</t>
  </si>
  <si>
    <t>Disjuntor tipo DIN/IEC, monopolar de 6 ate 32a</t>
  </si>
  <si>
    <t>disjuntor tripolar 100 a, padrão din (linha branca), corrente de interrupção 65ka, ref.: siemens 3vf22 ou similar.</t>
  </si>
  <si>
    <t>Fita adesiva silver tape 48mm x 50m</t>
  </si>
  <si>
    <t>Fita isolante adesiva antichama, uso ate 750 v, em rolo de 19 mm x 20 m</t>
  </si>
  <si>
    <t>Grampo para fixar fio elétrico</t>
  </si>
  <si>
    <t>interruptor simples + tomada 2p+t 10a, 250v, conjunto montado para embutir 4" x 2" (placa + suporte + modulos)</t>
  </si>
  <si>
    <t>Interruptor simples 10a, 250v, conjunto montado para embutir 4" x 2" (placa + un suporte + modulo)</t>
  </si>
  <si>
    <t>Interruptores simples (2 modulos) 10a, 250v, conjunto montado para embutir 4"x 2" (placa + suporte + modulos)</t>
  </si>
  <si>
    <t>Interruptores simples (3 modulos) 10a, 250v, conjunto montado para embutir 4"x 2" (placa + suporte + modulos)</t>
  </si>
  <si>
    <t>Lampada de led ultra 30w e-27</t>
  </si>
  <si>
    <t>Lampada led 10 w bivolt branca, formato tradicional (base e27)</t>
  </si>
  <si>
    <t>Lâmpada led 12w de potência, luz branca autovolt, e27, marca glight ou similar</t>
  </si>
  <si>
    <t>Lâmpada led 15w de potência, luz branca autovolt, marca glight ou similar</t>
  </si>
  <si>
    <t>Lampada led tubular bivolt 18/20 w, base g13</t>
  </si>
  <si>
    <t>Luminária (calha) p/ lampada fluorescente 2 x 40w/tubular LED 18w a 20w</t>
  </si>
  <si>
    <t>Plafon de sobrepor e27 100w 250v</t>
  </si>
  <si>
    <t>Plug femea 2p + t</t>
  </si>
  <si>
    <t>Plugue para tomada, tipo macho, 2p+t 10a</t>
  </si>
  <si>
    <t>Soquete de pvc / termoplastico base e27, com rabicho, para lampadas</t>
  </si>
  <si>
    <t>Suporte/soquete plastico para lampada fluorescente</t>
  </si>
  <si>
    <t>Tomada 2p+t 10a, 250v (apenas modulo)</t>
  </si>
  <si>
    <t>Tomada 2p+t 10a, 250v, conjunto montado para embutir 4" x 2" (placa + suporte +modulo)</t>
  </si>
  <si>
    <t>Tomadas (2 modulos) 2p+t 10a, 250v, conjunto montado para embutir 4" x 2" (placa+ suporte + modulos)</t>
  </si>
  <si>
    <t>Lampada de led bulbo 9w a60</t>
  </si>
  <si>
    <t>Disjuntor tipo DIN/IEC, tripolar de 10 ate 50a</t>
  </si>
  <si>
    <t>Refletor Slim LED 100W de potência, branco Frio, 6500k, Autovolt, marca G-light ou similar</t>
  </si>
  <si>
    <t>Canaleta plastica 20 x 10mm, sem divisória (ref. 308 02, Pial Legrand ou similar)</t>
  </si>
  <si>
    <t>valor total
Salvador</t>
  </si>
  <si>
    <t>valor total
Feira de Santana</t>
  </si>
  <si>
    <t>total Salvador</t>
  </si>
  <si>
    <t>total Feira de Santana</t>
  </si>
  <si>
    <t>JOSE CARLOS BRUM EVANGELHO LTDA</t>
  </si>
  <si>
    <t>TRI-CAMPEAO - COMERCIO DE MATERIAIS DE CONSTRUCAO LTDA</t>
  </si>
  <si>
    <t>A RODRIGUES COM E SERVICOS LTDA</t>
  </si>
  <si>
    <t>PIANA &amp; PIANA LTDA</t>
  </si>
  <si>
    <t>SILVA DISTRIBUIDORA E FERRAGISTA LTDA</t>
  </si>
  <si>
    <t>EDMILSON ALVES BORGES</t>
  </si>
  <si>
    <t>ASX SERVICOS E COMERCIO DE MATERIAL ELETRICO LTDA</t>
  </si>
  <si>
    <t>NACIONAL MATERIAIS PARA CONSTRUCAO LTDA</t>
  </si>
  <si>
    <t>CLIMATIZE AR CONDICIONADO LTDA</t>
  </si>
  <si>
    <t>ALLUME SERVICOS E COMERCIO LTDA</t>
  </si>
  <si>
    <t>48.920.400 JUAN PABLO SILVA DE QUEIROZ</t>
  </si>
  <si>
    <t>TCJM DISTRIBUIDORA E IMPORTADORA LTDA</t>
  </si>
  <si>
    <t>CECILIA P V DOS SANTOS</t>
  </si>
  <si>
    <t>DISTRIBUIDORA BOM SUCESSO LTDA</t>
  </si>
  <si>
    <t>GLOBAL COMERCIAL LTDA</t>
  </si>
  <si>
    <t>COMERCIAL SPONCHIADO LTDA</t>
  </si>
  <si>
    <t>LLG COMERCIO SERVICOS E ALIMENTOS LTDA</t>
  </si>
  <si>
    <t>VOLT MATERIAIS ELETRICOS LTDA</t>
  </si>
  <si>
    <t>VANDER PESSOA.</t>
  </si>
  <si>
    <t>ELETRICA ALIANCA LTDA</t>
  </si>
  <si>
    <t>MB COMERCIO, SERVICOS E LOCACAO DE MAQUINAS E EQUIPAMENTOS LTDA</t>
  </si>
  <si>
    <t>43.634.076 OSWALDO JOSE CANDATTEN</t>
  </si>
  <si>
    <t>ICOMEPS INDUSTRIA E COMERCIO DE MATERIAL ESPORTIVO LTDA</t>
  </si>
  <si>
    <t>ONADIR SERRATO JUNIOR</t>
  </si>
  <si>
    <t>LRF DISTRIBUIDORA LTDA</t>
  </si>
  <si>
    <t>JR PORTELLA COMERCIO DE ACESSORIOS E SERVICOS AUTOMOTIVOS LTDA</t>
  </si>
  <si>
    <t>AGREGA DISTRIBUIDORA LTDA</t>
  </si>
  <si>
    <t>EQUIPAT - EQUIPAMENTOS E MATERIAIS ELETRICOS E ELETRONICOS LTDA</t>
  </si>
  <si>
    <t>ALBERTH DANIEL BONFIM</t>
  </si>
  <si>
    <t>TOP FLEX COMERCIO E SERVICOS LTDA</t>
  </si>
  <si>
    <t>LAD SOLUCOES INTEGRADAS LTDA</t>
  </si>
  <si>
    <t>STB COMERCIO E DISTRIBUIDORA LTDA</t>
  </si>
  <si>
    <t>BRANDAL SUPERMERCADO E COMERCIO DE MATERIAIS DE CONSTRUCAO LTDA</t>
  </si>
  <si>
    <t>COMERCIAL ELETRO ITA LTDA</t>
  </si>
  <si>
    <t>P&amp;Y COMERCIO LTDA</t>
  </si>
  <si>
    <t>TEMMAX COMERCIAL, SERVICOS E TECNOLOGIA LTDA</t>
  </si>
  <si>
    <t>SHEWLA COMERCIO E SERVICOS DE CONTROLE DE QUALIDADE LTDA</t>
  </si>
  <si>
    <t>RM COMERCIO DE MERCADORIAS E MATERIAIS LTDA</t>
  </si>
  <si>
    <t>ALBUQUERQUE SOLUCOES E ENGENHARIA LTDA</t>
  </si>
  <si>
    <t>EVOLUTION COMERCIO DE COMPONENTES ELETRONICOS LTDA</t>
  </si>
  <si>
    <t>GR COMERCIO LTDA</t>
  </si>
  <si>
    <t>TMCAR AUTO CENTER LTDA</t>
  </si>
  <si>
    <t>MORK TELECOM PRODUTOS E SERVICOS PARA TELECOMUNICACOES LTDA</t>
  </si>
  <si>
    <t>DME - DISTRIBUIDORA DE MATERIAIS ELETRICOS LTDA</t>
  </si>
  <si>
    <t>SUL.COM ATACADO E VAREJO LTDA</t>
  </si>
  <si>
    <t>KRASNER SERVICOS E COMERCIO LTDA</t>
  </si>
  <si>
    <t>WC COMERCIO DE MATERIAL DE CONSTRUCAO LTDA</t>
  </si>
  <si>
    <t>DELVALLE MATERIAIS ELETRICOS LTDA</t>
  </si>
  <si>
    <t>DIGITAL HOME LTDA</t>
  </si>
  <si>
    <t>ELETRONEW COMERCIO DE MATERIAIS ELETRICOS LTDA</t>
  </si>
  <si>
    <t>ELETROMIL COMERCIAL LTDA</t>
  </si>
  <si>
    <t>FORTZ COMERCIO DE MATERIAIS ELETRICOS LTDA</t>
  </si>
  <si>
    <t>50.184.462 EVERSON TEIXEIRA TAVARES</t>
  </si>
  <si>
    <t>MARTINS COMERCIO DE MATERIAIS DE CONSTRUCAO LTDA</t>
  </si>
  <si>
    <t>52.896.290 DAVI VELLOZO DE OLIVEIRA</t>
  </si>
  <si>
    <t>CJC COMERCIO VAREJISTA E ATACADISTA DE FERRAMENTAS LTDA</t>
  </si>
  <si>
    <t>J T S CORDEIRO LTDA</t>
  </si>
  <si>
    <t>GOIAS LED MATERIAIS ELETRICOS E CONSTRUCAO LTDA</t>
  </si>
  <si>
    <t>VOGLIO IMPORTADORA, EXPORTADORA E REPRESENTACOES LTDA.</t>
  </si>
  <si>
    <t>HILQUIAS INACIO DA SILVA 10548026459</t>
  </si>
  <si>
    <t>FORT INDUSTRIA E COMERCIO DE MATERIAIS ELETRICOS LTDA</t>
  </si>
  <si>
    <t>RLUX ILUMINACAO LTDA</t>
  </si>
  <si>
    <t>V. A. IMPORTE LTDA</t>
  </si>
  <si>
    <t>NOVO MUNDO COMERCIO DE MATERIAIS ELETRICOS LTDA</t>
  </si>
  <si>
    <t>COMERCIAL AGUIAR DE MATERIAL ELETRICO LTDA</t>
  </si>
  <si>
    <t>GAMA LUZ COMERCIO DE MATERIAIS ELETRICOS LTDA</t>
  </si>
  <si>
    <t>MACROMMERCE LTDA</t>
  </si>
  <si>
    <t>LUIZ EUGENIO BENDOTTI 04392381960</t>
  </si>
  <si>
    <t>51.711.738 PAULA RENATA SIMIAO ALVES</t>
  </si>
  <si>
    <t>QLUZ DA AMAZONIA LTDA</t>
  </si>
  <si>
    <t>47.678.899 VITOR MARGARIDA SOBREIRA</t>
  </si>
  <si>
    <t>MUNDO DO LED COMERCIO DE MATERIAL ELETRICO LTDA</t>
  </si>
  <si>
    <t>DUARTE MATERIAIS PARA CONSTRUCAO LTDA</t>
  </si>
  <si>
    <t>VCA COMERCIO DE MATERIAL ELETRICO LTDA</t>
  </si>
  <si>
    <t>V. F. GERMANO SILVA LTDA</t>
  </si>
  <si>
    <t>INTEGRAL DISTRIBUIDORA DE PRODUTOS ALIMENTICIOS LTDA</t>
  </si>
  <si>
    <t>F-COMMERCE COMERCIO DE MATERIAIS ELETRICOS LTDA</t>
  </si>
  <si>
    <t>RABELO MAGAZINE COMERCIO LTDA</t>
  </si>
  <si>
    <t>QUERETARO TECNOLOGIA DE PROTECAO AMBIENTAL LTDA</t>
  </si>
  <si>
    <t>RRA COMERCIO ELETRO-FONIA LTDA</t>
  </si>
  <si>
    <t>22.009.248 SIDNEI JOSE MOSELE</t>
  </si>
  <si>
    <t>ORGANIZACOES MSL COMERCIO DE MATERIAIS ELETRICOS LTDA</t>
  </si>
  <si>
    <t>TP SOUSA SOLUCOES INTEGRADAS LTDA</t>
  </si>
  <si>
    <t>DFER DISTRIBUIDORA DE FERRAGENS LTDA</t>
  </si>
  <si>
    <t>NPE COMERCIO E SERVICOS LTDA</t>
  </si>
  <si>
    <t>AMPLA COMERCIAL LTDA</t>
  </si>
  <si>
    <t>ADRIANA LEME ALVES MATERIAIS ELETRICOS</t>
  </si>
  <si>
    <t>VIDA DE SILICIO LTDA</t>
  </si>
  <si>
    <t>D S EMPREENDIMENTOS LTDA</t>
  </si>
  <si>
    <t>ALBUQUERQUE SOLUCOES LTDA</t>
  </si>
  <si>
    <t>CORREIA &amp; AMORIM LTDA</t>
  </si>
  <si>
    <t>ELDORADO COMERCIO VAREJISTA DE MATERIAIS DE CONSTRUCAO LTDA</t>
  </si>
  <si>
    <t>A2 ROBOTICS COMERCIO IMPORTACAO E EXPORTACAO LTDA</t>
  </si>
  <si>
    <t>PRAVALUZ COMERCIO LTDA</t>
  </si>
  <si>
    <t>PARESUL MATERIAIS DE CONSTRUCAO LTDA</t>
  </si>
  <si>
    <t>ELETRICA CIDADE LTDA</t>
  </si>
  <si>
    <t>HYDROLUZ LTDA</t>
  </si>
  <si>
    <t>FOX STORE LTDA</t>
  </si>
  <si>
    <t>CORDEIRO E OLIVEIRA LTDA</t>
  </si>
  <si>
    <t>M.G. ELETROFERRAGENS LTDA</t>
  </si>
  <si>
    <t>DGA COMERCIO DE MATERIAIS ELETRICOS LTDA</t>
  </si>
  <si>
    <t>NEW PARTS COMERCIAL LTDA</t>
  </si>
  <si>
    <t>ANTONIO FELIX DA SILVA CONSTRUCAO</t>
  </si>
  <si>
    <t>REALLUZ COMERCIO DE MATERIAIS ELETRICOS LTDA</t>
  </si>
  <si>
    <t>ELETROMASTER LTDA</t>
  </si>
  <si>
    <t>KLEBER AZEVEDO MATERIAIS DE CONSTRUCAO LTDA</t>
  </si>
  <si>
    <t>COMERCIAL ELETRICA FARDIM LTDA</t>
  </si>
  <si>
    <t>COMERCIAL SANTOS SILVA DE TOCANTINS LTDA</t>
  </si>
  <si>
    <t>C B L COMERCIO VAREJISTA ESPECIALIZADO DE EQUIPAMENTOS E SUPRIMENTOS DE INFORMAT</t>
  </si>
  <si>
    <t>49.331.590 MARIA DE FATIMA CASTRO RAMOS</t>
  </si>
  <si>
    <t>VALTER MARQUES FILHO 00318967740</t>
  </si>
  <si>
    <t>EDYAN PEREIRA CHIERICATO LTDA</t>
  </si>
  <si>
    <t>LICITAR COMERCIO E DISTRIBUICAO DE MATERIAIS ELETRICOS, HIDRAULICOS LTDA</t>
  </si>
  <si>
    <t>ONE COMERCIAL LTDA</t>
  </si>
  <si>
    <t>50.099.984 THIAGO CRISTOVAO LESSA SANTOS VILASBOAS</t>
  </si>
  <si>
    <t>BRAVE DISTRIBUIDORA LTDA</t>
  </si>
  <si>
    <t>MAIS ENERGIA COMPONENTES ELETRICOS LTDA</t>
  </si>
  <si>
    <t>ATENA ENGENHARIA E CONSTRUCOES LTDA</t>
  </si>
  <si>
    <t>DG SOLUTION INDUSTRIA DE EQUIPAMENTOS ELETRICOS LTDA</t>
  </si>
  <si>
    <t>E G DE OLIVEIRA MATERIAIS DE CONSTRUCAO</t>
  </si>
  <si>
    <t>GFM PRODUTOS E SERVICOS LTDA</t>
  </si>
  <si>
    <t>DANIEL KIM COMERCIO DE ARTIGOS DE ILUMINACAO</t>
  </si>
  <si>
    <t>J. J. VITALLI</t>
  </si>
  <si>
    <t>48.446.433 ADSON MOREIRA PEREIRA</t>
  </si>
  <si>
    <t>VALENTE DISTRIBUICAO, REPRESENTACOES E PRESTACAO DE SERVICOS LTDA</t>
  </si>
  <si>
    <t>M C BELLEI</t>
  </si>
  <si>
    <t>G. M. BAUER COMERCIO E LICITACOES</t>
  </si>
  <si>
    <t>38.339.813 LUCINEY RODRIGUES UCHOA</t>
  </si>
  <si>
    <t>CENTERMAX TINTAS E EQUIPAMENTOS LTDA</t>
  </si>
  <si>
    <t>MELHOR INDÚSTRIA</t>
  </si>
  <si>
    <t>JABU</t>
  </si>
  <si>
    <t>NORTEL EXPRESS</t>
  </si>
  <si>
    <t>SANTIL</t>
  </si>
  <si>
    <t>EP ELÉTRICA</t>
  </si>
  <si>
    <t>DJ LED ELÉTRICA</t>
  </si>
  <si>
    <t>ELETROTRAFO</t>
  </si>
  <si>
    <t>A ELÉTRICA ONLINE</t>
  </si>
  <si>
    <t>LOJAS TAMOYO</t>
  </si>
  <si>
    <t>CETTI</t>
  </si>
  <si>
    <t>DIMENSIONAL</t>
  </si>
  <si>
    <t>UNITEK</t>
  </si>
  <si>
    <t>BDI estimado</t>
  </si>
  <si>
    <t>total com BDI</t>
  </si>
  <si>
    <t>total estimativa c/ materiais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</si>
</sst>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8" formatCode="&quot;R$&quot;\ #,##0.00;[Red]\-&quot;R$&quot;\ #,##0.00"/>
    <numFmt numFmtId="44" formatCode="_-&quot;R$&quot;\ * #,##0.00_-;\-&quot;R$&quot;\ * #,##0.00_-;_-&quot;R$&quot;\ * &quot;-&quot;??_-;_-@_-"/>
    <numFmt numFmtId="164" formatCode="0;\-0;\-;@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sz val="8"/>
      <color theme="1"/>
      <name val="Times New Roman"/>
      <family val="1"/>
    </font>
    <font>
      <sz val="10"/>
      <color theme="1"/>
      <name val="Times New Roman"/>
      <family val="1"/>
    </font>
    <font>
      <b/>
      <sz val="10"/>
      <color theme="1"/>
      <name val="Times New Roman"/>
      <family val="1"/>
    </font>
    <font>
      <sz val="9"/>
      <color theme="1"/>
      <name val="Times New Roman"/>
      <family val="1"/>
    </font>
    <font>
      <b/>
      <sz val="9"/>
      <color theme="1"/>
      <name val="Times New Roman"/>
      <family val="1"/>
    </font>
    <font>
      <b/>
      <sz val="11"/>
      <color theme="1"/>
      <name val="Times New Roman"/>
      <family val="1"/>
    </font>
    <font>
      <b/>
      <sz val="12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1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/>
      <top/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double">
        <color auto="1"/>
      </right>
      <top/>
      <bottom/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/>
      <diagonal/>
    </border>
    <border>
      <left style="double">
        <color auto="1"/>
      </left>
      <right style="double">
        <color auto="1"/>
      </right>
      <top/>
      <bottom style="double">
        <color auto="1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51">
    <xf numFmtId="0" fontId="0" fillId="0" borderId="0" xfId="0"/>
    <xf numFmtId="0" fontId="2" fillId="0" borderId="0" xfId="0" applyFont="1"/>
    <xf numFmtId="0" fontId="3" fillId="0" borderId="0" xfId="0" applyFont="1"/>
    <xf numFmtId="44" fontId="2" fillId="0" borderId="0" xfId="1" applyFont="1"/>
    <xf numFmtId="0" fontId="2" fillId="0" borderId="0" xfId="0" applyFont="1" applyAlignment="1">
      <alignment wrapText="1"/>
    </xf>
    <xf numFmtId="0" fontId="4" fillId="0" borderId="1" xfId="0" applyFont="1" applyBorder="1"/>
    <xf numFmtId="0" fontId="7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/>
    </xf>
    <xf numFmtId="10" fontId="4" fillId="2" borderId="1" xfId="2" applyNumberFormat="1" applyFont="1" applyFill="1" applyBorder="1" applyAlignment="1">
      <alignment horizontal="center"/>
    </xf>
    <xf numFmtId="44" fontId="4" fillId="2" borderId="1" xfId="0" applyNumberFormat="1" applyFont="1" applyFill="1" applyBorder="1" applyAlignment="1">
      <alignment horizontal="center" shrinkToFit="1"/>
    </xf>
    <xf numFmtId="0" fontId="4" fillId="2" borderId="1" xfId="0" applyFont="1" applyFill="1" applyBorder="1" applyAlignment="1">
      <alignment horizontal="left"/>
    </xf>
    <xf numFmtId="44" fontId="4" fillId="2" borderId="1" xfId="0" applyNumberFormat="1" applyFont="1" applyFill="1" applyBorder="1" applyAlignment="1">
      <alignment horizontal="right" shrinkToFit="1"/>
    </xf>
    <xf numFmtId="0" fontId="8" fillId="2" borderId="1" xfId="0" applyFont="1" applyFill="1" applyBorder="1" applyAlignment="1">
      <alignment horizontal="center"/>
    </xf>
    <xf numFmtId="44" fontId="4" fillId="2" borderId="1" xfId="1" applyFont="1" applyFill="1" applyBorder="1" applyAlignment="1">
      <alignment horizontal="right" shrinkToFit="1"/>
    </xf>
    <xf numFmtId="44" fontId="4" fillId="2" borderId="1" xfId="1" applyFont="1" applyFill="1" applyBorder="1" applyAlignment="1">
      <alignment horizontal="center" shrinkToFit="1"/>
    </xf>
    <xf numFmtId="8" fontId="5" fillId="0" borderId="1" xfId="1" applyNumberFormat="1" applyFont="1" applyBorder="1" applyAlignment="1">
      <alignment horizontal="center" shrinkToFit="1"/>
    </xf>
    <xf numFmtId="44" fontId="5" fillId="2" borderId="1" xfId="1" applyFont="1" applyFill="1" applyBorder="1" applyAlignment="1">
      <alignment horizontal="center" shrinkToFit="1"/>
    </xf>
    <xf numFmtId="0" fontId="8" fillId="2" borderId="2" xfId="0" applyFont="1" applyFill="1" applyBorder="1" applyAlignment="1">
      <alignment horizontal="right"/>
    </xf>
    <xf numFmtId="0" fontId="8" fillId="2" borderId="3" xfId="0" applyFont="1" applyFill="1" applyBorder="1" applyAlignment="1">
      <alignment horizontal="center"/>
    </xf>
    <xf numFmtId="44" fontId="8" fillId="2" borderId="1" xfId="1" applyFont="1" applyFill="1" applyBorder="1" applyAlignment="1">
      <alignment horizontal="center"/>
    </xf>
    <xf numFmtId="0" fontId="8" fillId="2" borderId="1" xfId="0" applyFont="1" applyFill="1" applyBorder="1" applyAlignment="1">
      <alignment horizontal="right"/>
    </xf>
    <xf numFmtId="0" fontId="8" fillId="2" borderId="4" xfId="0" applyFont="1" applyFill="1" applyBorder="1" applyAlignment="1">
      <alignment horizontal="right"/>
    </xf>
    <xf numFmtId="0" fontId="2" fillId="0" borderId="1" xfId="0" applyFont="1" applyBorder="1" applyAlignment="1">
      <alignment horizontal="center" vertical="top"/>
    </xf>
    <xf numFmtId="44" fontId="2" fillId="0" borderId="1" xfId="1" applyFont="1" applyBorder="1" applyAlignment="1">
      <alignment vertical="top"/>
    </xf>
    <xf numFmtId="0" fontId="2" fillId="0" borderId="1" xfId="0" applyFont="1" applyBorder="1" applyAlignment="1">
      <alignment horizontal="left" vertical="top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horizontal="right"/>
    </xf>
    <xf numFmtId="164" fontId="2" fillId="0" borderId="1" xfId="0" applyNumberFormat="1" applyFont="1" applyBorder="1" applyAlignment="1">
      <alignment horizontal="center" vertical="top"/>
    </xf>
    <xf numFmtId="0" fontId="7" fillId="2" borderId="1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6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/>
    </xf>
    <xf numFmtId="0" fontId="2" fillId="0" borderId="1" xfId="0" applyFont="1" applyBorder="1" applyAlignment="1">
      <alignment horizontal="center" vertical="center"/>
    </xf>
    <xf numFmtId="44" fontId="8" fillId="2" borderId="1" xfId="1" applyFont="1" applyFill="1" applyBorder="1" applyAlignment="1">
      <alignment horizontal="center" vertical="center" shrinkToFit="1"/>
    </xf>
    <xf numFmtId="0" fontId="8" fillId="0" borderId="1" xfId="0" applyFont="1" applyBorder="1" applyAlignment="1">
      <alignment horizontal="center" vertical="center"/>
    </xf>
    <xf numFmtId="0" fontId="9" fillId="0" borderId="5" xfId="0" applyFont="1" applyBorder="1" applyAlignment="1">
      <alignment horizontal="center"/>
    </xf>
    <xf numFmtId="0" fontId="2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left" vertical="top" wrapText="1"/>
    </xf>
    <xf numFmtId="164" fontId="2" fillId="0" borderId="0" xfId="0" applyNumberFormat="1" applyFont="1" applyBorder="1" applyAlignment="1">
      <alignment horizontal="center" vertical="top"/>
    </xf>
    <xf numFmtId="44" fontId="2" fillId="0" borderId="0" xfId="1" applyFont="1" applyBorder="1" applyAlignment="1">
      <alignment vertical="top"/>
    </xf>
    <xf numFmtId="0" fontId="8" fillId="0" borderId="0" xfId="0" applyFont="1" applyFill="1" applyBorder="1"/>
    <xf numFmtId="0" fontId="8" fillId="0" borderId="7" xfId="0" applyFont="1" applyFill="1" applyBorder="1"/>
    <xf numFmtId="44" fontId="8" fillId="2" borderId="4" xfId="1" applyFont="1" applyFill="1" applyBorder="1" applyAlignment="1">
      <alignment shrinkToFit="1"/>
    </xf>
    <xf numFmtId="10" fontId="8" fillId="2" borderId="8" xfId="2" applyNumberFormat="1" applyFont="1" applyFill="1" applyBorder="1" applyAlignment="1">
      <alignment horizontal="right"/>
    </xf>
    <xf numFmtId="44" fontId="8" fillId="2" borderId="8" xfId="1" applyFont="1" applyFill="1" applyBorder="1" applyAlignment="1">
      <alignment shrinkToFit="1"/>
    </xf>
    <xf numFmtId="0" fontId="8" fillId="2" borderId="8" xfId="0" applyFont="1" applyFill="1" applyBorder="1" applyAlignment="1">
      <alignment horizontal="center" vertical="center" wrapText="1"/>
    </xf>
    <xf numFmtId="0" fontId="8" fillId="2" borderId="9" xfId="0" applyFont="1" applyFill="1" applyBorder="1" applyAlignment="1">
      <alignment horizontal="center" vertical="center" wrapText="1"/>
    </xf>
    <xf numFmtId="0" fontId="8" fillId="2" borderId="10" xfId="0" applyFont="1" applyFill="1" applyBorder="1" applyAlignment="1">
      <alignment horizontal="center" vertical="center" wrapText="1"/>
    </xf>
  </cellXfs>
  <cellStyles count="3">
    <cellStyle name="Moeda" xfId="1" builtinId="4"/>
    <cellStyle name="Normal" xfId="0" builtinId="0"/>
    <cellStyle name="Porcentagem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styles" Target="styles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sharedStrings" Target="sharedStrings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9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0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7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8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9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0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7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8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9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40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9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0.v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1.v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2.v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3.v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4.v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5.v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6.v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7.v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8.vml"/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9.vml"/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0.vml"/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1.vml"/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2.vml"/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3.vml"/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4.vml"/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5.vml"/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6.vml"/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7.vml"/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8.vml"/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9.vml"/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0.vml"/><Relationship Id="rId1" Type="http://schemas.openxmlformats.org/officeDocument/2006/relationships/printerSettings" Target="../printerSettings/printerSettings40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8" sqref="G8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2" t="s">
        <v>8</v>
      </c>
      <c r="B1" s="32"/>
      <c r="C1" s="32"/>
      <c r="D1" s="32"/>
      <c r="E1" s="32"/>
      <c r="F1" s="32"/>
      <c r="G1" s="32"/>
      <c r="H1" s="32"/>
      <c r="I1" s="32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9</v>
      </c>
      <c r="F2" s="6" t="s">
        <v>10</v>
      </c>
      <c r="G2" s="6" t="s">
        <v>11</v>
      </c>
      <c r="H2" s="6" t="s">
        <v>12</v>
      </c>
      <c r="I2" s="6" t="s">
        <v>13</v>
      </c>
    </row>
    <row r="3" spans="1:9" x14ac:dyDescent="0.25">
      <c r="A3" s="37">
        <v>1</v>
      </c>
      <c r="B3" s="33" t="s">
        <v>48</v>
      </c>
      <c r="C3" s="35" t="s">
        <v>49</v>
      </c>
      <c r="D3" s="35">
        <v>200</v>
      </c>
      <c r="E3" s="36">
        <f>IF(C20&lt;=25%,D20,MIN(E20:F20))</f>
        <v>1.44</v>
      </c>
      <c r="F3" s="36">
        <f>MIN(H3:H17)</f>
        <v>0.83</v>
      </c>
      <c r="G3" s="5" t="s">
        <v>89</v>
      </c>
      <c r="H3" s="16">
        <v>1.07</v>
      </c>
      <c r="I3" s="17">
        <f>IF(H3="","",(IF($C$20&lt;25%,"n/a",IF(H3&lt;=($D$20+$A$20),H3,"Descartado"))))</f>
        <v>1.07</v>
      </c>
    </row>
    <row r="4" spans="1:9" x14ac:dyDescent="0.25">
      <c r="A4" s="37"/>
      <c r="B4" s="34"/>
      <c r="C4" s="35"/>
      <c r="D4" s="35"/>
      <c r="E4" s="36"/>
      <c r="F4" s="36"/>
      <c r="G4" s="5" t="s">
        <v>90</v>
      </c>
      <c r="H4" s="16">
        <v>1.44</v>
      </c>
      <c r="I4" s="17">
        <f t="shared" ref="I4:I17" si="0">IF(H4="","",(IF($C$20&lt;25%,"n/a",IF(H4&lt;=($D$20+$A$20),H4,"Descartado"))))</f>
        <v>1.44</v>
      </c>
    </row>
    <row r="5" spans="1:9" x14ac:dyDescent="0.25">
      <c r="A5" s="37"/>
      <c r="B5" s="34"/>
      <c r="C5" s="35"/>
      <c r="D5" s="35"/>
      <c r="E5" s="36"/>
      <c r="F5" s="36"/>
      <c r="G5" s="5" t="s">
        <v>91</v>
      </c>
      <c r="H5" s="16">
        <v>2.98</v>
      </c>
      <c r="I5" s="17">
        <f t="shared" si="0"/>
        <v>2.98</v>
      </c>
    </row>
    <row r="6" spans="1:9" x14ac:dyDescent="0.25">
      <c r="A6" s="37"/>
      <c r="B6" s="34"/>
      <c r="C6" s="35"/>
      <c r="D6" s="35"/>
      <c r="E6" s="36"/>
      <c r="F6" s="36"/>
      <c r="G6" s="5" t="s">
        <v>92</v>
      </c>
      <c r="H6" s="16">
        <v>0.83</v>
      </c>
      <c r="I6" s="17">
        <f t="shared" si="0"/>
        <v>0.83</v>
      </c>
    </row>
    <row r="7" spans="1:9" x14ac:dyDescent="0.25">
      <c r="A7" s="37"/>
      <c r="B7" s="34"/>
      <c r="C7" s="35"/>
      <c r="D7" s="35"/>
      <c r="E7" s="36"/>
      <c r="F7" s="36"/>
      <c r="G7" s="5" t="s">
        <v>93</v>
      </c>
      <c r="H7" s="16">
        <v>47.99</v>
      </c>
      <c r="I7" s="17" t="str">
        <f t="shared" si="0"/>
        <v>Descartado</v>
      </c>
    </row>
    <row r="8" spans="1:9" x14ac:dyDescent="0.25">
      <c r="A8" s="37"/>
      <c r="B8" s="34"/>
      <c r="C8" s="35"/>
      <c r="D8" s="35"/>
      <c r="E8" s="36"/>
      <c r="F8" s="36"/>
      <c r="G8" s="5"/>
      <c r="H8" s="16"/>
      <c r="I8" s="17" t="str">
        <f t="shared" si="0"/>
        <v/>
      </c>
    </row>
    <row r="9" spans="1:9" x14ac:dyDescent="0.25">
      <c r="A9" s="37"/>
      <c r="B9" s="34"/>
      <c r="C9" s="35"/>
      <c r="D9" s="35"/>
      <c r="E9" s="36"/>
      <c r="F9" s="36"/>
      <c r="G9" s="5"/>
      <c r="H9" s="16"/>
      <c r="I9" s="17" t="str">
        <f t="shared" si="0"/>
        <v/>
      </c>
    </row>
    <row r="10" spans="1:9" x14ac:dyDescent="0.25">
      <c r="A10" s="37"/>
      <c r="B10" s="34"/>
      <c r="C10" s="35"/>
      <c r="D10" s="35"/>
      <c r="E10" s="36"/>
      <c r="F10" s="36"/>
      <c r="G10" s="5"/>
      <c r="H10" s="16"/>
      <c r="I10" s="17" t="str">
        <f t="shared" si="0"/>
        <v/>
      </c>
    </row>
    <row r="11" spans="1:9" x14ac:dyDescent="0.25">
      <c r="A11" s="37"/>
      <c r="B11" s="34"/>
      <c r="C11" s="35"/>
      <c r="D11" s="35"/>
      <c r="E11" s="36"/>
      <c r="F11" s="36"/>
      <c r="G11" s="5"/>
      <c r="H11" s="16"/>
      <c r="I11" s="17" t="str">
        <f t="shared" si="0"/>
        <v/>
      </c>
    </row>
    <row r="12" spans="1:9" x14ac:dyDescent="0.25">
      <c r="A12" s="37"/>
      <c r="B12" s="34"/>
      <c r="C12" s="35"/>
      <c r="D12" s="35"/>
      <c r="E12" s="36"/>
      <c r="F12" s="36"/>
      <c r="G12" s="5"/>
      <c r="H12" s="16"/>
      <c r="I12" s="17" t="str">
        <f t="shared" si="0"/>
        <v/>
      </c>
    </row>
    <row r="13" spans="1:9" x14ac:dyDescent="0.25">
      <c r="A13" s="37"/>
      <c r="B13" s="34"/>
      <c r="C13" s="35"/>
      <c r="D13" s="35"/>
      <c r="E13" s="36"/>
      <c r="F13" s="36"/>
      <c r="G13" s="5"/>
      <c r="H13" s="16"/>
      <c r="I13" s="17" t="str">
        <f t="shared" si="0"/>
        <v/>
      </c>
    </row>
    <row r="14" spans="1:9" x14ac:dyDescent="0.25">
      <c r="A14" s="37"/>
      <c r="B14" s="34"/>
      <c r="C14" s="35"/>
      <c r="D14" s="35"/>
      <c r="E14" s="36"/>
      <c r="F14" s="36"/>
      <c r="G14" s="5"/>
      <c r="H14" s="16"/>
      <c r="I14" s="17" t="str">
        <f t="shared" si="0"/>
        <v/>
      </c>
    </row>
    <row r="15" spans="1:9" x14ac:dyDescent="0.25">
      <c r="A15" s="37"/>
      <c r="B15" s="34"/>
      <c r="C15" s="35"/>
      <c r="D15" s="35"/>
      <c r="E15" s="36"/>
      <c r="F15" s="36"/>
      <c r="G15" s="5"/>
      <c r="H15" s="16"/>
      <c r="I15" s="17" t="str">
        <f t="shared" si="0"/>
        <v/>
      </c>
    </row>
    <row r="16" spans="1:9" x14ac:dyDescent="0.25">
      <c r="A16" s="37"/>
      <c r="B16" s="34"/>
      <c r="C16" s="35"/>
      <c r="D16" s="35"/>
      <c r="E16" s="36"/>
      <c r="F16" s="36"/>
      <c r="G16" s="5"/>
      <c r="H16" s="16"/>
      <c r="I16" s="17" t="str">
        <f t="shared" si="0"/>
        <v/>
      </c>
    </row>
    <row r="17" spans="1:9" x14ac:dyDescent="0.25">
      <c r="A17" s="37"/>
      <c r="B17" s="34"/>
      <c r="C17" s="35"/>
      <c r="D17" s="35"/>
      <c r="E17" s="36"/>
      <c r="F17" s="36"/>
      <c r="G17" s="5"/>
      <c r="H17" s="16"/>
      <c r="I17" s="17" t="str">
        <f t="shared" si="0"/>
        <v/>
      </c>
    </row>
    <row r="19" spans="1:9" s="4" customFormat="1" ht="24" x14ac:dyDescent="0.25">
      <c r="A19" s="6" t="s">
        <v>14</v>
      </c>
      <c r="B19" s="6" t="s">
        <v>15</v>
      </c>
      <c r="C19" s="6" t="s">
        <v>25</v>
      </c>
      <c r="D19" s="6" t="s">
        <v>16</v>
      </c>
      <c r="E19" s="6" t="s">
        <v>17</v>
      </c>
      <c r="F19" s="6" t="s">
        <v>18</v>
      </c>
      <c r="G19" s="31" t="s">
        <v>19</v>
      </c>
      <c r="H19" s="31"/>
    </row>
    <row r="20" spans="1:9" x14ac:dyDescent="0.25">
      <c r="A20" s="8">
        <f>IF(B20&lt;2,"n/a",(_xlfn.STDEV.S(H3:H17)))</f>
        <v>20.772052618843425</v>
      </c>
      <c r="B20" s="8">
        <f>COUNT(H3:H17)</f>
        <v>5</v>
      </c>
      <c r="C20" s="9">
        <f>IF(B20&lt;2,"n/a",(A20/D20))</f>
        <v>1.9127120275178109</v>
      </c>
      <c r="D20" s="10">
        <f>IFERROR(ROUND(AVERAGE(H3:H17),2),"")</f>
        <v>10.86</v>
      </c>
      <c r="E20" s="15">
        <f>IFERROR(ROUND(IF(B20&lt;2,"n/a",(IF(C20&lt;=25%,"n/a",AVERAGE(I3:I17)))),2),"n/a")</f>
        <v>1.58</v>
      </c>
      <c r="F20" s="10">
        <f>IFERROR(ROUND(MEDIAN(H3:H17),2),"")</f>
        <v>1.44</v>
      </c>
      <c r="G20" s="11" t="str">
        <f>IFERROR(INDEX(G3:G17,MATCH(H20,H3:H17,0)),"")</f>
        <v>SILVA DISTRIBUIDORA E FERRAGISTA LTDA</v>
      </c>
      <c r="H20" s="12">
        <f>F3</f>
        <v>0.83</v>
      </c>
    </row>
    <row r="22" spans="1:9" x14ac:dyDescent="0.25">
      <c r="G22" s="13" t="s">
        <v>20</v>
      </c>
      <c r="H22" s="14">
        <f>IF(C20&lt;=25%,D20,MIN(E20:F20))</f>
        <v>1.44</v>
      </c>
    </row>
    <row r="23" spans="1:9" x14ac:dyDescent="0.25">
      <c r="G23" s="13" t="s">
        <v>6</v>
      </c>
      <c r="H23" s="14">
        <f>ROUND(H22,2)*D3</f>
        <v>288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B3:B17"/>
    <mergeCell ref="C3:C17"/>
    <mergeCell ref="D3:D17"/>
    <mergeCell ref="E3:E17"/>
    <mergeCell ref="F3:F17"/>
    <mergeCell ref="A3:A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9" sqref="G9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2" t="s">
        <v>8</v>
      </c>
      <c r="B1" s="32"/>
      <c r="C1" s="32"/>
      <c r="D1" s="32"/>
      <c r="E1" s="32"/>
      <c r="F1" s="32"/>
      <c r="G1" s="32"/>
      <c r="H1" s="32"/>
      <c r="I1" s="32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9</v>
      </c>
      <c r="F2" s="6" t="s">
        <v>10</v>
      </c>
      <c r="G2" s="6" t="s">
        <v>11</v>
      </c>
      <c r="H2" s="6" t="s">
        <v>12</v>
      </c>
      <c r="I2" s="6" t="s">
        <v>13</v>
      </c>
    </row>
    <row r="3" spans="1:9" x14ac:dyDescent="0.25">
      <c r="A3" s="37">
        <v>10</v>
      </c>
      <c r="B3" s="33" t="s">
        <v>58</v>
      </c>
      <c r="C3" s="35" t="s">
        <v>7</v>
      </c>
      <c r="D3" s="35">
        <v>5</v>
      </c>
      <c r="E3" s="36">
        <f>IF(C20&lt;=25%,D20,MIN(E20:F20))</f>
        <v>531.94000000000005</v>
      </c>
      <c r="F3" s="36">
        <f>MIN(H3:H17)</f>
        <v>87</v>
      </c>
      <c r="G3" s="5" t="s">
        <v>108</v>
      </c>
      <c r="H3" s="16">
        <v>87</v>
      </c>
      <c r="I3" s="17">
        <f>IF(H3="","",(IF($C$20&lt;25%,"n/a",IF(H3&lt;=($D$20+$A$20),H3,"Descartado"))))</f>
        <v>87</v>
      </c>
    </row>
    <row r="4" spans="1:9" x14ac:dyDescent="0.25">
      <c r="A4" s="37"/>
      <c r="B4" s="34"/>
      <c r="C4" s="35"/>
      <c r="D4" s="35"/>
      <c r="E4" s="36"/>
      <c r="F4" s="36"/>
      <c r="G4" s="5" t="s">
        <v>109</v>
      </c>
      <c r="H4" s="16">
        <v>104.9</v>
      </c>
      <c r="I4" s="17">
        <f t="shared" ref="I4:I17" si="0">IF(H4="","",(IF($C$20&lt;25%,"n/a",IF(H4&lt;=($D$20+$A$20),H4,"Descartado"))))</f>
        <v>104.9</v>
      </c>
    </row>
    <row r="5" spans="1:9" x14ac:dyDescent="0.25">
      <c r="A5" s="37"/>
      <c r="B5" s="34"/>
      <c r="C5" s="35"/>
      <c r="D5" s="35"/>
      <c r="E5" s="36"/>
      <c r="F5" s="36"/>
      <c r="G5" s="5" t="s">
        <v>226</v>
      </c>
      <c r="H5" s="16">
        <v>234.9</v>
      </c>
      <c r="I5" s="17">
        <f t="shared" si="0"/>
        <v>234.9</v>
      </c>
    </row>
    <row r="6" spans="1:9" x14ac:dyDescent="0.25">
      <c r="A6" s="37"/>
      <c r="B6" s="34"/>
      <c r="C6" s="35"/>
      <c r="D6" s="35"/>
      <c r="E6" s="36"/>
      <c r="F6" s="36"/>
      <c r="G6" s="5" t="s">
        <v>227</v>
      </c>
      <c r="H6" s="16">
        <v>2497.5500000000002</v>
      </c>
      <c r="I6" s="17" t="str">
        <f t="shared" si="0"/>
        <v>Descartado</v>
      </c>
    </row>
    <row r="7" spans="1:9" x14ac:dyDescent="0.25">
      <c r="A7" s="37"/>
      <c r="B7" s="34"/>
      <c r="C7" s="35"/>
      <c r="D7" s="35"/>
      <c r="E7" s="36"/>
      <c r="F7" s="36"/>
      <c r="G7" s="5" t="s">
        <v>217</v>
      </c>
      <c r="H7" s="16">
        <v>1180.23</v>
      </c>
      <c r="I7" s="17">
        <f t="shared" si="0"/>
        <v>1180.23</v>
      </c>
    </row>
    <row r="8" spans="1:9" x14ac:dyDescent="0.25">
      <c r="A8" s="37"/>
      <c r="B8" s="34"/>
      <c r="C8" s="35"/>
      <c r="D8" s="35"/>
      <c r="E8" s="36"/>
      <c r="F8" s="36"/>
      <c r="G8" s="5" t="s">
        <v>228</v>
      </c>
      <c r="H8" s="16">
        <v>1052.69</v>
      </c>
      <c r="I8" s="17">
        <f t="shared" si="0"/>
        <v>1052.69</v>
      </c>
    </row>
    <row r="9" spans="1:9" x14ac:dyDescent="0.25">
      <c r="A9" s="37"/>
      <c r="B9" s="34"/>
      <c r="C9" s="35"/>
      <c r="D9" s="35"/>
      <c r="E9" s="36"/>
      <c r="F9" s="36"/>
      <c r="G9" s="5"/>
      <c r="H9" s="16"/>
      <c r="I9" s="17" t="str">
        <f t="shared" si="0"/>
        <v/>
      </c>
    </row>
    <row r="10" spans="1:9" x14ac:dyDescent="0.25">
      <c r="A10" s="37"/>
      <c r="B10" s="34"/>
      <c r="C10" s="35"/>
      <c r="D10" s="35"/>
      <c r="E10" s="36"/>
      <c r="F10" s="36"/>
      <c r="G10" s="5"/>
      <c r="H10" s="16"/>
      <c r="I10" s="17" t="str">
        <f t="shared" si="0"/>
        <v/>
      </c>
    </row>
    <row r="11" spans="1:9" x14ac:dyDescent="0.25">
      <c r="A11" s="37"/>
      <c r="B11" s="34"/>
      <c r="C11" s="35"/>
      <c r="D11" s="35"/>
      <c r="E11" s="36"/>
      <c r="F11" s="36"/>
      <c r="G11" s="5"/>
      <c r="H11" s="16"/>
      <c r="I11" s="17" t="str">
        <f t="shared" si="0"/>
        <v/>
      </c>
    </row>
    <row r="12" spans="1:9" x14ac:dyDescent="0.25">
      <c r="A12" s="37"/>
      <c r="B12" s="34"/>
      <c r="C12" s="35"/>
      <c r="D12" s="35"/>
      <c r="E12" s="36"/>
      <c r="F12" s="36"/>
      <c r="G12" s="5"/>
      <c r="H12" s="16"/>
      <c r="I12" s="17" t="str">
        <f t="shared" si="0"/>
        <v/>
      </c>
    </row>
    <row r="13" spans="1:9" x14ac:dyDescent="0.25">
      <c r="A13" s="37"/>
      <c r="B13" s="34"/>
      <c r="C13" s="35"/>
      <c r="D13" s="35"/>
      <c r="E13" s="36"/>
      <c r="F13" s="36"/>
      <c r="G13" s="5"/>
      <c r="H13" s="16"/>
      <c r="I13" s="17" t="str">
        <f t="shared" si="0"/>
        <v/>
      </c>
    </row>
    <row r="14" spans="1:9" x14ac:dyDescent="0.25">
      <c r="A14" s="37"/>
      <c r="B14" s="34"/>
      <c r="C14" s="35"/>
      <c r="D14" s="35"/>
      <c r="E14" s="36"/>
      <c r="F14" s="36"/>
      <c r="G14" s="5"/>
      <c r="H14" s="16"/>
      <c r="I14" s="17" t="str">
        <f t="shared" si="0"/>
        <v/>
      </c>
    </row>
    <row r="15" spans="1:9" x14ac:dyDescent="0.25">
      <c r="A15" s="37"/>
      <c r="B15" s="34"/>
      <c r="C15" s="35"/>
      <c r="D15" s="35"/>
      <c r="E15" s="36"/>
      <c r="F15" s="36"/>
      <c r="G15" s="5"/>
      <c r="H15" s="16"/>
      <c r="I15" s="17" t="str">
        <f t="shared" si="0"/>
        <v/>
      </c>
    </row>
    <row r="16" spans="1:9" x14ac:dyDescent="0.25">
      <c r="A16" s="37"/>
      <c r="B16" s="34"/>
      <c r="C16" s="35"/>
      <c r="D16" s="35"/>
      <c r="E16" s="36"/>
      <c r="F16" s="36"/>
      <c r="G16" s="5"/>
      <c r="H16" s="16"/>
      <c r="I16" s="17" t="str">
        <f t="shared" si="0"/>
        <v/>
      </c>
    </row>
    <row r="17" spans="1:9" x14ac:dyDescent="0.25">
      <c r="A17" s="37"/>
      <c r="B17" s="34"/>
      <c r="C17" s="35"/>
      <c r="D17" s="35"/>
      <c r="E17" s="36"/>
      <c r="F17" s="36"/>
      <c r="G17" s="5"/>
      <c r="H17" s="16"/>
      <c r="I17" s="17" t="str">
        <f t="shared" si="0"/>
        <v/>
      </c>
    </row>
    <row r="19" spans="1:9" s="4" customFormat="1" ht="24" x14ac:dyDescent="0.25">
      <c r="A19" s="6" t="s">
        <v>14</v>
      </c>
      <c r="B19" s="6" t="s">
        <v>15</v>
      </c>
      <c r="C19" s="6" t="s">
        <v>25</v>
      </c>
      <c r="D19" s="6" t="s">
        <v>16</v>
      </c>
      <c r="E19" s="6" t="s">
        <v>17</v>
      </c>
      <c r="F19" s="6" t="s">
        <v>18</v>
      </c>
      <c r="G19" s="31" t="s">
        <v>19</v>
      </c>
      <c r="H19" s="31"/>
    </row>
    <row r="20" spans="1:9" x14ac:dyDescent="0.25">
      <c r="A20" s="8">
        <f>IF(B20&lt;2,"n/a",(_xlfn.STDEV.S(H3:H17)))</f>
        <v>935.91671310539164</v>
      </c>
      <c r="B20" s="8">
        <f>COUNT(H3:H17)</f>
        <v>6</v>
      </c>
      <c r="C20" s="9">
        <f>IF(B20&lt;2,"n/a",(A20/D20))</f>
        <v>1.0888449922696664</v>
      </c>
      <c r="D20" s="10">
        <f>IFERROR(ROUND(AVERAGE(H3:H17),2),"")</f>
        <v>859.55</v>
      </c>
      <c r="E20" s="15">
        <f>IFERROR(ROUND(IF(B20&lt;2,"n/a",(IF(C20&lt;=25%,"n/a",AVERAGE(I3:I17)))),2),"n/a")</f>
        <v>531.94000000000005</v>
      </c>
      <c r="F20" s="10">
        <f>IFERROR(ROUND(MEDIAN(H3:H17),2),"")</f>
        <v>643.79999999999995</v>
      </c>
      <c r="G20" s="11" t="str">
        <f>IFERROR(INDEX(G3:G17,MATCH(H20,H3:H17,0)),"")</f>
        <v>MB COMERCIO, SERVICOS E LOCACAO DE MAQUINAS E EQUIPAMENTOS LTDA</v>
      </c>
      <c r="H20" s="12">
        <f>F3</f>
        <v>87</v>
      </c>
    </row>
    <row r="22" spans="1:9" x14ac:dyDescent="0.25">
      <c r="G22" s="13" t="s">
        <v>20</v>
      </c>
      <c r="H22" s="14">
        <f>IF(C20&lt;=25%,D20,MIN(E20:F20))</f>
        <v>531.94000000000005</v>
      </c>
    </row>
    <row r="23" spans="1:9" x14ac:dyDescent="0.25">
      <c r="G23" s="13" t="s">
        <v>6</v>
      </c>
      <c r="H23" s="14">
        <f>ROUND(H22,2)*D3</f>
        <v>2659.7000000000003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9" sqref="G9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2" t="s">
        <v>8</v>
      </c>
      <c r="B1" s="32"/>
      <c r="C1" s="32"/>
      <c r="D1" s="32"/>
      <c r="E1" s="32"/>
      <c r="F1" s="32"/>
      <c r="G1" s="32"/>
      <c r="H1" s="32"/>
      <c r="I1" s="32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9</v>
      </c>
      <c r="F2" s="6" t="s">
        <v>10</v>
      </c>
      <c r="G2" s="6" t="s">
        <v>11</v>
      </c>
      <c r="H2" s="6" t="s">
        <v>12</v>
      </c>
      <c r="I2" s="6" t="s">
        <v>13</v>
      </c>
    </row>
    <row r="3" spans="1:9" x14ac:dyDescent="0.25">
      <c r="A3" s="37">
        <v>11</v>
      </c>
      <c r="B3" s="33" t="s">
        <v>59</v>
      </c>
      <c r="C3" s="35" t="s">
        <v>7</v>
      </c>
      <c r="D3" s="35">
        <f>5+21</f>
        <v>26</v>
      </c>
      <c r="E3" s="36">
        <f>IF(C20&lt;=25%,D20,MIN(E20:F20))</f>
        <v>32.79</v>
      </c>
      <c r="F3" s="36">
        <f>MIN(H3:H17)</f>
        <v>22.75</v>
      </c>
      <c r="G3" s="5" t="s">
        <v>110</v>
      </c>
      <c r="H3" s="16">
        <v>48</v>
      </c>
      <c r="I3" s="17" t="str">
        <f>IF(H3="","",(IF($C$20&lt;25%,"n/a",IF(H3&lt;=($D$20+$A$20),H3,"Descartado"))))</f>
        <v>Descartado</v>
      </c>
    </row>
    <row r="4" spans="1:9" x14ac:dyDescent="0.25">
      <c r="A4" s="37"/>
      <c r="B4" s="34"/>
      <c r="C4" s="35"/>
      <c r="D4" s="35"/>
      <c r="E4" s="36"/>
      <c r="F4" s="36"/>
      <c r="G4" s="5" t="s">
        <v>111</v>
      </c>
      <c r="H4" s="16">
        <v>22.75</v>
      </c>
      <c r="I4" s="17">
        <f t="shared" ref="I4:I17" si="0">IF(H4="","",(IF($C$20&lt;25%,"n/a",IF(H4&lt;=($D$20+$A$20),H4,"Descartado"))))</f>
        <v>22.75</v>
      </c>
    </row>
    <row r="5" spans="1:9" x14ac:dyDescent="0.25">
      <c r="A5" s="37"/>
      <c r="B5" s="34"/>
      <c r="C5" s="35"/>
      <c r="D5" s="35"/>
      <c r="E5" s="36"/>
      <c r="F5" s="36"/>
      <c r="G5" s="5" t="s">
        <v>112</v>
      </c>
      <c r="H5" s="16">
        <v>41.61</v>
      </c>
      <c r="I5" s="17">
        <f t="shared" si="0"/>
        <v>41.61</v>
      </c>
    </row>
    <row r="6" spans="1:9" x14ac:dyDescent="0.25">
      <c r="A6" s="37"/>
      <c r="B6" s="34"/>
      <c r="C6" s="35"/>
      <c r="D6" s="35"/>
      <c r="E6" s="36"/>
      <c r="F6" s="36"/>
      <c r="G6" s="5" t="s">
        <v>113</v>
      </c>
      <c r="H6" s="16">
        <v>29</v>
      </c>
      <c r="I6" s="17">
        <f t="shared" si="0"/>
        <v>29</v>
      </c>
    </row>
    <row r="7" spans="1:9" x14ac:dyDescent="0.25">
      <c r="A7" s="37"/>
      <c r="B7" s="34"/>
      <c r="C7" s="35"/>
      <c r="D7" s="35"/>
      <c r="E7" s="36"/>
      <c r="F7" s="36"/>
      <c r="G7" s="5" t="s">
        <v>114</v>
      </c>
      <c r="H7" s="16">
        <v>35.1</v>
      </c>
      <c r="I7" s="17">
        <f t="shared" si="0"/>
        <v>35.1</v>
      </c>
    </row>
    <row r="8" spans="1:9" x14ac:dyDescent="0.25">
      <c r="A8" s="37"/>
      <c r="B8" s="34"/>
      <c r="C8" s="35"/>
      <c r="D8" s="35"/>
      <c r="E8" s="36"/>
      <c r="F8" s="36"/>
      <c r="G8" s="5" t="s">
        <v>115</v>
      </c>
      <c r="H8" s="16">
        <v>35.5</v>
      </c>
      <c r="I8" s="17">
        <f t="shared" si="0"/>
        <v>35.5</v>
      </c>
    </row>
    <row r="9" spans="1:9" x14ac:dyDescent="0.25">
      <c r="A9" s="37"/>
      <c r="B9" s="34"/>
      <c r="C9" s="35"/>
      <c r="D9" s="35"/>
      <c r="E9" s="36"/>
      <c r="F9" s="36"/>
      <c r="G9" s="5"/>
      <c r="H9" s="16"/>
      <c r="I9" s="17" t="str">
        <f t="shared" si="0"/>
        <v/>
      </c>
    </row>
    <row r="10" spans="1:9" x14ac:dyDescent="0.25">
      <c r="A10" s="37"/>
      <c r="B10" s="34"/>
      <c r="C10" s="35"/>
      <c r="D10" s="35"/>
      <c r="E10" s="36"/>
      <c r="F10" s="36"/>
      <c r="G10" s="5"/>
      <c r="H10" s="16"/>
      <c r="I10" s="17" t="str">
        <f t="shared" si="0"/>
        <v/>
      </c>
    </row>
    <row r="11" spans="1:9" x14ac:dyDescent="0.25">
      <c r="A11" s="37"/>
      <c r="B11" s="34"/>
      <c r="C11" s="35"/>
      <c r="D11" s="35"/>
      <c r="E11" s="36"/>
      <c r="F11" s="36"/>
      <c r="G11" s="5"/>
      <c r="H11" s="16"/>
      <c r="I11" s="17" t="str">
        <f t="shared" si="0"/>
        <v/>
      </c>
    </row>
    <row r="12" spans="1:9" x14ac:dyDescent="0.25">
      <c r="A12" s="37"/>
      <c r="B12" s="34"/>
      <c r="C12" s="35"/>
      <c r="D12" s="35"/>
      <c r="E12" s="36"/>
      <c r="F12" s="36"/>
      <c r="G12" s="5"/>
      <c r="H12" s="16"/>
      <c r="I12" s="17" t="str">
        <f t="shared" si="0"/>
        <v/>
      </c>
    </row>
    <row r="13" spans="1:9" x14ac:dyDescent="0.25">
      <c r="A13" s="37"/>
      <c r="B13" s="34"/>
      <c r="C13" s="35"/>
      <c r="D13" s="35"/>
      <c r="E13" s="36"/>
      <c r="F13" s="36"/>
      <c r="G13" s="5"/>
      <c r="H13" s="16"/>
      <c r="I13" s="17" t="str">
        <f t="shared" si="0"/>
        <v/>
      </c>
    </row>
    <row r="14" spans="1:9" x14ac:dyDescent="0.25">
      <c r="A14" s="37"/>
      <c r="B14" s="34"/>
      <c r="C14" s="35"/>
      <c r="D14" s="35"/>
      <c r="E14" s="36"/>
      <c r="F14" s="36"/>
      <c r="G14" s="5"/>
      <c r="H14" s="16"/>
      <c r="I14" s="17" t="str">
        <f t="shared" si="0"/>
        <v/>
      </c>
    </row>
    <row r="15" spans="1:9" x14ac:dyDescent="0.25">
      <c r="A15" s="37"/>
      <c r="B15" s="34"/>
      <c r="C15" s="35"/>
      <c r="D15" s="35"/>
      <c r="E15" s="36"/>
      <c r="F15" s="36"/>
      <c r="G15" s="5"/>
      <c r="H15" s="16"/>
      <c r="I15" s="17" t="str">
        <f t="shared" si="0"/>
        <v/>
      </c>
    </row>
    <row r="16" spans="1:9" x14ac:dyDescent="0.25">
      <c r="A16" s="37"/>
      <c r="B16" s="34"/>
      <c r="C16" s="35"/>
      <c r="D16" s="35"/>
      <c r="E16" s="36"/>
      <c r="F16" s="36"/>
      <c r="G16" s="5"/>
      <c r="H16" s="16"/>
      <c r="I16" s="17" t="str">
        <f t="shared" si="0"/>
        <v/>
      </c>
    </row>
    <row r="17" spans="1:9" x14ac:dyDescent="0.25">
      <c r="A17" s="37"/>
      <c r="B17" s="34"/>
      <c r="C17" s="35"/>
      <c r="D17" s="35"/>
      <c r="E17" s="36"/>
      <c r="F17" s="36"/>
      <c r="G17" s="5"/>
      <c r="H17" s="16"/>
      <c r="I17" s="17" t="str">
        <f t="shared" si="0"/>
        <v/>
      </c>
    </row>
    <row r="19" spans="1:9" s="4" customFormat="1" ht="24" x14ac:dyDescent="0.25">
      <c r="A19" s="6" t="s">
        <v>14</v>
      </c>
      <c r="B19" s="6" t="s">
        <v>15</v>
      </c>
      <c r="C19" s="6" t="s">
        <v>25</v>
      </c>
      <c r="D19" s="6" t="s">
        <v>16</v>
      </c>
      <c r="E19" s="6" t="s">
        <v>17</v>
      </c>
      <c r="F19" s="6" t="s">
        <v>18</v>
      </c>
      <c r="G19" s="31" t="s">
        <v>19</v>
      </c>
      <c r="H19" s="31"/>
    </row>
    <row r="20" spans="1:9" x14ac:dyDescent="0.25">
      <c r="A20" s="8">
        <f>IF(B20&lt;2,"n/a",(_xlfn.STDEV.S(H3:H17)))</f>
        <v>8.9260778994285417</v>
      </c>
      <c r="B20" s="8">
        <f>COUNT(H3:H17)</f>
        <v>6</v>
      </c>
      <c r="C20" s="9">
        <f>IF(B20&lt;2,"n/a",(A20/D20))</f>
        <v>0.25264868099146737</v>
      </c>
      <c r="D20" s="10">
        <f>IFERROR(ROUND(AVERAGE(H3:H17),2),"")</f>
        <v>35.33</v>
      </c>
      <c r="E20" s="15">
        <f>IFERROR(ROUND(IF(B20&lt;2,"n/a",(IF(C20&lt;=25%,"n/a",AVERAGE(I3:I17)))),2),"n/a")</f>
        <v>32.79</v>
      </c>
      <c r="F20" s="10">
        <f>IFERROR(ROUND(MEDIAN(H3:H17),2),"")</f>
        <v>35.299999999999997</v>
      </c>
      <c r="G20" s="11" t="str">
        <f>IFERROR(INDEX(G3:G17,MATCH(H20,H3:H17,0)),"")</f>
        <v>ONADIR SERRATO JUNIOR</v>
      </c>
      <c r="H20" s="12">
        <f>F3</f>
        <v>22.75</v>
      </c>
    </row>
    <row r="22" spans="1:9" x14ac:dyDescent="0.25">
      <c r="G22" s="13" t="s">
        <v>20</v>
      </c>
      <c r="H22" s="14">
        <f>IF(C20&lt;=25%,D20,MIN(E20:F20))</f>
        <v>32.79</v>
      </c>
    </row>
    <row r="23" spans="1:9" x14ac:dyDescent="0.25">
      <c r="G23" s="13" t="s">
        <v>6</v>
      </c>
      <c r="H23" s="14">
        <f>ROUND(H22,2)*D3</f>
        <v>852.54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8" sqref="G8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2" t="s">
        <v>8</v>
      </c>
      <c r="B1" s="32"/>
      <c r="C1" s="32"/>
      <c r="D1" s="32"/>
      <c r="E1" s="32"/>
      <c r="F1" s="32"/>
      <c r="G1" s="32"/>
      <c r="H1" s="32"/>
      <c r="I1" s="32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9</v>
      </c>
      <c r="F2" s="6" t="s">
        <v>10</v>
      </c>
      <c r="G2" s="6" t="s">
        <v>11</v>
      </c>
      <c r="H2" s="6" t="s">
        <v>12</v>
      </c>
      <c r="I2" s="6" t="s">
        <v>13</v>
      </c>
    </row>
    <row r="3" spans="1:9" x14ac:dyDescent="0.25">
      <c r="A3" s="37">
        <v>12</v>
      </c>
      <c r="B3" s="33" t="s">
        <v>60</v>
      </c>
      <c r="C3" s="35" t="s">
        <v>7</v>
      </c>
      <c r="D3" s="35">
        <f>80+28</f>
        <v>108</v>
      </c>
      <c r="E3" s="36">
        <f>IF(C20&lt;=25%,D20,MIN(E20:F20))</f>
        <v>7.4</v>
      </c>
      <c r="F3" s="36">
        <f>MIN(H3:H17)</f>
        <v>4.2</v>
      </c>
      <c r="G3" s="5" t="s">
        <v>116</v>
      </c>
      <c r="H3" s="16">
        <v>4.3</v>
      </c>
      <c r="I3" s="17">
        <f>IF(H3="","",(IF($C$20&lt;25%,"n/a",IF(H3&lt;=($D$20+$A$20),H3,"Descartado"))))</f>
        <v>4.3</v>
      </c>
    </row>
    <row r="4" spans="1:9" x14ac:dyDescent="0.25">
      <c r="A4" s="37"/>
      <c r="B4" s="34"/>
      <c r="C4" s="35"/>
      <c r="D4" s="35"/>
      <c r="E4" s="36"/>
      <c r="F4" s="36"/>
      <c r="G4" s="5" t="s">
        <v>97</v>
      </c>
      <c r="H4" s="16">
        <v>12.08</v>
      </c>
      <c r="I4" s="17">
        <f t="shared" ref="I4:I17" si="0">IF(H4="","",(IF($C$20&lt;25%,"n/a",IF(H4&lt;=($D$20+$A$20),H4,"Descartado"))))</f>
        <v>12.08</v>
      </c>
    </row>
    <row r="5" spans="1:9" x14ac:dyDescent="0.25">
      <c r="A5" s="37"/>
      <c r="B5" s="34"/>
      <c r="C5" s="35"/>
      <c r="D5" s="35"/>
      <c r="E5" s="36"/>
      <c r="F5" s="36"/>
      <c r="G5" s="5" t="s">
        <v>117</v>
      </c>
      <c r="H5" s="16">
        <v>23.97</v>
      </c>
      <c r="I5" s="17" t="str">
        <f t="shared" si="0"/>
        <v>Descartado</v>
      </c>
    </row>
    <row r="6" spans="1:9" x14ac:dyDescent="0.25">
      <c r="A6" s="37"/>
      <c r="B6" s="34"/>
      <c r="C6" s="35"/>
      <c r="D6" s="35"/>
      <c r="E6" s="36"/>
      <c r="F6" s="36"/>
      <c r="G6" s="5" t="s">
        <v>118</v>
      </c>
      <c r="H6" s="16">
        <v>4.2</v>
      </c>
      <c r="I6" s="17">
        <f t="shared" si="0"/>
        <v>4.2</v>
      </c>
    </row>
    <row r="7" spans="1:9" x14ac:dyDescent="0.25">
      <c r="A7" s="37"/>
      <c r="B7" s="34"/>
      <c r="C7" s="35"/>
      <c r="D7" s="35"/>
      <c r="E7" s="36"/>
      <c r="F7" s="36"/>
      <c r="G7" s="5" t="s">
        <v>119</v>
      </c>
      <c r="H7" s="16">
        <v>9</v>
      </c>
      <c r="I7" s="17">
        <f t="shared" si="0"/>
        <v>9</v>
      </c>
    </row>
    <row r="8" spans="1:9" x14ac:dyDescent="0.25">
      <c r="A8" s="37"/>
      <c r="B8" s="34"/>
      <c r="C8" s="35"/>
      <c r="D8" s="35"/>
      <c r="E8" s="36"/>
      <c r="F8" s="36"/>
      <c r="G8" s="5"/>
      <c r="H8" s="16"/>
      <c r="I8" s="17" t="str">
        <f t="shared" si="0"/>
        <v/>
      </c>
    </row>
    <row r="9" spans="1:9" x14ac:dyDescent="0.25">
      <c r="A9" s="37"/>
      <c r="B9" s="34"/>
      <c r="C9" s="35"/>
      <c r="D9" s="35"/>
      <c r="E9" s="36"/>
      <c r="F9" s="36"/>
      <c r="G9" s="5"/>
      <c r="H9" s="16"/>
      <c r="I9" s="17" t="str">
        <f t="shared" si="0"/>
        <v/>
      </c>
    </row>
    <row r="10" spans="1:9" x14ac:dyDescent="0.25">
      <c r="A10" s="37"/>
      <c r="B10" s="34"/>
      <c r="C10" s="35"/>
      <c r="D10" s="35"/>
      <c r="E10" s="36"/>
      <c r="F10" s="36"/>
      <c r="G10" s="5"/>
      <c r="H10" s="16"/>
      <c r="I10" s="17" t="str">
        <f t="shared" si="0"/>
        <v/>
      </c>
    </row>
    <row r="11" spans="1:9" x14ac:dyDescent="0.25">
      <c r="A11" s="37"/>
      <c r="B11" s="34"/>
      <c r="C11" s="35"/>
      <c r="D11" s="35"/>
      <c r="E11" s="36"/>
      <c r="F11" s="36"/>
      <c r="G11" s="5"/>
      <c r="H11" s="16"/>
      <c r="I11" s="17" t="str">
        <f t="shared" si="0"/>
        <v/>
      </c>
    </row>
    <row r="12" spans="1:9" x14ac:dyDescent="0.25">
      <c r="A12" s="37"/>
      <c r="B12" s="34"/>
      <c r="C12" s="35"/>
      <c r="D12" s="35"/>
      <c r="E12" s="36"/>
      <c r="F12" s="36"/>
      <c r="G12" s="5"/>
      <c r="H12" s="16"/>
      <c r="I12" s="17" t="str">
        <f t="shared" si="0"/>
        <v/>
      </c>
    </row>
    <row r="13" spans="1:9" x14ac:dyDescent="0.25">
      <c r="A13" s="37"/>
      <c r="B13" s="34"/>
      <c r="C13" s="35"/>
      <c r="D13" s="35"/>
      <c r="E13" s="36"/>
      <c r="F13" s="36"/>
      <c r="G13" s="5"/>
      <c r="H13" s="16"/>
      <c r="I13" s="17" t="str">
        <f t="shared" si="0"/>
        <v/>
      </c>
    </row>
    <row r="14" spans="1:9" x14ac:dyDescent="0.25">
      <c r="A14" s="37"/>
      <c r="B14" s="34"/>
      <c r="C14" s="35"/>
      <c r="D14" s="35"/>
      <c r="E14" s="36"/>
      <c r="F14" s="36"/>
      <c r="G14" s="5"/>
      <c r="H14" s="16"/>
      <c r="I14" s="17" t="str">
        <f t="shared" si="0"/>
        <v/>
      </c>
    </row>
    <row r="15" spans="1:9" x14ac:dyDescent="0.25">
      <c r="A15" s="37"/>
      <c r="B15" s="34"/>
      <c r="C15" s="35"/>
      <c r="D15" s="35"/>
      <c r="E15" s="36"/>
      <c r="F15" s="36"/>
      <c r="G15" s="5"/>
      <c r="H15" s="16"/>
      <c r="I15" s="17" t="str">
        <f t="shared" si="0"/>
        <v/>
      </c>
    </row>
    <row r="16" spans="1:9" x14ac:dyDescent="0.25">
      <c r="A16" s="37"/>
      <c r="B16" s="34"/>
      <c r="C16" s="35"/>
      <c r="D16" s="35"/>
      <c r="E16" s="36"/>
      <c r="F16" s="36"/>
      <c r="G16" s="5"/>
      <c r="H16" s="16"/>
      <c r="I16" s="17" t="str">
        <f t="shared" si="0"/>
        <v/>
      </c>
    </row>
    <row r="17" spans="1:9" x14ac:dyDescent="0.25">
      <c r="A17" s="37"/>
      <c r="B17" s="34"/>
      <c r="C17" s="35"/>
      <c r="D17" s="35"/>
      <c r="E17" s="36"/>
      <c r="F17" s="36"/>
      <c r="G17" s="5"/>
      <c r="H17" s="16"/>
      <c r="I17" s="17" t="str">
        <f t="shared" si="0"/>
        <v/>
      </c>
    </row>
    <row r="19" spans="1:9" s="4" customFormat="1" ht="24" x14ac:dyDescent="0.25">
      <c r="A19" s="6" t="s">
        <v>14</v>
      </c>
      <c r="B19" s="6" t="s">
        <v>15</v>
      </c>
      <c r="C19" s="6" t="s">
        <v>25</v>
      </c>
      <c r="D19" s="6" t="s">
        <v>16</v>
      </c>
      <c r="E19" s="6" t="s">
        <v>17</v>
      </c>
      <c r="F19" s="6" t="s">
        <v>18</v>
      </c>
      <c r="G19" s="31" t="s">
        <v>19</v>
      </c>
      <c r="H19" s="31"/>
    </row>
    <row r="20" spans="1:9" x14ac:dyDescent="0.25">
      <c r="A20" s="8">
        <f>IF(B20&lt;2,"n/a",(_xlfn.STDEV.S(H3:H17)))</f>
        <v>8.125527675172858</v>
      </c>
      <c r="B20" s="8">
        <f>COUNT(H3:H17)</f>
        <v>5</v>
      </c>
      <c r="C20" s="9">
        <f>IF(B20&lt;2,"n/a",(A20/D20))</f>
        <v>0.758686057439109</v>
      </c>
      <c r="D20" s="10">
        <f>IFERROR(ROUND(AVERAGE(H3:H17),2),"")</f>
        <v>10.71</v>
      </c>
      <c r="E20" s="15">
        <f>IFERROR(ROUND(IF(B20&lt;2,"n/a",(IF(C20&lt;=25%,"n/a",AVERAGE(I3:I17)))),2),"n/a")</f>
        <v>7.4</v>
      </c>
      <c r="F20" s="10">
        <f>IFERROR(ROUND(MEDIAN(H3:H17),2),"")</f>
        <v>9</v>
      </c>
      <c r="G20" s="11" t="str">
        <f>IFERROR(INDEX(G3:G17,MATCH(H20,H3:H17,0)),"")</f>
        <v>LAD SOLUCOES INTEGRADAS LTDA</v>
      </c>
      <c r="H20" s="12">
        <f>F3</f>
        <v>4.2</v>
      </c>
    </row>
    <row r="22" spans="1:9" x14ac:dyDescent="0.25">
      <c r="G22" s="13" t="s">
        <v>20</v>
      </c>
      <c r="H22" s="14">
        <f>IF(C20&lt;=25%,D20,MIN(E20:F20))</f>
        <v>7.4</v>
      </c>
    </row>
    <row r="23" spans="1:9" x14ac:dyDescent="0.25">
      <c r="G23" s="13" t="s">
        <v>6</v>
      </c>
      <c r="H23" s="14">
        <f>ROUND(H22,2)*D3</f>
        <v>799.2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8" sqref="G8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2" t="s">
        <v>8</v>
      </c>
      <c r="B1" s="32"/>
      <c r="C1" s="32"/>
      <c r="D1" s="32"/>
      <c r="E1" s="32"/>
      <c r="F1" s="32"/>
      <c r="G1" s="32"/>
      <c r="H1" s="32"/>
      <c r="I1" s="32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9</v>
      </c>
      <c r="F2" s="6" t="s">
        <v>10</v>
      </c>
      <c r="G2" s="6" t="s">
        <v>11</v>
      </c>
      <c r="H2" s="6" t="s">
        <v>12</v>
      </c>
      <c r="I2" s="6" t="s">
        <v>13</v>
      </c>
    </row>
    <row r="3" spans="1:9" x14ac:dyDescent="0.25">
      <c r="A3" s="37">
        <v>13</v>
      </c>
      <c r="B3" s="33" t="s">
        <v>61</v>
      </c>
      <c r="C3" s="35" t="s">
        <v>7</v>
      </c>
      <c r="D3" s="35">
        <v>20</v>
      </c>
      <c r="E3" s="36">
        <f>IF(C20&lt;=25%,D20,MIN(E20:F20))</f>
        <v>1</v>
      </c>
      <c r="F3" s="36">
        <f>MIN(H3:H17)</f>
        <v>0.17800000000000002</v>
      </c>
      <c r="G3" s="5" t="s">
        <v>120</v>
      </c>
      <c r="H3" s="16">
        <v>3.5</v>
      </c>
      <c r="I3" s="17" t="str">
        <f>IF(H3="","",(IF($C$20&lt;25%,"n/a",IF(H3&lt;=($D$20+$A$20),H3,"Descartado"))))</f>
        <v>Descartado</v>
      </c>
    </row>
    <row r="4" spans="1:9" x14ac:dyDescent="0.25">
      <c r="A4" s="37"/>
      <c r="B4" s="34"/>
      <c r="C4" s="35"/>
      <c r="D4" s="35"/>
      <c r="E4" s="36"/>
      <c r="F4" s="36"/>
      <c r="G4" s="5" t="s">
        <v>121</v>
      </c>
      <c r="H4" s="16">
        <v>3</v>
      </c>
      <c r="I4" s="17">
        <f t="shared" ref="I4:I17" si="0">IF(H4="","",(IF($C$20&lt;25%,"n/a",IF(H4&lt;=($D$20+$A$20),H4,"Descartado"))))</f>
        <v>3</v>
      </c>
    </row>
    <row r="5" spans="1:9" x14ac:dyDescent="0.25">
      <c r="A5" s="37"/>
      <c r="B5" s="34"/>
      <c r="C5" s="35"/>
      <c r="D5" s="35"/>
      <c r="E5" s="36"/>
      <c r="F5" s="36"/>
      <c r="G5" s="5" t="s">
        <v>122</v>
      </c>
      <c r="H5" s="16">
        <v>0.99750000000000005</v>
      </c>
      <c r="I5" s="17">
        <f t="shared" si="0"/>
        <v>0.99750000000000005</v>
      </c>
    </row>
    <row r="6" spans="1:9" x14ac:dyDescent="0.25">
      <c r="A6" s="37"/>
      <c r="B6" s="34"/>
      <c r="C6" s="35"/>
      <c r="D6" s="35"/>
      <c r="E6" s="36"/>
      <c r="F6" s="36"/>
      <c r="G6" s="5" t="s">
        <v>123</v>
      </c>
      <c r="H6" s="16">
        <f>17.8/100</f>
        <v>0.17800000000000002</v>
      </c>
      <c r="I6" s="17">
        <f t="shared" si="0"/>
        <v>0.17800000000000002</v>
      </c>
    </row>
    <row r="7" spans="1:9" x14ac:dyDescent="0.25">
      <c r="A7" s="37"/>
      <c r="B7" s="34"/>
      <c r="C7" s="35"/>
      <c r="D7" s="35"/>
      <c r="E7" s="36"/>
      <c r="F7" s="36"/>
      <c r="G7" s="5" t="s">
        <v>124</v>
      </c>
      <c r="H7" s="16">
        <v>0.25</v>
      </c>
      <c r="I7" s="17">
        <f t="shared" si="0"/>
        <v>0.25</v>
      </c>
    </row>
    <row r="8" spans="1:9" x14ac:dyDescent="0.25">
      <c r="A8" s="37"/>
      <c r="B8" s="34"/>
      <c r="C8" s="35"/>
      <c r="D8" s="35"/>
      <c r="E8" s="36"/>
      <c r="F8" s="36"/>
      <c r="G8" s="5"/>
      <c r="H8" s="16"/>
      <c r="I8" s="17" t="str">
        <f t="shared" si="0"/>
        <v/>
      </c>
    </row>
    <row r="9" spans="1:9" x14ac:dyDescent="0.25">
      <c r="A9" s="37"/>
      <c r="B9" s="34"/>
      <c r="C9" s="35"/>
      <c r="D9" s="35"/>
      <c r="E9" s="36"/>
      <c r="F9" s="36"/>
      <c r="G9" s="5"/>
      <c r="H9" s="16"/>
      <c r="I9" s="17" t="str">
        <f t="shared" si="0"/>
        <v/>
      </c>
    </row>
    <row r="10" spans="1:9" x14ac:dyDescent="0.25">
      <c r="A10" s="37"/>
      <c r="B10" s="34"/>
      <c r="C10" s="35"/>
      <c r="D10" s="35"/>
      <c r="E10" s="36"/>
      <c r="F10" s="36"/>
      <c r="G10" s="5"/>
      <c r="H10" s="16"/>
      <c r="I10" s="17" t="str">
        <f t="shared" si="0"/>
        <v/>
      </c>
    </row>
    <row r="11" spans="1:9" x14ac:dyDescent="0.25">
      <c r="A11" s="37"/>
      <c r="B11" s="34"/>
      <c r="C11" s="35"/>
      <c r="D11" s="35"/>
      <c r="E11" s="36"/>
      <c r="F11" s="36"/>
      <c r="G11" s="5"/>
      <c r="H11" s="16"/>
      <c r="I11" s="17" t="str">
        <f t="shared" si="0"/>
        <v/>
      </c>
    </row>
    <row r="12" spans="1:9" x14ac:dyDescent="0.25">
      <c r="A12" s="37"/>
      <c r="B12" s="34"/>
      <c r="C12" s="35"/>
      <c r="D12" s="35"/>
      <c r="E12" s="36"/>
      <c r="F12" s="36"/>
      <c r="G12" s="5"/>
      <c r="H12" s="16"/>
      <c r="I12" s="17" t="str">
        <f t="shared" si="0"/>
        <v/>
      </c>
    </row>
    <row r="13" spans="1:9" x14ac:dyDescent="0.25">
      <c r="A13" s="37"/>
      <c r="B13" s="34"/>
      <c r="C13" s="35"/>
      <c r="D13" s="35"/>
      <c r="E13" s="36"/>
      <c r="F13" s="36"/>
      <c r="G13" s="5"/>
      <c r="H13" s="16"/>
      <c r="I13" s="17" t="str">
        <f t="shared" si="0"/>
        <v/>
      </c>
    </row>
    <row r="14" spans="1:9" x14ac:dyDescent="0.25">
      <c r="A14" s="37"/>
      <c r="B14" s="34"/>
      <c r="C14" s="35"/>
      <c r="D14" s="35"/>
      <c r="E14" s="36"/>
      <c r="F14" s="36"/>
      <c r="G14" s="5"/>
      <c r="H14" s="16"/>
      <c r="I14" s="17" t="str">
        <f t="shared" si="0"/>
        <v/>
      </c>
    </row>
    <row r="15" spans="1:9" x14ac:dyDescent="0.25">
      <c r="A15" s="37"/>
      <c r="B15" s="34"/>
      <c r="C15" s="35"/>
      <c r="D15" s="35"/>
      <c r="E15" s="36"/>
      <c r="F15" s="36"/>
      <c r="G15" s="5"/>
      <c r="H15" s="16"/>
      <c r="I15" s="17" t="str">
        <f t="shared" si="0"/>
        <v/>
      </c>
    </row>
    <row r="16" spans="1:9" x14ac:dyDescent="0.25">
      <c r="A16" s="37"/>
      <c r="B16" s="34"/>
      <c r="C16" s="35"/>
      <c r="D16" s="35"/>
      <c r="E16" s="36"/>
      <c r="F16" s="36"/>
      <c r="G16" s="5"/>
      <c r="H16" s="16"/>
      <c r="I16" s="17" t="str">
        <f t="shared" si="0"/>
        <v/>
      </c>
    </row>
    <row r="17" spans="1:9" x14ac:dyDescent="0.25">
      <c r="A17" s="37"/>
      <c r="B17" s="34"/>
      <c r="C17" s="35"/>
      <c r="D17" s="35"/>
      <c r="E17" s="36"/>
      <c r="F17" s="36"/>
      <c r="G17" s="5"/>
      <c r="H17" s="16"/>
      <c r="I17" s="17" t="str">
        <f t="shared" si="0"/>
        <v/>
      </c>
    </row>
    <row r="19" spans="1:9" s="4" customFormat="1" ht="24" x14ac:dyDescent="0.25">
      <c r="A19" s="6" t="s">
        <v>14</v>
      </c>
      <c r="B19" s="6" t="s">
        <v>15</v>
      </c>
      <c r="C19" s="6" t="s">
        <v>25</v>
      </c>
      <c r="D19" s="6" t="s">
        <v>16</v>
      </c>
      <c r="E19" s="6" t="s">
        <v>17</v>
      </c>
      <c r="F19" s="6" t="s">
        <v>18</v>
      </c>
      <c r="G19" s="31" t="s">
        <v>19</v>
      </c>
      <c r="H19" s="31"/>
    </row>
    <row r="20" spans="1:9" x14ac:dyDescent="0.25">
      <c r="A20" s="8">
        <f>IF(B20&lt;2,"n/a",(_xlfn.STDEV.S(H3:H17)))</f>
        <v>1.563368174807201</v>
      </c>
      <c r="B20" s="8">
        <f>COUNT(H3:H17)</f>
        <v>5</v>
      </c>
      <c r="C20" s="9">
        <f>IF(B20&lt;2,"n/a",(A20/D20))</f>
        <v>0.98325042440704458</v>
      </c>
      <c r="D20" s="10">
        <f>IFERROR(ROUND(AVERAGE(H3:H17),2),"")</f>
        <v>1.59</v>
      </c>
      <c r="E20" s="15">
        <f>IFERROR(ROUND(IF(B20&lt;2,"n/a",(IF(C20&lt;=25%,"n/a",AVERAGE(I3:I17)))),2),"n/a")</f>
        <v>1.1100000000000001</v>
      </c>
      <c r="F20" s="10">
        <f>IFERROR(ROUND(MEDIAN(H3:H17),2),"")</f>
        <v>1</v>
      </c>
      <c r="G20" s="11" t="str">
        <f>IFERROR(INDEX(G3:G17,MATCH(H20,H3:H17,0)),"")</f>
        <v>TEMMAX COMERCIAL, SERVICOS E TECNOLOGIA LTDA</v>
      </c>
      <c r="H20" s="12">
        <f>F3</f>
        <v>0.17800000000000002</v>
      </c>
    </row>
    <row r="22" spans="1:9" x14ac:dyDescent="0.25">
      <c r="G22" s="13" t="s">
        <v>20</v>
      </c>
      <c r="H22" s="14">
        <f>IF(C20&lt;=25%,D20,MIN(E20:F20))</f>
        <v>1</v>
      </c>
    </row>
    <row r="23" spans="1:9" x14ac:dyDescent="0.25">
      <c r="G23" s="13" t="s">
        <v>6</v>
      </c>
      <c r="H23" s="14">
        <f>ROUND(H22,2)*D3</f>
        <v>20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8" sqref="G8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2" t="s">
        <v>8</v>
      </c>
      <c r="B1" s="32"/>
      <c r="C1" s="32"/>
      <c r="D1" s="32"/>
      <c r="E1" s="32"/>
      <c r="F1" s="32"/>
      <c r="G1" s="32"/>
      <c r="H1" s="32"/>
      <c r="I1" s="32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9</v>
      </c>
      <c r="F2" s="6" t="s">
        <v>10</v>
      </c>
      <c r="G2" s="6" t="s">
        <v>11</v>
      </c>
      <c r="H2" s="6" t="s">
        <v>12</v>
      </c>
      <c r="I2" s="6" t="s">
        <v>13</v>
      </c>
    </row>
    <row r="3" spans="1:9" x14ac:dyDescent="0.25">
      <c r="A3" s="37">
        <v>14</v>
      </c>
      <c r="B3" s="33" t="s">
        <v>62</v>
      </c>
      <c r="C3" s="35" t="s">
        <v>7</v>
      </c>
      <c r="D3" s="35">
        <v>5</v>
      </c>
      <c r="E3" s="36">
        <f>IF(C20&lt;=25%,D20,MIN(E20:F20))</f>
        <v>3.71</v>
      </c>
      <c r="F3" s="36">
        <f>MIN(H3:H17)</f>
        <v>3.33</v>
      </c>
      <c r="G3" s="5" t="s">
        <v>88</v>
      </c>
      <c r="H3" s="16">
        <v>22.33</v>
      </c>
      <c r="I3" s="17" t="str">
        <f>IF(H3="","",(IF($C$20&lt;25%,"n/a",IF(H3&lt;=($D$20+$A$20),H3,"Descartado"))))</f>
        <v>Descartado</v>
      </c>
    </row>
    <row r="4" spans="1:9" x14ac:dyDescent="0.25">
      <c r="A4" s="37"/>
      <c r="B4" s="34"/>
      <c r="C4" s="35"/>
      <c r="D4" s="35"/>
      <c r="E4" s="36"/>
      <c r="F4" s="36"/>
      <c r="G4" s="5" t="s">
        <v>114</v>
      </c>
      <c r="H4" s="16">
        <v>3.86</v>
      </c>
      <c r="I4" s="17">
        <f t="shared" ref="I4:I17" si="0">IF(H4="","",(IF($C$20&lt;25%,"n/a",IF(H4&lt;=($D$20+$A$20),H4,"Descartado"))))</f>
        <v>3.86</v>
      </c>
    </row>
    <row r="5" spans="1:9" x14ac:dyDescent="0.25">
      <c r="A5" s="37"/>
      <c r="B5" s="34"/>
      <c r="C5" s="35"/>
      <c r="D5" s="35"/>
      <c r="E5" s="36"/>
      <c r="F5" s="36"/>
      <c r="G5" s="5" t="s">
        <v>108</v>
      </c>
      <c r="H5" s="16">
        <v>4.3</v>
      </c>
      <c r="I5" s="17">
        <f t="shared" si="0"/>
        <v>4.3</v>
      </c>
    </row>
    <row r="6" spans="1:9" x14ac:dyDescent="0.25">
      <c r="A6" s="37"/>
      <c r="B6" s="34"/>
      <c r="C6" s="35"/>
      <c r="D6" s="35"/>
      <c r="E6" s="36"/>
      <c r="F6" s="36"/>
      <c r="G6" s="5" t="s">
        <v>125</v>
      </c>
      <c r="H6" s="16">
        <v>3.33</v>
      </c>
      <c r="I6" s="17">
        <f t="shared" si="0"/>
        <v>3.33</v>
      </c>
    </row>
    <row r="7" spans="1:9" x14ac:dyDescent="0.25">
      <c r="A7" s="37"/>
      <c r="B7" s="34"/>
      <c r="C7" s="35"/>
      <c r="D7" s="35"/>
      <c r="E7" s="36"/>
      <c r="F7" s="36"/>
      <c r="G7" s="5" t="s">
        <v>126</v>
      </c>
      <c r="H7" s="16">
        <v>3.35</v>
      </c>
      <c r="I7" s="17">
        <f t="shared" si="0"/>
        <v>3.35</v>
      </c>
    </row>
    <row r="8" spans="1:9" x14ac:dyDescent="0.25">
      <c r="A8" s="37"/>
      <c r="B8" s="34"/>
      <c r="C8" s="35"/>
      <c r="D8" s="35"/>
      <c r="E8" s="36"/>
      <c r="F8" s="36"/>
      <c r="G8" s="5"/>
      <c r="H8" s="16"/>
      <c r="I8" s="17" t="str">
        <f t="shared" si="0"/>
        <v/>
      </c>
    </row>
    <row r="9" spans="1:9" x14ac:dyDescent="0.25">
      <c r="A9" s="37"/>
      <c r="B9" s="34"/>
      <c r="C9" s="35"/>
      <c r="D9" s="35"/>
      <c r="E9" s="36"/>
      <c r="F9" s="36"/>
      <c r="G9" s="5"/>
      <c r="H9" s="16"/>
      <c r="I9" s="17" t="str">
        <f t="shared" si="0"/>
        <v/>
      </c>
    </row>
    <row r="10" spans="1:9" x14ac:dyDescent="0.25">
      <c r="A10" s="37"/>
      <c r="B10" s="34"/>
      <c r="C10" s="35"/>
      <c r="D10" s="35"/>
      <c r="E10" s="36"/>
      <c r="F10" s="36"/>
      <c r="G10" s="5"/>
      <c r="H10" s="16"/>
      <c r="I10" s="17" t="str">
        <f t="shared" si="0"/>
        <v/>
      </c>
    </row>
    <row r="11" spans="1:9" x14ac:dyDescent="0.25">
      <c r="A11" s="37"/>
      <c r="B11" s="34"/>
      <c r="C11" s="35"/>
      <c r="D11" s="35"/>
      <c r="E11" s="36"/>
      <c r="F11" s="36"/>
      <c r="G11" s="5"/>
      <c r="H11" s="16"/>
      <c r="I11" s="17" t="str">
        <f t="shared" si="0"/>
        <v/>
      </c>
    </row>
    <row r="12" spans="1:9" x14ac:dyDescent="0.25">
      <c r="A12" s="37"/>
      <c r="B12" s="34"/>
      <c r="C12" s="35"/>
      <c r="D12" s="35"/>
      <c r="E12" s="36"/>
      <c r="F12" s="36"/>
      <c r="G12" s="5"/>
      <c r="H12" s="16"/>
      <c r="I12" s="17" t="str">
        <f t="shared" si="0"/>
        <v/>
      </c>
    </row>
    <row r="13" spans="1:9" x14ac:dyDescent="0.25">
      <c r="A13" s="37"/>
      <c r="B13" s="34"/>
      <c r="C13" s="35"/>
      <c r="D13" s="35"/>
      <c r="E13" s="36"/>
      <c r="F13" s="36"/>
      <c r="G13" s="5"/>
      <c r="H13" s="16"/>
      <c r="I13" s="17" t="str">
        <f t="shared" si="0"/>
        <v/>
      </c>
    </row>
    <row r="14" spans="1:9" x14ac:dyDescent="0.25">
      <c r="A14" s="37"/>
      <c r="B14" s="34"/>
      <c r="C14" s="35"/>
      <c r="D14" s="35"/>
      <c r="E14" s="36"/>
      <c r="F14" s="36"/>
      <c r="G14" s="5"/>
      <c r="H14" s="16"/>
      <c r="I14" s="17" t="str">
        <f t="shared" si="0"/>
        <v/>
      </c>
    </row>
    <row r="15" spans="1:9" x14ac:dyDescent="0.25">
      <c r="A15" s="37"/>
      <c r="B15" s="34"/>
      <c r="C15" s="35"/>
      <c r="D15" s="35"/>
      <c r="E15" s="36"/>
      <c r="F15" s="36"/>
      <c r="G15" s="5"/>
      <c r="H15" s="16"/>
      <c r="I15" s="17" t="str">
        <f t="shared" si="0"/>
        <v/>
      </c>
    </row>
    <row r="16" spans="1:9" x14ac:dyDescent="0.25">
      <c r="A16" s="37"/>
      <c r="B16" s="34"/>
      <c r="C16" s="35"/>
      <c r="D16" s="35"/>
      <c r="E16" s="36"/>
      <c r="F16" s="36"/>
      <c r="G16" s="5"/>
      <c r="H16" s="16"/>
      <c r="I16" s="17" t="str">
        <f t="shared" si="0"/>
        <v/>
      </c>
    </row>
    <row r="17" spans="1:9" x14ac:dyDescent="0.25">
      <c r="A17" s="37"/>
      <c r="B17" s="34"/>
      <c r="C17" s="35"/>
      <c r="D17" s="35"/>
      <c r="E17" s="36"/>
      <c r="F17" s="36"/>
      <c r="G17" s="5"/>
      <c r="H17" s="16"/>
      <c r="I17" s="17" t="str">
        <f t="shared" si="0"/>
        <v/>
      </c>
    </row>
    <row r="19" spans="1:9" s="4" customFormat="1" ht="24" x14ac:dyDescent="0.25">
      <c r="A19" s="6" t="s">
        <v>14</v>
      </c>
      <c r="B19" s="6" t="s">
        <v>15</v>
      </c>
      <c r="C19" s="6" t="s">
        <v>25</v>
      </c>
      <c r="D19" s="6" t="s">
        <v>16</v>
      </c>
      <c r="E19" s="6" t="s">
        <v>17</v>
      </c>
      <c r="F19" s="6" t="s">
        <v>18</v>
      </c>
      <c r="G19" s="31" t="s">
        <v>19</v>
      </c>
      <c r="H19" s="31"/>
    </row>
    <row r="20" spans="1:9" x14ac:dyDescent="0.25">
      <c r="A20" s="8">
        <f>IF(B20&lt;2,"n/a",(_xlfn.STDEV.S(H3:H17)))</f>
        <v>8.3367877506867085</v>
      </c>
      <c r="B20" s="8">
        <f>COUNT(H3:H17)</f>
        <v>5</v>
      </c>
      <c r="C20" s="9">
        <f>IF(B20&lt;2,"n/a",(A20/D20))</f>
        <v>1.1220441118017104</v>
      </c>
      <c r="D20" s="10">
        <f>IFERROR(ROUND(AVERAGE(H3:H17),2),"")</f>
        <v>7.43</v>
      </c>
      <c r="E20" s="15">
        <f>IFERROR(ROUND(IF(B20&lt;2,"n/a",(IF(C20&lt;=25%,"n/a",AVERAGE(I3:I17)))),2),"n/a")</f>
        <v>3.71</v>
      </c>
      <c r="F20" s="10">
        <f>IFERROR(ROUND(MEDIAN(H3:H17),2),"")</f>
        <v>3.86</v>
      </c>
      <c r="G20" s="11" t="str">
        <f>IFERROR(INDEX(G3:G17,MATCH(H20,H3:H17,0)),"")</f>
        <v>RM COMERCIO DE MERCADORIAS E MATERIAIS LTDA</v>
      </c>
      <c r="H20" s="12">
        <f>F3</f>
        <v>3.33</v>
      </c>
    </row>
    <row r="22" spans="1:9" x14ac:dyDescent="0.25">
      <c r="G22" s="13" t="s">
        <v>20</v>
      </c>
      <c r="H22" s="14">
        <f>IF(C20&lt;=25%,D20,MIN(E20:F20))</f>
        <v>3.71</v>
      </c>
    </row>
    <row r="23" spans="1:9" x14ac:dyDescent="0.25">
      <c r="G23" s="13" t="s">
        <v>6</v>
      </c>
      <c r="H23" s="14">
        <f>ROUND(H22,2)*D3</f>
        <v>18.55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12" sqref="G12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2" t="s">
        <v>8</v>
      </c>
      <c r="B1" s="32"/>
      <c r="C1" s="32"/>
      <c r="D1" s="32"/>
      <c r="E1" s="32"/>
      <c r="F1" s="32"/>
      <c r="G1" s="32"/>
      <c r="H1" s="32"/>
      <c r="I1" s="32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9</v>
      </c>
      <c r="F2" s="6" t="s">
        <v>10</v>
      </c>
      <c r="G2" s="6" t="s">
        <v>11</v>
      </c>
      <c r="H2" s="6" t="s">
        <v>12</v>
      </c>
      <c r="I2" s="6" t="s">
        <v>13</v>
      </c>
    </row>
    <row r="3" spans="1:9" x14ac:dyDescent="0.25">
      <c r="A3" s="37">
        <v>15</v>
      </c>
      <c r="B3" s="33" t="s">
        <v>63</v>
      </c>
      <c r="C3" s="35" t="s">
        <v>7</v>
      </c>
      <c r="D3" s="35">
        <f>50+134</f>
        <v>184</v>
      </c>
      <c r="E3" s="36">
        <f>IF(C20&lt;=25%,D20,MIN(E20:F20))</f>
        <v>5.87</v>
      </c>
      <c r="F3" s="36">
        <f>MIN(H3:H17)</f>
        <v>2</v>
      </c>
      <c r="G3" s="5" t="s">
        <v>127</v>
      </c>
      <c r="H3" s="16">
        <v>44.8</v>
      </c>
      <c r="I3" s="17" t="str">
        <f>IF(H3="","",(IF($C$20&lt;25%,"n/a",IF(H3&lt;=($D$20+$A$20),H3,"Descartado"))))</f>
        <v>Descartado</v>
      </c>
    </row>
    <row r="4" spans="1:9" x14ac:dyDescent="0.25">
      <c r="A4" s="37"/>
      <c r="B4" s="34"/>
      <c r="C4" s="35"/>
      <c r="D4" s="35"/>
      <c r="E4" s="36"/>
      <c r="F4" s="36"/>
      <c r="G4" s="5" t="s">
        <v>128</v>
      </c>
      <c r="H4" s="16">
        <v>4.99</v>
      </c>
      <c r="I4" s="17">
        <f t="shared" ref="I4:I17" si="0">IF(H4="","",(IF($C$20&lt;25%,"n/a",IF(H4&lt;=($D$20+$A$20),H4,"Descartado"))))</f>
        <v>4.99</v>
      </c>
    </row>
    <row r="5" spans="1:9" x14ac:dyDescent="0.25">
      <c r="A5" s="37"/>
      <c r="B5" s="34"/>
      <c r="C5" s="35"/>
      <c r="D5" s="35"/>
      <c r="E5" s="36"/>
      <c r="F5" s="36"/>
      <c r="G5" s="5" t="s">
        <v>129</v>
      </c>
      <c r="H5" s="16">
        <v>7.35</v>
      </c>
      <c r="I5" s="17">
        <f t="shared" si="0"/>
        <v>7.35</v>
      </c>
    </row>
    <row r="6" spans="1:9" x14ac:dyDescent="0.25">
      <c r="A6" s="37"/>
      <c r="B6" s="34"/>
      <c r="C6" s="35"/>
      <c r="D6" s="35"/>
      <c r="E6" s="36"/>
      <c r="F6" s="36"/>
      <c r="G6" s="5" t="s">
        <v>130</v>
      </c>
      <c r="H6" s="16">
        <v>11</v>
      </c>
      <c r="I6" s="17">
        <f t="shared" si="0"/>
        <v>11</v>
      </c>
    </row>
    <row r="7" spans="1:9" x14ac:dyDescent="0.25">
      <c r="A7" s="37"/>
      <c r="B7" s="34"/>
      <c r="C7" s="35"/>
      <c r="D7" s="35"/>
      <c r="E7" s="36"/>
      <c r="F7" s="36"/>
      <c r="G7" s="5" t="s">
        <v>131</v>
      </c>
      <c r="H7" s="16">
        <v>5.6</v>
      </c>
      <c r="I7" s="17">
        <f t="shared" si="0"/>
        <v>5.6</v>
      </c>
    </row>
    <row r="8" spans="1:9" x14ac:dyDescent="0.25">
      <c r="A8" s="37"/>
      <c r="B8" s="34"/>
      <c r="C8" s="35"/>
      <c r="D8" s="35"/>
      <c r="E8" s="36"/>
      <c r="F8" s="36"/>
      <c r="G8" s="5" t="s">
        <v>103</v>
      </c>
      <c r="H8" s="16">
        <v>4.6500000000000004</v>
      </c>
      <c r="I8" s="17">
        <f t="shared" si="0"/>
        <v>4.6500000000000004</v>
      </c>
    </row>
    <row r="9" spans="1:9" x14ac:dyDescent="0.25">
      <c r="A9" s="37"/>
      <c r="B9" s="34"/>
      <c r="C9" s="35"/>
      <c r="D9" s="35"/>
      <c r="E9" s="36"/>
      <c r="F9" s="36"/>
      <c r="G9" s="5" t="s">
        <v>132</v>
      </c>
      <c r="H9" s="16">
        <v>5.87</v>
      </c>
      <c r="I9" s="17">
        <f t="shared" si="0"/>
        <v>5.87</v>
      </c>
    </row>
    <row r="10" spans="1:9" x14ac:dyDescent="0.25">
      <c r="A10" s="37"/>
      <c r="B10" s="34"/>
      <c r="C10" s="35"/>
      <c r="D10" s="35"/>
      <c r="E10" s="36"/>
      <c r="F10" s="36"/>
      <c r="G10" s="5" t="s">
        <v>133</v>
      </c>
      <c r="H10" s="16">
        <v>6.15</v>
      </c>
      <c r="I10" s="17">
        <f t="shared" si="0"/>
        <v>6.15</v>
      </c>
    </row>
    <row r="11" spans="1:9" x14ac:dyDescent="0.25">
      <c r="A11" s="37"/>
      <c r="B11" s="34"/>
      <c r="C11" s="35"/>
      <c r="D11" s="35"/>
      <c r="E11" s="36"/>
      <c r="F11" s="36"/>
      <c r="G11" s="5" t="s">
        <v>134</v>
      </c>
      <c r="H11" s="16">
        <v>2</v>
      </c>
      <c r="I11" s="17">
        <f t="shared" si="0"/>
        <v>2</v>
      </c>
    </row>
    <row r="12" spans="1:9" x14ac:dyDescent="0.25">
      <c r="A12" s="37"/>
      <c r="B12" s="34"/>
      <c r="C12" s="35"/>
      <c r="D12" s="35"/>
      <c r="E12" s="36"/>
      <c r="F12" s="36"/>
      <c r="G12" s="5"/>
      <c r="H12" s="16"/>
      <c r="I12" s="17" t="str">
        <f t="shared" si="0"/>
        <v/>
      </c>
    </row>
    <row r="13" spans="1:9" x14ac:dyDescent="0.25">
      <c r="A13" s="37"/>
      <c r="B13" s="34"/>
      <c r="C13" s="35"/>
      <c r="D13" s="35"/>
      <c r="E13" s="36"/>
      <c r="F13" s="36"/>
      <c r="G13" s="5"/>
      <c r="H13" s="16"/>
      <c r="I13" s="17" t="str">
        <f t="shared" si="0"/>
        <v/>
      </c>
    </row>
    <row r="14" spans="1:9" x14ac:dyDescent="0.25">
      <c r="A14" s="37"/>
      <c r="B14" s="34"/>
      <c r="C14" s="35"/>
      <c r="D14" s="35"/>
      <c r="E14" s="36"/>
      <c r="F14" s="36"/>
      <c r="G14" s="5"/>
      <c r="H14" s="16"/>
      <c r="I14" s="17" t="str">
        <f t="shared" si="0"/>
        <v/>
      </c>
    </row>
    <row r="15" spans="1:9" x14ac:dyDescent="0.25">
      <c r="A15" s="37"/>
      <c r="B15" s="34"/>
      <c r="C15" s="35"/>
      <c r="D15" s="35"/>
      <c r="E15" s="36"/>
      <c r="F15" s="36"/>
      <c r="G15" s="5"/>
      <c r="H15" s="16"/>
      <c r="I15" s="17" t="str">
        <f t="shared" si="0"/>
        <v/>
      </c>
    </row>
    <row r="16" spans="1:9" x14ac:dyDescent="0.25">
      <c r="A16" s="37"/>
      <c r="B16" s="34"/>
      <c r="C16" s="35"/>
      <c r="D16" s="35"/>
      <c r="E16" s="36"/>
      <c r="F16" s="36"/>
      <c r="G16" s="5"/>
      <c r="H16" s="16"/>
      <c r="I16" s="17" t="str">
        <f t="shared" si="0"/>
        <v/>
      </c>
    </row>
    <row r="17" spans="1:9" x14ac:dyDescent="0.25">
      <c r="A17" s="37"/>
      <c r="B17" s="34"/>
      <c r="C17" s="35"/>
      <c r="D17" s="35"/>
      <c r="E17" s="36"/>
      <c r="F17" s="36"/>
      <c r="G17" s="5"/>
      <c r="H17" s="16"/>
      <c r="I17" s="17" t="str">
        <f t="shared" si="0"/>
        <v/>
      </c>
    </row>
    <row r="19" spans="1:9" s="4" customFormat="1" ht="24" x14ac:dyDescent="0.25">
      <c r="A19" s="6" t="s">
        <v>14</v>
      </c>
      <c r="B19" s="6" t="s">
        <v>15</v>
      </c>
      <c r="C19" s="6" t="s">
        <v>25</v>
      </c>
      <c r="D19" s="6" t="s">
        <v>16</v>
      </c>
      <c r="E19" s="6" t="s">
        <v>17</v>
      </c>
      <c r="F19" s="6" t="s">
        <v>18</v>
      </c>
      <c r="G19" s="31" t="s">
        <v>19</v>
      </c>
      <c r="H19" s="31"/>
    </row>
    <row r="20" spans="1:9" x14ac:dyDescent="0.25">
      <c r="A20" s="8">
        <f>IF(B20&lt;2,"n/a",(_xlfn.STDEV.S(H3:H17)))</f>
        <v>13.168993676224638</v>
      </c>
      <c r="B20" s="8">
        <f>COUNT(H3:H17)</f>
        <v>9</v>
      </c>
      <c r="C20" s="9">
        <f>IF(B20&lt;2,"n/a",(A20/D20))</f>
        <v>1.2822778652604321</v>
      </c>
      <c r="D20" s="10">
        <f>IFERROR(ROUND(AVERAGE(H3:H17),2),"")</f>
        <v>10.27</v>
      </c>
      <c r="E20" s="15">
        <f>IFERROR(ROUND(IF(B20&lt;2,"n/a",(IF(C20&lt;=25%,"n/a",AVERAGE(I3:I17)))),2),"n/a")</f>
        <v>5.95</v>
      </c>
      <c r="F20" s="10">
        <f>IFERROR(ROUND(MEDIAN(H3:H17),2),"")</f>
        <v>5.87</v>
      </c>
      <c r="G20" s="11" t="str">
        <f>IFERROR(INDEX(G3:G17,MATCH(H20,H3:H17,0)),"")</f>
        <v>WC COMERCIO DE MATERIAL DE CONSTRUCAO LTDA</v>
      </c>
      <c r="H20" s="12">
        <f>F3</f>
        <v>2</v>
      </c>
    </row>
    <row r="22" spans="1:9" x14ac:dyDescent="0.25">
      <c r="G22" s="13" t="s">
        <v>20</v>
      </c>
      <c r="H22" s="14">
        <f>IF(C20&lt;=25%,D20,MIN(E20:F20))</f>
        <v>5.87</v>
      </c>
    </row>
    <row r="23" spans="1:9" x14ac:dyDescent="0.25">
      <c r="G23" s="13" t="s">
        <v>6</v>
      </c>
      <c r="H23" s="14">
        <f>ROUND(H22,2)*D3</f>
        <v>1080.08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13" sqref="G13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2" t="s">
        <v>8</v>
      </c>
      <c r="B1" s="32"/>
      <c r="C1" s="32"/>
      <c r="D1" s="32"/>
      <c r="E1" s="32"/>
      <c r="F1" s="32"/>
      <c r="G1" s="32"/>
      <c r="H1" s="32"/>
      <c r="I1" s="32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9</v>
      </c>
      <c r="F2" s="6" t="s">
        <v>10</v>
      </c>
      <c r="G2" s="6" t="s">
        <v>11</v>
      </c>
      <c r="H2" s="6" t="s">
        <v>12</v>
      </c>
      <c r="I2" s="6" t="s">
        <v>13</v>
      </c>
    </row>
    <row r="3" spans="1:9" x14ac:dyDescent="0.25">
      <c r="A3" s="37">
        <v>16</v>
      </c>
      <c r="B3" s="33" t="s">
        <v>64</v>
      </c>
      <c r="C3" s="35" t="s">
        <v>7</v>
      </c>
      <c r="D3" s="35">
        <f>10+69</f>
        <v>79</v>
      </c>
      <c r="E3" s="36">
        <f>IF(C20&lt;=25%,D20,MIN(E20:F20))</f>
        <v>7.93</v>
      </c>
      <c r="F3" s="36">
        <f>MIN(H3:H17)</f>
        <v>5.18</v>
      </c>
      <c r="G3" s="5" t="s">
        <v>125</v>
      </c>
      <c r="H3" s="16">
        <v>7.45</v>
      </c>
      <c r="I3" s="17">
        <f>IF(H3="","",(IF($C$20&lt;25%,"n/a",IF(H3&lt;=($D$20+$A$20),H3,"Descartado"))))</f>
        <v>7.45</v>
      </c>
    </row>
    <row r="4" spans="1:9" x14ac:dyDescent="0.25">
      <c r="A4" s="37"/>
      <c r="B4" s="34"/>
      <c r="C4" s="35"/>
      <c r="D4" s="35"/>
      <c r="E4" s="36"/>
      <c r="F4" s="36"/>
      <c r="G4" s="5" t="s">
        <v>105</v>
      </c>
      <c r="H4" s="16">
        <v>16.170000000000002</v>
      </c>
      <c r="I4" s="17" t="str">
        <f t="shared" ref="I4:I17" si="0">IF(H4="","",(IF($C$20&lt;25%,"n/a",IF(H4&lt;=($D$20+$A$20),H4,"Descartado"))))</f>
        <v>Descartado</v>
      </c>
    </row>
    <row r="5" spans="1:9" x14ac:dyDescent="0.25">
      <c r="A5" s="37"/>
      <c r="B5" s="34"/>
      <c r="C5" s="35"/>
      <c r="D5" s="35"/>
      <c r="E5" s="36"/>
      <c r="F5" s="36"/>
      <c r="G5" s="5" t="s">
        <v>118</v>
      </c>
      <c r="H5" s="16">
        <v>8.06</v>
      </c>
      <c r="I5" s="17">
        <f t="shared" si="0"/>
        <v>8.06</v>
      </c>
    </row>
    <row r="6" spans="1:9" x14ac:dyDescent="0.25">
      <c r="A6" s="37"/>
      <c r="B6" s="34"/>
      <c r="C6" s="35"/>
      <c r="D6" s="35"/>
      <c r="E6" s="36"/>
      <c r="F6" s="36"/>
      <c r="G6" s="5" t="s">
        <v>135</v>
      </c>
      <c r="H6" s="16">
        <v>5.18</v>
      </c>
      <c r="I6" s="17">
        <f t="shared" si="0"/>
        <v>5.18</v>
      </c>
    </row>
    <row r="7" spans="1:9" x14ac:dyDescent="0.25">
      <c r="A7" s="37"/>
      <c r="B7" s="34"/>
      <c r="C7" s="35"/>
      <c r="D7" s="35"/>
      <c r="E7" s="36"/>
      <c r="F7" s="36"/>
      <c r="G7" s="5" t="s">
        <v>136</v>
      </c>
      <c r="H7" s="16">
        <v>13.99</v>
      </c>
      <c r="I7" s="17">
        <f t="shared" si="0"/>
        <v>13.99</v>
      </c>
    </row>
    <row r="8" spans="1:9" x14ac:dyDescent="0.25">
      <c r="A8" s="37"/>
      <c r="B8" s="34"/>
      <c r="C8" s="35"/>
      <c r="D8" s="35"/>
      <c r="E8" s="36"/>
      <c r="F8" s="36"/>
      <c r="G8" s="5" t="s">
        <v>137</v>
      </c>
      <c r="H8" s="16">
        <v>7.8</v>
      </c>
      <c r="I8" s="17">
        <f t="shared" si="0"/>
        <v>7.8</v>
      </c>
    </row>
    <row r="9" spans="1:9" x14ac:dyDescent="0.25">
      <c r="A9" s="37"/>
      <c r="B9" s="34"/>
      <c r="C9" s="35"/>
      <c r="D9" s="35"/>
      <c r="E9" s="36"/>
      <c r="F9" s="36"/>
      <c r="G9" s="5" t="s">
        <v>138</v>
      </c>
      <c r="H9" s="16">
        <v>6.96</v>
      </c>
      <c r="I9" s="17">
        <f t="shared" si="0"/>
        <v>6.96</v>
      </c>
    </row>
    <row r="10" spans="1:9" x14ac:dyDescent="0.25">
      <c r="A10" s="37"/>
      <c r="B10" s="34"/>
      <c r="C10" s="35"/>
      <c r="D10" s="35"/>
      <c r="E10" s="36"/>
      <c r="F10" s="36"/>
      <c r="G10" s="5" t="s">
        <v>139</v>
      </c>
      <c r="H10" s="16">
        <v>6.23</v>
      </c>
      <c r="I10" s="17">
        <f t="shared" si="0"/>
        <v>6.23</v>
      </c>
    </row>
    <row r="11" spans="1:9" x14ac:dyDescent="0.25">
      <c r="A11" s="37"/>
      <c r="B11" s="34"/>
      <c r="C11" s="35"/>
      <c r="D11" s="35"/>
      <c r="E11" s="36"/>
      <c r="F11" s="36"/>
      <c r="G11" s="5" t="s">
        <v>140</v>
      </c>
      <c r="H11" s="16">
        <v>19.100000000000001</v>
      </c>
      <c r="I11" s="17" t="str">
        <f t="shared" si="0"/>
        <v>Descartado</v>
      </c>
    </row>
    <row r="12" spans="1:9" x14ac:dyDescent="0.25">
      <c r="A12" s="37"/>
      <c r="B12" s="34"/>
      <c r="C12" s="35"/>
      <c r="D12" s="35"/>
      <c r="E12" s="36"/>
      <c r="F12" s="36"/>
      <c r="G12" s="5" t="s">
        <v>141</v>
      </c>
      <c r="H12" s="16">
        <v>14.54</v>
      </c>
      <c r="I12" s="17">
        <f t="shared" si="0"/>
        <v>14.54</v>
      </c>
    </row>
    <row r="13" spans="1:9" x14ac:dyDescent="0.25">
      <c r="A13" s="37"/>
      <c r="B13" s="34"/>
      <c r="C13" s="35"/>
      <c r="D13" s="35"/>
      <c r="E13" s="36"/>
      <c r="F13" s="36"/>
      <c r="G13" s="5"/>
      <c r="H13" s="16"/>
      <c r="I13" s="17" t="str">
        <f t="shared" si="0"/>
        <v/>
      </c>
    </row>
    <row r="14" spans="1:9" x14ac:dyDescent="0.25">
      <c r="A14" s="37"/>
      <c r="B14" s="34"/>
      <c r="C14" s="35"/>
      <c r="D14" s="35"/>
      <c r="E14" s="36"/>
      <c r="F14" s="36"/>
      <c r="G14" s="5"/>
      <c r="H14" s="16"/>
      <c r="I14" s="17" t="str">
        <f t="shared" si="0"/>
        <v/>
      </c>
    </row>
    <row r="15" spans="1:9" x14ac:dyDescent="0.25">
      <c r="A15" s="37"/>
      <c r="B15" s="34"/>
      <c r="C15" s="35"/>
      <c r="D15" s="35"/>
      <c r="E15" s="36"/>
      <c r="F15" s="36"/>
      <c r="G15" s="5"/>
      <c r="H15" s="16"/>
      <c r="I15" s="17" t="str">
        <f t="shared" si="0"/>
        <v/>
      </c>
    </row>
    <row r="16" spans="1:9" x14ac:dyDescent="0.25">
      <c r="A16" s="37"/>
      <c r="B16" s="34"/>
      <c r="C16" s="35"/>
      <c r="D16" s="35"/>
      <c r="E16" s="36"/>
      <c r="F16" s="36"/>
      <c r="G16" s="5"/>
      <c r="H16" s="16"/>
      <c r="I16" s="17" t="str">
        <f t="shared" si="0"/>
        <v/>
      </c>
    </row>
    <row r="17" spans="1:9" x14ac:dyDescent="0.25">
      <c r="A17" s="37"/>
      <c r="B17" s="34"/>
      <c r="C17" s="35"/>
      <c r="D17" s="35"/>
      <c r="E17" s="36"/>
      <c r="F17" s="36"/>
      <c r="G17" s="5"/>
      <c r="H17" s="16"/>
      <c r="I17" s="17" t="str">
        <f t="shared" si="0"/>
        <v/>
      </c>
    </row>
    <row r="19" spans="1:9" s="4" customFormat="1" ht="24" x14ac:dyDescent="0.25">
      <c r="A19" s="6" t="s">
        <v>14</v>
      </c>
      <c r="B19" s="6" t="s">
        <v>15</v>
      </c>
      <c r="C19" s="6" t="s">
        <v>25</v>
      </c>
      <c r="D19" s="6" t="s">
        <v>16</v>
      </c>
      <c r="E19" s="6" t="s">
        <v>17</v>
      </c>
      <c r="F19" s="6" t="s">
        <v>18</v>
      </c>
      <c r="G19" s="31" t="s">
        <v>19</v>
      </c>
      <c r="H19" s="31"/>
    </row>
    <row r="20" spans="1:9" x14ac:dyDescent="0.25">
      <c r="A20" s="8">
        <f>IF(B20&lt;2,"n/a",(_xlfn.STDEV.S(H3:H17)))</f>
        <v>4.9012533544435852</v>
      </c>
      <c r="B20" s="8">
        <f>COUNT(H3:H17)</f>
        <v>10</v>
      </c>
      <c r="C20" s="9">
        <f>IF(B20&lt;2,"n/a",(A20/D20))</f>
        <v>0.46457377767237773</v>
      </c>
      <c r="D20" s="10">
        <f>IFERROR(ROUND(AVERAGE(H3:H17),2),"")</f>
        <v>10.55</v>
      </c>
      <c r="E20" s="15">
        <f>IFERROR(ROUND(IF(B20&lt;2,"n/a",(IF(C20&lt;=25%,"n/a",AVERAGE(I3:I17)))),2),"n/a")</f>
        <v>8.7799999999999994</v>
      </c>
      <c r="F20" s="10">
        <f>IFERROR(ROUND(MEDIAN(H3:H17),2),"")</f>
        <v>7.93</v>
      </c>
      <c r="G20" s="11" t="str">
        <f>IFERROR(INDEX(G3:G17,MATCH(H20,H3:H17,0)),"")</f>
        <v>DELVALLE MATERIAIS ELETRICOS LTDA</v>
      </c>
      <c r="H20" s="12">
        <f>F3</f>
        <v>5.18</v>
      </c>
    </row>
    <row r="22" spans="1:9" x14ac:dyDescent="0.25">
      <c r="G22" s="13" t="s">
        <v>20</v>
      </c>
      <c r="H22" s="14">
        <f>IF(C20&lt;=25%,D20,MIN(E20:F20))</f>
        <v>7.93</v>
      </c>
    </row>
    <row r="23" spans="1:9" x14ac:dyDescent="0.25">
      <c r="G23" s="13" t="s">
        <v>6</v>
      </c>
      <c r="H23" s="14">
        <f>ROUND(H22,2)*D3</f>
        <v>626.47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10" sqref="G10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2" t="s">
        <v>8</v>
      </c>
      <c r="B1" s="32"/>
      <c r="C1" s="32"/>
      <c r="D1" s="32"/>
      <c r="E1" s="32"/>
      <c r="F1" s="32"/>
      <c r="G1" s="32"/>
      <c r="H1" s="32"/>
      <c r="I1" s="32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9</v>
      </c>
      <c r="F2" s="6" t="s">
        <v>10</v>
      </c>
      <c r="G2" s="6" t="s">
        <v>11</v>
      </c>
      <c r="H2" s="6" t="s">
        <v>12</v>
      </c>
      <c r="I2" s="6" t="s">
        <v>13</v>
      </c>
    </row>
    <row r="3" spans="1:9" x14ac:dyDescent="0.25">
      <c r="A3" s="37">
        <v>17</v>
      </c>
      <c r="B3" s="33" t="s">
        <v>65</v>
      </c>
      <c r="C3" s="35" t="s">
        <v>7</v>
      </c>
      <c r="D3" s="35">
        <f>20+69</f>
        <v>89</v>
      </c>
      <c r="E3" s="36">
        <f>IF(C20&lt;=25%,D20,MIN(E20:F20))</f>
        <v>15.42</v>
      </c>
      <c r="F3" s="36">
        <f>MIN(H3:H17)</f>
        <v>5.99</v>
      </c>
      <c r="G3" s="5" t="s">
        <v>125</v>
      </c>
      <c r="H3" s="16">
        <v>9.49</v>
      </c>
      <c r="I3" s="17">
        <f>IF(H3="","",(IF($C$20&lt;25%,"n/a",IF(H3&lt;=($D$20+$A$20),H3,"Descartado"))))</f>
        <v>9.49</v>
      </c>
    </row>
    <row r="4" spans="1:9" x14ac:dyDescent="0.25">
      <c r="A4" s="37"/>
      <c r="B4" s="34"/>
      <c r="C4" s="35"/>
      <c r="D4" s="35"/>
      <c r="E4" s="36"/>
      <c r="F4" s="36"/>
      <c r="G4" s="5" t="s">
        <v>105</v>
      </c>
      <c r="H4" s="16">
        <v>24.84</v>
      </c>
      <c r="I4" s="17">
        <f t="shared" ref="I4:I17" si="0">IF(H4="","",(IF($C$20&lt;25%,"n/a",IF(H4&lt;=($D$20+$A$20),H4,"Descartado"))))</f>
        <v>24.84</v>
      </c>
    </row>
    <row r="5" spans="1:9" x14ac:dyDescent="0.25">
      <c r="A5" s="37"/>
      <c r="B5" s="34"/>
      <c r="C5" s="35"/>
      <c r="D5" s="35"/>
      <c r="E5" s="36"/>
      <c r="F5" s="36"/>
      <c r="G5" s="5" t="s">
        <v>142</v>
      </c>
      <c r="H5" s="16">
        <v>53.27</v>
      </c>
      <c r="I5" s="17" t="str">
        <f t="shared" si="0"/>
        <v>Descartado</v>
      </c>
    </row>
    <row r="6" spans="1:9" x14ac:dyDescent="0.25">
      <c r="A6" s="37"/>
      <c r="B6" s="34"/>
      <c r="C6" s="35"/>
      <c r="D6" s="35"/>
      <c r="E6" s="36"/>
      <c r="F6" s="36"/>
      <c r="G6" s="5" t="s">
        <v>143</v>
      </c>
      <c r="H6" s="16">
        <v>5.99</v>
      </c>
      <c r="I6" s="17">
        <f t="shared" si="0"/>
        <v>5.99</v>
      </c>
    </row>
    <row r="7" spans="1:9" x14ac:dyDescent="0.25">
      <c r="A7" s="37"/>
      <c r="B7" s="34"/>
      <c r="C7" s="35"/>
      <c r="D7" s="35"/>
      <c r="E7" s="36"/>
      <c r="F7" s="36"/>
      <c r="G7" s="5" t="s">
        <v>139</v>
      </c>
      <c r="H7" s="16">
        <v>8.49</v>
      </c>
      <c r="I7" s="17">
        <f t="shared" si="0"/>
        <v>8.49</v>
      </c>
    </row>
    <row r="8" spans="1:9" x14ac:dyDescent="0.25">
      <c r="A8" s="37"/>
      <c r="B8" s="34"/>
      <c r="C8" s="35"/>
      <c r="D8" s="35"/>
      <c r="E8" s="36"/>
      <c r="F8" s="36"/>
      <c r="G8" s="5" t="s">
        <v>144</v>
      </c>
      <c r="H8" s="16">
        <v>23.83</v>
      </c>
      <c r="I8" s="17">
        <f t="shared" si="0"/>
        <v>23.83</v>
      </c>
    </row>
    <row r="9" spans="1:9" x14ac:dyDescent="0.25">
      <c r="A9" s="37"/>
      <c r="B9" s="34"/>
      <c r="C9" s="35"/>
      <c r="D9" s="35"/>
      <c r="E9" s="36"/>
      <c r="F9" s="36"/>
      <c r="G9" s="5" t="s">
        <v>141</v>
      </c>
      <c r="H9" s="16">
        <v>19.88</v>
      </c>
      <c r="I9" s="17">
        <f t="shared" si="0"/>
        <v>19.88</v>
      </c>
    </row>
    <row r="10" spans="1:9" x14ac:dyDescent="0.25">
      <c r="A10" s="37"/>
      <c r="B10" s="34"/>
      <c r="C10" s="35"/>
      <c r="D10" s="35"/>
      <c r="E10" s="36"/>
      <c r="F10" s="36"/>
      <c r="G10" s="5"/>
      <c r="H10" s="16"/>
      <c r="I10" s="17" t="str">
        <f t="shared" si="0"/>
        <v/>
      </c>
    </row>
    <row r="11" spans="1:9" x14ac:dyDescent="0.25">
      <c r="A11" s="37"/>
      <c r="B11" s="34"/>
      <c r="C11" s="35"/>
      <c r="D11" s="35"/>
      <c r="E11" s="36"/>
      <c r="F11" s="36"/>
      <c r="G11" s="5"/>
      <c r="H11" s="16"/>
      <c r="I11" s="17" t="str">
        <f t="shared" si="0"/>
        <v/>
      </c>
    </row>
    <row r="12" spans="1:9" x14ac:dyDescent="0.25">
      <c r="A12" s="37"/>
      <c r="B12" s="34"/>
      <c r="C12" s="35"/>
      <c r="D12" s="35"/>
      <c r="E12" s="36"/>
      <c r="F12" s="36"/>
      <c r="G12" s="5"/>
      <c r="H12" s="16"/>
      <c r="I12" s="17" t="str">
        <f t="shared" si="0"/>
        <v/>
      </c>
    </row>
    <row r="13" spans="1:9" x14ac:dyDescent="0.25">
      <c r="A13" s="37"/>
      <c r="B13" s="34"/>
      <c r="C13" s="35"/>
      <c r="D13" s="35"/>
      <c r="E13" s="36"/>
      <c r="F13" s="36"/>
      <c r="G13" s="5"/>
      <c r="H13" s="16"/>
      <c r="I13" s="17" t="str">
        <f t="shared" si="0"/>
        <v/>
      </c>
    </row>
    <row r="14" spans="1:9" x14ac:dyDescent="0.25">
      <c r="A14" s="37"/>
      <c r="B14" s="34"/>
      <c r="C14" s="35"/>
      <c r="D14" s="35"/>
      <c r="E14" s="36"/>
      <c r="F14" s="36"/>
      <c r="G14" s="5"/>
      <c r="H14" s="16"/>
      <c r="I14" s="17" t="str">
        <f t="shared" si="0"/>
        <v/>
      </c>
    </row>
    <row r="15" spans="1:9" x14ac:dyDescent="0.25">
      <c r="A15" s="37"/>
      <c r="B15" s="34"/>
      <c r="C15" s="35"/>
      <c r="D15" s="35"/>
      <c r="E15" s="36"/>
      <c r="F15" s="36"/>
      <c r="G15" s="5"/>
      <c r="H15" s="16"/>
      <c r="I15" s="17" t="str">
        <f t="shared" si="0"/>
        <v/>
      </c>
    </row>
    <row r="16" spans="1:9" x14ac:dyDescent="0.25">
      <c r="A16" s="37"/>
      <c r="B16" s="34"/>
      <c r="C16" s="35"/>
      <c r="D16" s="35"/>
      <c r="E16" s="36"/>
      <c r="F16" s="36"/>
      <c r="G16" s="5"/>
      <c r="H16" s="16"/>
      <c r="I16" s="17" t="str">
        <f t="shared" si="0"/>
        <v/>
      </c>
    </row>
    <row r="17" spans="1:9" x14ac:dyDescent="0.25">
      <c r="A17" s="37"/>
      <c r="B17" s="34"/>
      <c r="C17" s="35"/>
      <c r="D17" s="35"/>
      <c r="E17" s="36"/>
      <c r="F17" s="36"/>
      <c r="G17" s="5"/>
      <c r="H17" s="16"/>
      <c r="I17" s="17" t="str">
        <f t="shared" si="0"/>
        <v/>
      </c>
    </row>
    <row r="19" spans="1:9" s="4" customFormat="1" ht="24" x14ac:dyDescent="0.25">
      <c r="A19" s="6" t="s">
        <v>14</v>
      </c>
      <c r="B19" s="6" t="s">
        <v>15</v>
      </c>
      <c r="C19" s="6" t="s">
        <v>25</v>
      </c>
      <c r="D19" s="6" t="s">
        <v>16</v>
      </c>
      <c r="E19" s="6" t="s">
        <v>17</v>
      </c>
      <c r="F19" s="6" t="s">
        <v>18</v>
      </c>
      <c r="G19" s="31" t="s">
        <v>19</v>
      </c>
      <c r="H19" s="31"/>
    </row>
    <row r="20" spans="1:9" x14ac:dyDescent="0.25">
      <c r="A20" s="8">
        <f>IF(B20&lt;2,"n/a",(_xlfn.STDEV.S(H3:H17)))</f>
        <v>16.224636322874048</v>
      </c>
      <c r="B20" s="8">
        <f>COUNT(H3:H17)</f>
        <v>7</v>
      </c>
      <c r="C20" s="9">
        <f>IF(B20&lt;2,"n/a",(A20/D20))</f>
        <v>0.77890716864493759</v>
      </c>
      <c r="D20" s="10">
        <f>IFERROR(ROUND(AVERAGE(H3:H17),2),"")</f>
        <v>20.83</v>
      </c>
      <c r="E20" s="15">
        <f>IFERROR(ROUND(IF(B20&lt;2,"n/a",(IF(C20&lt;=25%,"n/a",AVERAGE(I3:I17)))),2),"n/a")</f>
        <v>15.42</v>
      </c>
      <c r="F20" s="10">
        <f>IFERROR(ROUND(MEDIAN(H3:H17),2),"")</f>
        <v>19.88</v>
      </c>
      <c r="G20" s="11" t="str">
        <f>IFERROR(INDEX(G3:G17,MATCH(H20,H3:H17,0)),"")</f>
        <v>CJC COMERCIO VAREJISTA E ATACADISTA DE FERRAMENTAS LTDA</v>
      </c>
      <c r="H20" s="12">
        <f>F3</f>
        <v>5.99</v>
      </c>
    </row>
    <row r="22" spans="1:9" x14ac:dyDescent="0.25">
      <c r="G22" s="13" t="s">
        <v>20</v>
      </c>
      <c r="H22" s="14">
        <f>IF(C20&lt;=25%,D20,MIN(E20:F20))</f>
        <v>15.42</v>
      </c>
    </row>
    <row r="23" spans="1:9" x14ac:dyDescent="0.25">
      <c r="G23" s="13" t="s">
        <v>6</v>
      </c>
      <c r="H23" s="14">
        <f>ROUND(H22,2)*D3</f>
        <v>1372.3799999999999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7" sqref="G7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2" t="s">
        <v>8</v>
      </c>
      <c r="B1" s="32"/>
      <c r="C1" s="32"/>
      <c r="D1" s="32"/>
      <c r="E1" s="32"/>
      <c r="F1" s="32"/>
      <c r="G1" s="32"/>
      <c r="H1" s="32"/>
      <c r="I1" s="32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9</v>
      </c>
      <c r="F2" s="6" t="s">
        <v>10</v>
      </c>
      <c r="G2" s="6" t="s">
        <v>11</v>
      </c>
      <c r="H2" s="6" t="s">
        <v>12</v>
      </c>
      <c r="I2" s="6" t="s">
        <v>13</v>
      </c>
    </row>
    <row r="3" spans="1:9" x14ac:dyDescent="0.25">
      <c r="A3" s="37">
        <v>18</v>
      </c>
      <c r="B3" s="33" t="s">
        <v>66</v>
      </c>
      <c r="C3" s="35" t="s">
        <v>7</v>
      </c>
      <c r="D3" s="35">
        <v>30</v>
      </c>
      <c r="E3" s="36">
        <f>IF(C20&lt;=25%,D20,MIN(E20:F20))</f>
        <v>9.2799999999999994</v>
      </c>
      <c r="F3" s="36">
        <f>MIN(H3:H17)</f>
        <v>8.56</v>
      </c>
      <c r="G3" s="5" t="s">
        <v>145</v>
      </c>
      <c r="H3" s="16">
        <v>10</v>
      </c>
      <c r="I3" s="17">
        <f>IF(H3="","",(IF($C$20&lt;25%,"n/a",IF(H3&lt;=($D$20+$A$20),H3,"Descartado"))))</f>
        <v>10</v>
      </c>
    </row>
    <row r="4" spans="1:9" x14ac:dyDescent="0.25">
      <c r="A4" s="37"/>
      <c r="B4" s="34"/>
      <c r="C4" s="35"/>
      <c r="D4" s="35"/>
      <c r="E4" s="36"/>
      <c r="F4" s="36"/>
      <c r="G4" s="5" t="s">
        <v>146</v>
      </c>
      <c r="H4" s="16">
        <v>8.56</v>
      </c>
      <c r="I4" s="17">
        <f t="shared" ref="I4:I17" si="0">IF(H4="","",(IF($C$20&lt;25%,"n/a",IF(H4&lt;=($D$20+$A$20),H4,"Descartado"))))</f>
        <v>8.56</v>
      </c>
    </row>
    <row r="5" spans="1:9" x14ac:dyDescent="0.25">
      <c r="A5" s="37"/>
      <c r="B5" s="34"/>
      <c r="C5" s="35"/>
      <c r="D5" s="35"/>
      <c r="E5" s="36"/>
      <c r="F5" s="36"/>
      <c r="G5" s="5" t="s">
        <v>147</v>
      </c>
      <c r="H5" s="16">
        <v>9.2799999999999994</v>
      </c>
      <c r="I5" s="17">
        <f t="shared" si="0"/>
        <v>9.2799999999999994</v>
      </c>
    </row>
    <row r="6" spans="1:9" x14ac:dyDescent="0.25">
      <c r="A6" s="37"/>
      <c r="B6" s="34"/>
      <c r="C6" s="35"/>
      <c r="D6" s="35"/>
      <c r="E6" s="36"/>
      <c r="F6" s="36"/>
      <c r="G6" s="5" t="s">
        <v>148</v>
      </c>
      <c r="H6" s="16">
        <v>24.75</v>
      </c>
      <c r="I6" s="17" t="str">
        <f t="shared" si="0"/>
        <v>Descartado</v>
      </c>
    </row>
    <row r="7" spans="1:9" x14ac:dyDescent="0.25">
      <c r="A7" s="37"/>
      <c r="B7" s="34"/>
      <c r="C7" s="35"/>
      <c r="D7" s="35"/>
      <c r="E7" s="36"/>
      <c r="F7" s="36"/>
      <c r="G7" s="5"/>
      <c r="H7" s="16"/>
      <c r="I7" s="17" t="str">
        <f t="shared" si="0"/>
        <v/>
      </c>
    </row>
    <row r="8" spans="1:9" x14ac:dyDescent="0.25">
      <c r="A8" s="37"/>
      <c r="B8" s="34"/>
      <c r="C8" s="35"/>
      <c r="D8" s="35"/>
      <c r="E8" s="36"/>
      <c r="F8" s="36"/>
      <c r="G8" s="5"/>
      <c r="H8" s="16"/>
      <c r="I8" s="17" t="str">
        <f t="shared" si="0"/>
        <v/>
      </c>
    </row>
    <row r="9" spans="1:9" x14ac:dyDescent="0.25">
      <c r="A9" s="37"/>
      <c r="B9" s="34"/>
      <c r="C9" s="35"/>
      <c r="D9" s="35"/>
      <c r="E9" s="36"/>
      <c r="F9" s="36"/>
      <c r="G9" s="5"/>
      <c r="H9" s="16"/>
      <c r="I9" s="17" t="str">
        <f t="shared" si="0"/>
        <v/>
      </c>
    </row>
    <row r="10" spans="1:9" x14ac:dyDescent="0.25">
      <c r="A10" s="37"/>
      <c r="B10" s="34"/>
      <c r="C10" s="35"/>
      <c r="D10" s="35"/>
      <c r="E10" s="36"/>
      <c r="F10" s="36"/>
      <c r="G10" s="5"/>
      <c r="H10" s="16"/>
      <c r="I10" s="17" t="str">
        <f t="shared" si="0"/>
        <v/>
      </c>
    </row>
    <row r="11" spans="1:9" x14ac:dyDescent="0.25">
      <c r="A11" s="37"/>
      <c r="B11" s="34"/>
      <c r="C11" s="35"/>
      <c r="D11" s="35"/>
      <c r="E11" s="36"/>
      <c r="F11" s="36"/>
      <c r="G11" s="5"/>
      <c r="H11" s="16"/>
      <c r="I11" s="17" t="str">
        <f t="shared" si="0"/>
        <v/>
      </c>
    </row>
    <row r="12" spans="1:9" x14ac:dyDescent="0.25">
      <c r="A12" s="37"/>
      <c r="B12" s="34"/>
      <c r="C12" s="35"/>
      <c r="D12" s="35"/>
      <c r="E12" s="36"/>
      <c r="F12" s="36"/>
      <c r="G12" s="5"/>
      <c r="H12" s="16"/>
      <c r="I12" s="17" t="str">
        <f t="shared" si="0"/>
        <v/>
      </c>
    </row>
    <row r="13" spans="1:9" x14ac:dyDescent="0.25">
      <c r="A13" s="37"/>
      <c r="B13" s="34"/>
      <c r="C13" s="35"/>
      <c r="D13" s="35"/>
      <c r="E13" s="36"/>
      <c r="F13" s="36"/>
      <c r="G13" s="5"/>
      <c r="H13" s="16"/>
      <c r="I13" s="17" t="str">
        <f t="shared" si="0"/>
        <v/>
      </c>
    </row>
    <row r="14" spans="1:9" x14ac:dyDescent="0.25">
      <c r="A14" s="37"/>
      <c r="B14" s="34"/>
      <c r="C14" s="35"/>
      <c r="D14" s="35"/>
      <c r="E14" s="36"/>
      <c r="F14" s="36"/>
      <c r="G14" s="5"/>
      <c r="H14" s="16"/>
      <c r="I14" s="17" t="str">
        <f t="shared" si="0"/>
        <v/>
      </c>
    </row>
    <row r="15" spans="1:9" x14ac:dyDescent="0.25">
      <c r="A15" s="37"/>
      <c r="B15" s="34"/>
      <c r="C15" s="35"/>
      <c r="D15" s="35"/>
      <c r="E15" s="36"/>
      <c r="F15" s="36"/>
      <c r="G15" s="5"/>
      <c r="H15" s="16"/>
      <c r="I15" s="17" t="str">
        <f t="shared" si="0"/>
        <v/>
      </c>
    </row>
    <row r="16" spans="1:9" x14ac:dyDescent="0.25">
      <c r="A16" s="37"/>
      <c r="B16" s="34"/>
      <c r="C16" s="35"/>
      <c r="D16" s="35"/>
      <c r="E16" s="36"/>
      <c r="F16" s="36"/>
      <c r="G16" s="5"/>
      <c r="H16" s="16"/>
      <c r="I16" s="17" t="str">
        <f t="shared" si="0"/>
        <v/>
      </c>
    </row>
    <row r="17" spans="1:9" x14ac:dyDescent="0.25">
      <c r="A17" s="37"/>
      <c r="B17" s="34"/>
      <c r="C17" s="35"/>
      <c r="D17" s="35"/>
      <c r="E17" s="36"/>
      <c r="F17" s="36"/>
      <c r="G17" s="5"/>
      <c r="H17" s="16"/>
      <c r="I17" s="17" t="str">
        <f t="shared" si="0"/>
        <v/>
      </c>
    </row>
    <row r="19" spans="1:9" s="4" customFormat="1" ht="24" x14ac:dyDescent="0.25">
      <c r="A19" s="6" t="s">
        <v>14</v>
      </c>
      <c r="B19" s="6" t="s">
        <v>15</v>
      </c>
      <c r="C19" s="6" t="s">
        <v>25</v>
      </c>
      <c r="D19" s="6" t="s">
        <v>16</v>
      </c>
      <c r="E19" s="6" t="s">
        <v>17</v>
      </c>
      <c r="F19" s="6" t="s">
        <v>18</v>
      </c>
      <c r="G19" s="31" t="s">
        <v>19</v>
      </c>
      <c r="H19" s="31"/>
    </row>
    <row r="20" spans="1:9" x14ac:dyDescent="0.25">
      <c r="A20" s="8">
        <f>IF(B20&lt;2,"n/a",(_xlfn.STDEV.S(H3:H17)))</f>
        <v>7.7573078448647372</v>
      </c>
      <c r="B20" s="8">
        <f>COUNT(H3:H17)</f>
        <v>4</v>
      </c>
      <c r="C20" s="9">
        <f>IF(B20&lt;2,"n/a",(A20/D20))</f>
        <v>0.58990934181480892</v>
      </c>
      <c r="D20" s="10">
        <f>IFERROR(ROUND(AVERAGE(H3:H17),2),"")</f>
        <v>13.15</v>
      </c>
      <c r="E20" s="15">
        <f>IFERROR(ROUND(IF(B20&lt;2,"n/a",(IF(C20&lt;=25%,"n/a",AVERAGE(I3:I17)))),2),"n/a")</f>
        <v>9.2799999999999994</v>
      </c>
      <c r="F20" s="10">
        <f>IFERROR(ROUND(MEDIAN(H3:H17),2),"")</f>
        <v>9.64</v>
      </c>
      <c r="G20" s="11" t="str">
        <f>IFERROR(INDEX(G3:G17,MATCH(H20,H3:H17,0)),"")</f>
        <v>VOGLIO IMPORTADORA, EXPORTADORA E REPRESENTACOES LTDA.</v>
      </c>
      <c r="H20" s="12">
        <f>F3</f>
        <v>8.56</v>
      </c>
    </row>
    <row r="22" spans="1:9" x14ac:dyDescent="0.25">
      <c r="G22" s="13" t="s">
        <v>20</v>
      </c>
      <c r="H22" s="14">
        <f>IF(C20&lt;=25%,D20,MIN(E20:F20))</f>
        <v>9.2799999999999994</v>
      </c>
    </row>
    <row r="23" spans="1:9" x14ac:dyDescent="0.25">
      <c r="G23" s="13" t="s">
        <v>6</v>
      </c>
      <c r="H23" s="14">
        <f>ROUND(H22,2)*D3</f>
        <v>278.39999999999998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9" sqref="G9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2" t="s">
        <v>8</v>
      </c>
      <c r="B1" s="32"/>
      <c r="C1" s="32"/>
      <c r="D1" s="32"/>
      <c r="E1" s="32"/>
      <c r="F1" s="32"/>
      <c r="G1" s="32"/>
      <c r="H1" s="32"/>
      <c r="I1" s="32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9</v>
      </c>
      <c r="F2" s="6" t="s">
        <v>10</v>
      </c>
      <c r="G2" s="6" t="s">
        <v>11</v>
      </c>
      <c r="H2" s="6" t="s">
        <v>12</v>
      </c>
      <c r="I2" s="6" t="s">
        <v>13</v>
      </c>
    </row>
    <row r="3" spans="1:9" x14ac:dyDescent="0.25">
      <c r="A3" s="37">
        <v>19</v>
      </c>
      <c r="B3" s="33" t="s">
        <v>67</v>
      </c>
      <c r="C3" s="35" t="s">
        <v>7</v>
      </c>
      <c r="D3" s="35">
        <v>180</v>
      </c>
      <c r="E3" s="36">
        <f>IF(C20&lt;=25%,D20,MIN(E20:F20))</f>
        <v>5.13</v>
      </c>
      <c r="F3" s="36">
        <f>MIN(H3:H17)</f>
        <v>2.7</v>
      </c>
      <c r="G3" s="5" t="s">
        <v>149</v>
      </c>
      <c r="H3" s="16">
        <v>2.7</v>
      </c>
      <c r="I3" s="17">
        <f>IF(H3="","",(IF($C$20&lt;25%,"n/a",IF(H3&lt;=($D$20+$A$20),H3,"Descartado"))))</f>
        <v>2.7</v>
      </c>
    </row>
    <row r="4" spans="1:9" x14ac:dyDescent="0.25">
      <c r="A4" s="37"/>
      <c r="B4" s="34"/>
      <c r="C4" s="35"/>
      <c r="D4" s="35"/>
      <c r="E4" s="36"/>
      <c r="F4" s="36"/>
      <c r="G4" s="5" t="s">
        <v>150</v>
      </c>
      <c r="H4" s="16">
        <v>4.2</v>
      </c>
      <c r="I4" s="17">
        <f t="shared" ref="I4:I17" si="0">IF(H4="","",(IF($C$20&lt;25%,"n/a",IF(H4&lt;=($D$20+$A$20),H4,"Descartado"))))</f>
        <v>4.2</v>
      </c>
    </row>
    <row r="5" spans="1:9" x14ac:dyDescent="0.25">
      <c r="A5" s="37"/>
      <c r="B5" s="34"/>
      <c r="C5" s="35"/>
      <c r="D5" s="35"/>
      <c r="E5" s="36"/>
      <c r="F5" s="36"/>
      <c r="G5" s="5" t="s">
        <v>151</v>
      </c>
      <c r="H5" s="16">
        <v>8.4700000000000006</v>
      </c>
      <c r="I5" s="17" t="str">
        <f t="shared" si="0"/>
        <v>Descartado</v>
      </c>
    </row>
    <row r="6" spans="1:9" x14ac:dyDescent="0.25">
      <c r="A6" s="37"/>
      <c r="B6" s="34"/>
      <c r="C6" s="35"/>
      <c r="D6" s="35"/>
      <c r="E6" s="36"/>
      <c r="F6" s="36"/>
      <c r="G6" s="5" t="s">
        <v>119</v>
      </c>
      <c r="H6" s="16">
        <v>7.86</v>
      </c>
      <c r="I6" s="17">
        <f t="shared" si="0"/>
        <v>7.86</v>
      </c>
    </row>
    <row r="7" spans="1:9" x14ac:dyDescent="0.25">
      <c r="A7" s="37"/>
      <c r="B7" s="34"/>
      <c r="C7" s="35"/>
      <c r="D7" s="35"/>
      <c r="E7" s="36"/>
      <c r="F7" s="36"/>
      <c r="G7" s="5" t="s">
        <v>104</v>
      </c>
      <c r="H7" s="16">
        <v>3.9</v>
      </c>
      <c r="I7" s="17">
        <f t="shared" si="0"/>
        <v>3.9</v>
      </c>
    </row>
    <row r="8" spans="1:9" x14ac:dyDescent="0.25">
      <c r="A8" s="37"/>
      <c r="B8" s="34"/>
      <c r="C8" s="35"/>
      <c r="D8" s="35"/>
      <c r="E8" s="36"/>
      <c r="F8" s="36"/>
      <c r="G8" s="5" t="s">
        <v>152</v>
      </c>
      <c r="H8" s="16">
        <v>7</v>
      </c>
      <c r="I8" s="17">
        <f t="shared" si="0"/>
        <v>7</v>
      </c>
    </row>
    <row r="9" spans="1:9" x14ac:dyDescent="0.25">
      <c r="A9" s="37"/>
      <c r="B9" s="34"/>
      <c r="C9" s="35"/>
      <c r="D9" s="35"/>
      <c r="E9" s="36"/>
      <c r="F9" s="36"/>
      <c r="G9" s="5"/>
      <c r="H9" s="16"/>
      <c r="I9" s="17" t="str">
        <f t="shared" si="0"/>
        <v/>
      </c>
    </row>
    <row r="10" spans="1:9" x14ac:dyDescent="0.25">
      <c r="A10" s="37"/>
      <c r="B10" s="34"/>
      <c r="C10" s="35"/>
      <c r="D10" s="35"/>
      <c r="E10" s="36"/>
      <c r="F10" s="36"/>
      <c r="G10" s="5"/>
      <c r="H10" s="16"/>
      <c r="I10" s="17" t="str">
        <f t="shared" si="0"/>
        <v/>
      </c>
    </row>
    <row r="11" spans="1:9" x14ac:dyDescent="0.25">
      <c r="A11" s="37"/>
      <c r="B11" s="34"/>
      <c r="C11" s="35"/>
      <c r="D11" s="35"/>
      <c r="E11" s="36"/>
      <c r="F11" s="36"/>
      <c r="G11" s="5"/>
      <c r="H11" s="16"/>
      <c r="I11" s="17" t="str">
        <f t="shared" si="0"/>
        <v/>
      </c>
    </row>
    <row r="12" spans="1:9" x14ac:dyDescent="0.25">
      <c r="A12" s="37"/>
      <c r="B12" s="34"/>
      <c r="C12" s="35"/>
      <c r="D12" s="35"/>
      <c r="E12" s="36"/>
      <c r="F12" s="36"/>
      <c r="G12" s="5"/>
      <c r="H12" s="16"/>
      <c r="I12" s="17" t="str">
        <f t="shared" si="0"/>
        <v/>
      </c>
    </row>
    <row r="13" spans="1:9" x14ac:dyDescent="0.25">
      <c r="A13" s="37"/>
      <c r="B13" s="34"/>
      <c r="C13" s="35"/>
      <c r="D13" s="35"/>
      <c r="E13" s="36"/>
      <c r="F13" s="36"/>
      <c r="G13" s="5"/>
      <c r="H13" s="16"/>
      <c r="I13" s="17" t="str">
        <f t="shared" si="0"/>
        <v/>
      </c>
    </row>
    <row r="14" spans="1:9" x14ac:dyDescent="0.25">
      <c r="A14" s="37"/>
      <c r="B14" s="34"/>
      <c r="C14" s="35"/>
      <c r="D14" s="35"/>
      <c r="E14" s="36"/>
      <c r="F14" s="36"/>
      <c r="G14" s="5"/>
      <c r="H14" s="16"/>
      <c r="I14" s="17" t="str">
        <f t="shared" si="0"/>
        <v/>
      </c>
    </row>
    <row r="15" spans="1:9" x14ac:dyDescent="0.25">
      <c r="A15" s="37"/>
      <c r="B15" s="34"/>
      <c r="C15" s="35"/>
      <c r="D15" s="35"/>
      <c r="E15" s="36"/>
      <c r="F15" s="36"/>
      <c r="G15" s="5"/>
      <c r="H15" s="16"/>
      <c r="I15" s="17" t="str">
        <f t="shared" si="0"/>
        <v/>
      </c>
    </row>
    <row r="16" spans="1:9" x14ac:dyDescent="0.25">
      <c r="A16" s="37"/>
      <c r="B16" s="34"/>
      <c r="C16" s="35"/>
      <c r="D16" s="35"/>
      <c r="E16" s="36"/>
      <c r="F16" s="36"/>
      <c r="G16" s="5"/>
      <c r="H16" s="16"/>
      <c r="I16" s="17" t="str">
        <f t="shared" si="0"/>
        <v/>
      </c>
    </row>
    <row r="17" spans="1:9" x14ac:dyDescent="0.25">
      <c r="A17" s="37"/>
      <c r="B17" s="34"/>
      <c r="C17" s="35"/>
      <c r="D17" s="35"/>
      <c r="E17" s="36"/>
      <c r="F17" s="36"/>
      <c r="G17" s="5"/>
      <c r="H17" s="16"/>
      <c r="I17" s="17" t="str">
        <f t="shared" si="0"/>
        <v/>
      </c>
    </row>
    <row r="19" spans="1:9" s="4" customFormat="1" ht="24" x14ac:dyDescent="0.25">
      <c r="A19" s="6" t="s">
        <v>14</v>
      </c>
      <c r="B19" s="6" t="s">
        <v>15</v>
      </c>
      <c r="C19" s="6" t="s">
        <v>25</v>
      </c>
      <c r="D19" s="6" t="s">
        <v>16</v>
      </c>
      <c r="E19" s="6" t="s">
        <v>17</v>
      </c>
      <c r="F19" s="6" t="s">
        <v>18</v>
      </c>
      <c r="G19" s="31" t="s">
        <v>19</v>
      </c>
      <c r="H19" s="31"/>
    </row>
    <row r="20" spans="1:9" x14ac:dyDescent="0.25">
      <c r="A20" s="8">
        <f>IF(B20&lt;2,"n/a",(_xlfn.STDEV.S(H3:H17)))</f>
        <v>2.3882078357351322</v>
      </c>
      <c r="B20" s="8">
        <f>COUNT(H3:H17)</f>
        <v>6</v>
      </c>
      <c r="C20" s="9">
        <f>IF(B20&lt;2,"n/a",(A20/D20))</f>
        <v>0.41972018202726397</v>
      </c>
      <c r="D20" s="10">
        <f>IFERROR(ROUND(AVERAGE(H3:H17),2),"")</f>
        <v>5.69</v>
      </c>
      <c r="E20" s="15">
        <f>IFERROR(ROUND(IF(B20&lt;2,"n/a",(IF(C20&lt;=25%,"n/a",AVERAGE(I3:I17)))),2),"n/a")</f>
        <v>5.13</v>
      </c>
      <c r="F20" s="10">
        <f>IFERROR(ROUND(MEDIAN(H3:H17),2),"")</f>
        <v>5.6</v>
      </c>
      <c r="G20" s="11" t="str">
        <f>IFERROR(INDEX(G3:G17,MATCH(H20,H3:H17,0)),"")</f>
        <v>RLUX ILUMINACAO LTDA</v>
      </c>
      <c r="H20" s="12">
        <f>F3</f>
        <v>2.7</v>
      </c>
    </row>
    <row r="22" spans="1:9" x14ac:dyDescent="0.25">
      <c r="G22" s="13" t="s">
        <v>20</v>
      </c>
      <c r="H22" s="14">
        <f>IF(C20&lt;=25%,D20,MIN(E20:F20))</f>
        <v>5.13</v>
      </c>
    </row>
    <row r="23" spans="1:9" x14ac:dyDescent="0.25">
      <c r="G23" s="13" t="s">
        <v>6</v>
      </c>
      <c r="H23" s="14">
        <f>ROUND(H22,2)*D3</f>
        <v>923.4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7" sqref="G7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2" t="s">
        <v>8</v>
      </c>
      <c r="B1" s="32"/>
      <c r="C1" s="32"/>
      <c r="D1" s="32"/>
      <c r="E1" s="32"/>
      <c r="F1" s="32"/>
      <c r="G1" s="32"/>
      <c r="H1" s="32"/>
      <c r="I1" s="32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9</v>
      </c>
      <c r="F2" s="6" t="s">
        <v>10</v>
      </c>
      <c r="G2" s="6" t="s">
        <v>11</v>
      </c>
      <c r="H2" s="6" t="s">
        <v>12</v>
      </c>
      <c r="I2" s="6" t="s">
        <v>13</v>
      </c>
    </row>
    <row r="3" spans="1:9" x14ac:dyDescent="0.25">
      <c r="A3" s="37">
        <v>2</v>
      </c>
      <c r="B3" s="33" t="s">
        <v>50</v>
      </c>
      <c r="C3" s="35" t="s">
        <v>49</v>
      </c>
      <c r="D3" s="35">
        <f>1000+800</f>
        <v>1800</v>
      </c>
      <c r="E3" s="36">
        <f>IF(C20&lt;=25%,D20,MIN(E20:F20))</f>
        <v>2.1800000000000002</v>
      </c>
      <c r="F3" s="36">
        <f>MIN(H3:H17)</f>
        <v>1.33</v>
      </c>
      <c r="G3" s="5" t="s">
        <v>90</v>
      </c>
      <c r="H3" s="16">
        <v>2.2200000000000002</v>
      </c>
      <c r="I3" s="17">
        <f>IF(H3="","",(IF($C$20&lt;25%,"n/a",IF(H3&lt;=($D$20+$A$20),H3,"Descartado"))))</f>
        <v>2.2200000000000002</v>
      </c>
    </row>
    <row r="4" spans="1:9" x14ac:dyDescent="0.25">
      <c r="A4" s="37"/>
      <c r="B4" s="34"/>
      <c r="C4" s="35"/>
      <c r="D4" s="35"/>
      <c r="E4" s="36"/>
      <c r="F4" s="36"/>
      <c r="G4" s="5" t="s">
        <v>94</v>
      </c>
      <c r="H4" s="16">
        <v>3</v>
      </c>
      <c r="I4" s="17">
        <f t="shared" ref="I4:I17" si="0">IF(H4="","",(IF($C$20&lt;25%,"n/a",IF(H4&lt;=($D$20+$A$20),H4,"Descartado"))))</f>
        <v>3</v>
      </c>
    </row>
    <row r="5" spans="1:9" x14ac:dyDescent="0.25">
      <c r="A5" s="37"/>
      <c r="B5" s="34"/>
      <c r="C5" s="35"/>
      <c r="D5" s="35"/>
      <c r="E5" s="36"/>
      <c r="F5" s="36"/>
      <c r="G5" s="5" t="s">
        <v>95</v>
      </c>
      <c r="H5" s="16">
        <v>3.5</v>
      </c>
      <c r="I5" s="17" t="str">
        <f t="shared" si="0"/>
        <v>Descartado</v>
      </c>
    </row>
    <row r="6" spans="1:9" x14ac:dyDescent="0.25">
      <c r="A6" s="37"/>
      <c r="B6" s="34"/>
      <c r="C6" s="35"/>
      <c r="D6" s="35"/>
      <c r="E6" s="36"/>
      <c r="F6" s="36"/>
      <c r="G6" s="5" t="s">
        <v>92</v>
      </c>
      <c r="H6" s="16">
        <v>1.33</v>
      </c>
      <c r="I6" s="17">
        <f t="shared" si="0"/>
        <v>1.33</v>
      </c>
    </row>
    <row r="7" spans="1:9" x14ac:dyDescent="0.25">
      <c r="A7" s="37"/>
      <c r="B7" s="34"/>
      <c r="C7" s="35"/>
      <c r="D7" s="35"/>
      <c r="E7" s="36"/>
      <c r="F7" s="36"/>
      <c r="G7" s="5"/>
      <c r="H7" s="16"/>
      <c r="I7" s="17" t="str">
        <f t="shared" si="0"/>
        <v/>
      </c>
    </row>
    <row r="8" spans="1:9" x14ac:dyDescent="0.25">
      <c r="A8" s="37"/>
      <c r="B8" s="34"/>
      <c r="C8" s="35"/>
      <c r="D8" s="35"/>
      <c r="E8" s="36"/>
      <c r="F8" s="36"/>
      <c r="G8" s="5"/>
      <c r="H8" s="16"/>
      <c r="I8" s="17" t="str">
        <f t="shared" si="0"/>
        <v/>
      </c>
    </row>
    <row r="9" spans="1:9" x14ac:dyDescent="0.25">
      <c r="A9" s="37"/>
      <c r="B9" s="34"/>
      <c r="C9" s="35"/>
      <c r="D9" s="35"/>
      <c r="E9" s="36"/>
      <c r="F9" s="36"/>
      <c r="G9" s="5"/>
      <c r="H9" s="16"/>
      <c r="I9" s="17" t="str">
        <f t="shared" si="0"/>
        <v/>
      </c>
    </row>
    <row r="10" spans="1:9" x14ac:dyDescent="0.25">
      <c r="A10" s="37"/>
      <c r="B10" s="34"/>
      <c r="C10" s="35"/>
      <c r="D10" s="35"/>
      <c r="E10" s="36"/>
      <c r="F10" s="36"/>
      <c r="G10" s="5"/>
      <c r="H10" s="16"/>
      <c r="I10" s="17" t="str">
        <f t="shared" si="0"/>
        <v/>
      </c>
    </row>
    <row r="11" spans="1:9" x14ac:dyDescent="0.25">
      <c r="A11" s="37"/>
      <c r="B11" s="34"/>
      <c r="C11" s="35"/>
      <c r="D11" s="35"/>
      <c r="E11" s="36"/>
      <c r="F11" s="36"/>
      <c r="G11" s="5"/>
      <c r="H11" s="16"/>
      <c r="I11" s="17" t="str">
        <f t="shared" si="0"/>
        <v/>
      </c>
    </row>
    <row r="12" spans="1:9" x14ac:dyDescent="0.25">
      <c r="A12" s="37"/>
      <c r="B12" s="34"/>
      <c r="C12" s="35"/>
      <c r="D12" s="35"/>
      <c r="E12" s="36"/>
      <c r="F12" s="36"/>
      <c r="G12" s="5"/>
      <c r="H12" s="16"/>
      <c r="I12" s="17" t="str">
        <f t="shared" si="0"/>
        <v/>
      </c>
    </row>
    <row r="13" spans="1:9" x14ac:dyDescent="0.25">
      <c r="A13" s="37"/>
      <c r="B13" s="34"/>
      <c r="C13" s="35"/>
      <c r="D13" s="35"/>
      <c r="E13" s="36"/>
      <c r="F13" s="36"/>
      <c r="G13" s="5"/>
      <c r="H13" s="16"/>
      <c r="I13" s="17" t="str">
        <f t="shared" si="0"/>
        <v/>
      </c>
    </row>
    <row r="14" spans="1:9" x14ac:dyDescent="0.25">
      <c r="A14" s="37"/>
      <c r="B14" s="34"/>
      <c r="C14" s="35"/>
      <c r="D14" s="35"/>
      <c r="E14" s="36"/>
      <c r="F14" s="36"/>
      <c r="G14" s="5"/>
      <c r="H14" s="16"/>
      <c r="I14" s="17" t="str">
        <f t="shared" si="0"/>
        <v/>
      </c>
    </row>
    <row r="15" spans="1:9" x14ac:dyDescent="0.25">
      <c r="A15" s="37"/>
      <c r="B15" s="34"/>
      <c r="C15" s="35"/>
      <c r="D15" s="35"/>
      <c r="E15" s="36"/>
      <c r="F15" s="36"/>
      <c r="G15" s="5"/>
      <c r="H15" s="16"/>
      <c r="I15" s="17" t="str">
        <f t="shared" si="0"/>
        <v/>
      </c>
    </row>
    <row r="16" spans="1:9" x14ac:dyDescent="0.25">
      <c r="A16" s="37"/>
      <c r="B16" s="34"/>
      <c r="C16" s="35"/>
      <c r="D16" s="35"/>
      <c r="E16" s="36"/>
      <c r="F16" s="36"/>
      <c r="G16" s="5"/>
      <c r="H16" s="16"/>
      <c r="I16" s="17" t="str">
        <f t="shared" si="0"/>
        <v/>
      </c>
    </row>
    <row r="17" spans="1:9" x14ac:dyDescent="0.25">
      <c r="A17" s="37"/>
      <c r="B17" s="34"/>
      <c r="C17" s="35"/>
      <c r="D17" s="35"/>
      <c r="E17" s="36"/>
      <c r="F17" s="36"/>
      <c r="G17" s="5"/>
      <c r="H17" s="16"/>
      <c r="I17" s="17" t="str">
        <f t="shared" si="0"/>
        <v/>
      </c>
    </row>
    <row r="19" spans="1:9" s="4" customFormat="1" ht="24" x14ac:dyDescent="0.25">
      <c r="A19" s="6" t="s">
        <v>14</v>
      </c>
      <c r="B19" s="6" t="s">
        <v>15</v>
      </c>
      <c r="C19" s="6" t="s">
        <v>25</v>
      </c>
      <c r="D19" s="6" t="s">
        <v>16</v>
      </c>
      <c r="E19" s="6" t="s">
        <v>17</v>
      </c>
      <c r="F19" s="6" t="s">
        <v>18</v>
      </c>
      <c r="G19" s="31" t="s">
        <v>19</v>
      </c>
      <c r="H19" s="31"/>
    </row>
    <row r="20" spans="1:9" x14ac:dyDescent="0.25">
      <c r="A20" s="8">
        <f>IF(B20&lt;2,"n/a",(_xlfn.STDEV.S(H3:H17)))</f>
        <v>0.94809897514271435</v>
      </c>
      <c r="B20" s="8">
        <f>COUNT(H3:H17)</f>
        <v>4</v>
      </c>
      <c r="C20" s="9">
        <f>IF(B20&lt;2,"n/a",(A20/D20))</f>
        <v>0.37772867535566312</v>
      </c>
      <c r="D20" s="10">
        <f>IFERROR(ROUND(AVERAGE(H3:H17),2),"")</f>
        <v>2.5099999999999998</v>
      </c>
      <c r="E20" s="15">
        <f>IFERROR(ROUND(IF(B20&lt;2,"n/a",(IF(C20&lt;=25%,"n/a",AVERAGE(I3:I17)))),2),"n/a")</f>
        <v>2.1800000000000002</v>
      </c>
      <c r="F20" s="10">
        <f>IFERROR(ROUND(MEDIAN(H3:H17),2),"")</f>
        <v>2.61</v>
      </c>
      <c r="G20" s="11" t="str">
        <f>IFERROR(INDEX(G3:G17,MATCH(H20,H3:H17,0)),"")</f>
        <v>SILVA DISTRIBUIDORA E FERRAGISTA LTDA</v>
      </c>
      <c r="H20" s="12">
        <f>F3</f>
        <v>1.33</v>
      </c>
    </row>
    <row r="22" spans="1:9" x14ac:dyDescent="0.25">
      <c r="G22" s="13" t="s">
        <v>20</v>
      </c>
      <c r="H22" s="14">
        <f>IF(C20&lt;=25%,D20,MIN(E20:F20))</f>
        <v>2.1800000000000002</v>
      </c>
    </row>
    <row r="23" spans="1:9" x14ac:dyDescent="0.25">
      <c r="G23" s="13" t="s">
        <v>6</v>
      </c>
      <c r="H23" s="14">
        <f>ROUND(H22,2)*D3</f>
        <v>3924.0000000000005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14" sqref="G14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2" t="s">
        <v>8</v>
      </c>
      <c r="B1" s="32"/>
      <c r="C1" s="32"/>
      <c r="D1" s="32"/>
      <c r="E1" s="32"/>
      <c r="F1" s="32"/>
      <c r="G1" s="32"/>
      <c r="H1" s="32"/>
      <c r="I1" s="32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9</v>
      </c>
      <c r="F2" s="6" t="s">
        <v>10</v>
      </c>
      <c r="G2" s="6" t="s">
        <v>11</v>
      </c>
      <c r="H2" s="6" t="s">
        <v>12</v>
      </c>
      <c r="I2" s="6" t="s">
        <v>13</v>
      </c>
    </row>
    <row r="3" spans="1:9" x14ac:dyDescent="0.25">
      <c r="A3" s="37">
        <v>20</v>
      </c>
      <c r="B3" s="33" t="s">
        <v>68</v>
      </c>
      <c r="C3" s="35" t="s">
        <v>7</v>
      </c>
      <c r="D3" s="35">
        <v>30</v>
      </c>
      <c r="E3" s="36">
        <f>IF(C20&lt;=25%,D20,MIN(E20:F20))</f>
        <v>4.4000000000000004</v>
      </c>
      <c r="F3" s="36">
        <f>MIN(H3:H17)</f>
        <v>2.6</v>
      </c>
      <c r="G3" s="5" t="s">
        <v>146</v>
      </c>
      <c r="H3" s="16">
        <v>3.58</v>
      </c>
      <c r="I3" s="17">
        <f>IF(H3="","",(IF($C$20&lt;25%,"n/a",IF(H3&lt;=($D$20+$A$20),H3,"Descartado"))))</f>
        <v>3.58</v>
      </c>
    </row>
    <row r="4" spans="1:9" x14ac:dyDescent="0.25">
      <c r="A4" s="37"/>
      <c r="B4" s="34"/>
      <c r="C4" s="35"/>
      <c r="D4" s="35"/>
      <c r="E4" s="36"/>
      <c r="F4" s="36"/>
      <c r="G4" s="5" t="s">
        <v>153</v>
      </c>
      <c r="H4" s="16">
        <v>2.6</v>
      </c>
      <c r="I4" s="17">
        <f t="shared" ref="I4:I17" si="0">IF(H4="","",(IF($C$20&lt;25%,"n/a",IF(H4&lt;=($D$20+$A$20),H4,"Descartado"))))</f>
        <v>2.6</v>
      </c>
    </row>
    <row r="5" spans="1:9" x14ac:dyDescent="0.25">
      <c r="A5" s="37"/>
      <c r="B5" s="34"/>
      <c r="C5" s="35"/>
      <c r="D5" s="35"/>
      <c r="E5" s="36"/>
      <c r="F5" s="36"/>
      <c r="G5" s="5" t="s">
        <v>154</v>
      </c>
      <c r="H5" s="16">
        <v>2.6</v>
      </c>
      <c r="I5" s="17">
        <f t="shared" si="0"/>
        <v>2.6</v>
      </c>
    </row>
    <row r="6" spans="1:9" x14ac:dyDescent="0.25">
      <c r="A6" s="37"/>
      <c r="B6" s="34"/>
      <c r="C6" s="35"/>
      <c r="D6" s="35"/>
      <c r="E6" s="36"/>
      <c r="F6" s="36"/>
      <c r="G6" s="5" t="s">
        <v>155</v>
      </c>
      <c r="H6" s="16">
        <v>4.8</v>
      </c>
      <c r="I6" s="17">
        <f t="shared" si="0"/>
        <v>4.8</v>
      </c>
    </row>
    <row r="7" spans="1:9" x14ac:dyDescent="0.25">
      <c r="A7" s="37"/>
      <c r="B7" s="34"/>
      <c r="C7" s="35"/>
      <c r="D7" s="35"/>
      <c r="E7" s="36"/>
      <c r="F7" s="36"/>
      <c r="G7" s="5" t="s">
        <v>156</v>
      </c>
      <c r="H7" s="16">
        <v>4.5</v>
      </c>
      <c r="I7" s="17">
        <f t="shared" si="0"/>
        <v>4.5</v>
      </c>
    </row>
    <row r="8" spans="1:9" x14ac:dyDescent="0.25">
      <c r="A8" s="37"/>
      <c r="B8" s="34"/>
      <c r="C8" s="35"/>
      <c r="D8" s="35"/>
      <c r="E8" s="36"/>
      <c r="F8" s="36"/>
      <c r="G8" s="5" t="s">
        <v>135</v>
      </c>
      <c r="H8" s="16">
        <v>3.17</v>
      </c>
      <c r="I8" s="17">
        <f t="shared" si="0"/>
        <v>3.17</v>
      </c>
    </row>
    <row r="9" spans="1:9" x14ac:dyDescent="0.25">
      <c r="A9" s="37"/>
      <c r="B9" s="34"/>
      <c r="C9" s="35"/>
      <c r="D9" s="35"/>
      <c r="E9" s="36"/>
      <c r="F9" s="36"/>
      <c r="G9" s="5" t="s">
        <v>157</v>
      </c>
      <c r="H9" s="16">
        <v>3.8</v>
      </c>
      <c r="I9" s="17">
        <f t="shared" si="0"/>
        <v>3.8</v>
      </c>
    </row>
    <row r="10" spans="1:9" x14ac:dyDescent="0.25">
      <c r="A10" s="37"/>
      <c r="B10" s="34"/>
      <c r="C10" s="35"/>
      <c r="D10" s="35"/>
      <c r="E10" s="36"/>
      <c r="F10" s="36"/>
      <c r="G10" s="5" t="s">
        <v>158</v>
      </c>
      <c r="H10" s="16">
        <v>5.91</v>
      </c>
      <c r="I10" s="17">
        <f t="shared" si="0"/>
        <v>5.91</v>
      </c>
    </row>
    <row r="11" spans="1:9" x14ac:dyDescent="0.25">
      <c r="A11" s="37"/>
      <c r="B11" s="34"/>
      <c r="C11" s="35"/>
      <c r="D11" s="35"/>
      <c r="E11" s="36"/>
      <c r="F11" s="36"/>
      <c r="G11" s="5" t="s">
        <v>159</v>
      </c>
      <c r="H11" s="16">
        <v>7.34</v>
      </c>
      <c r="I11" s="17">
        <f t="shared" si="0"/>
        <v>7.34</v>
      </c>
    </row>
    <row r="12" spans="1:9" x14ac:dyDescent="0.25">
      <c r="A12" s="37"/>
      <c r="B12" s="34"/>
      <c r="C12" s="35"/>
      <c r="D12" s="35"/>
      <c r="E12" s="36"/>
      <c r="F12" s="36"/>
      <c r="G12" s="5" t="s">
        <v>160</v>
      </c>
      <c r="H12" s="16">
        <v>5.67</v>
      </c>
      <c r="I12" s="17">
        <f t="shared" si="0"/>
        <v>5.67</v>
      </c>
    </row>
    <row r="13" spans="1:9" x14ac:dyDescent="0.25">
      <c r="A13" s="37"/>
      <c r="B13" s="34"/>
      <c r="C13" s="35"/>
      <c r="D13" s="35"/>
      <c r="E13" s="36"/>
      <c r="F13" s="36"/>
      <c r="G13" s="5" t="s">
        <v>161</v>
      </c>
      <c r="H13" s="16">
        <v>12.5</v>
      </c>
      <c r="I13" s="17" t="str">
        <f t="shared" si="0"/>
        <v>Descartado</v>
      </c>
    </row>
    <row r="14" spans="1:9" x14ac:dyDescent="0.25">
      <c r="A14" s="37"/>
      <c r="B14" s="34"/>
      <c r="C14" s="35"/>
      <c r="D14" s="35"/>
      <c r="E14" s="36"/>
      <c r="F14" s="36"/>
      <c r="G14" s="5"/>
      <c r="H14" s="16"/>
      <c r="I14" s="17" t="str">
        <f t="shared" si="0"/>
        <v/>
      </c>
    </row>
    <row r="15" spans="1:9" x14ac:dyDescent="0.25">
      <c r="A15" s="37"/>
      <c r="B15" s="34"/>
      <c r="C15" s="35"/>
      <c r="D15" s="35"/>
      <c r="E15" s="36"/>
      <c r="F15" s="36"/>
      <c r="G15" s="5"/>
      <c r="H15" s="16"/>
      <c r="I15" s="17" t="str">
        <f t="shared" si="0"/>
        <v/>
      </c>
    </row>
    <row r="16" spans="1:9" x14ac:dyDescent="0.25">
      <c r="A16" s="37"/>
      <c r="B16" s="34"/>
      <c r="C16" s="35"/>
      <c r="D16" s="35"/>
      <c r="E16" s="36"/>
      <c r="F16" s="36"/>
      <c r="G16" s="5"/>
      <c r="H16" s="16"/>
      <c r="I16" s="17" t="str">
        <f t="shared" si="0"/>
        <v/>
      </c>
    </row>
    <row r="17" spans="1:9" x14ac:dyDescent="0.25">
      <c r="A17" s="37"/>
      <c r="B17" s="34"/>
      <c r="C17" s="35"/>
      <c r="D17" s="35"/>
      <c r="E17" s="36"/>
      <c r="F17" s="36"/>
      <c r="G17" s="5"/>
      <c r="H17" s="16"/>
      <c r="I17" s="17" t="str">
        <f t="shared" si="0"/>
        <v/>
      </c>
    </row>
    <row r="19" spans="1:9" s="4" customFormat="1" ht="24" x14ac:dyDescent="0.25">
      <c r="A19" s="6" t="s">
        <v>14</v>
      </c>
      <c r="B19" s="6" t="s">
        <v>15</v>
      </c>
      <c r="C19" s="6" t="s">
        <v>25</v>
      </c>
      <c r="D19" s="6" t="s">
        <v>16</v>
      </c>
      <c r="E19" s="6" t="s">
        <v>17</v>
      </c>
      <c r="F19" s="6" t="s">
        <v>18</v>
      </c>
      <c r="G19" s="31" t="s">
        <v>19</v>
      </c>
      <c r="H19" s="31"/>
    </row>
    <row r="20" spans="1:9" x14ac:dyDescent="0.25">
      <c r="A20" s="8">
        <f>IF(B20&lt;2,"n/a",(_xlfn.STDEV.S(H3:H17)))</f>
        <v>2.8534444894802946</v>
      </c>
      <c r="B20" s="8">
        <f>COUNT(H3:H17)</f>
        <v>11</v>
      </c>
      <c r="C20" s="9">
        <f>IF(B20&lt;2,"n/a",(A20/D20))</f>
        <v>0.55622699600005743</v>
      </c>
      <c r="D20" s="10">
        <f>IFERROR(ROUND(AVERAGE(H3:H17),2),"")</f>
        <v>5.13</v>
      </c>
      <c r="E20" s="15">
        <f>IFERROR(ROUND(IF(B20&lt;2,"n/a",(IF(C20&lt;=25%,"n/a",AVERAGE(I3:I17)))),2),"n/a")</f>
        <v>4.4000000000000004</v>
      </c>
      <c r="F20" s="10">
        <f>IFERROR(ROUND(MEDIAN(H3:H17),2),"")</f>
        <v>4.5</v>
      </c>
      <c r="G20" s="11" t="str">
        <f>IFERROR(INDEX(G3:G17,MATCH(H20,H3:H17,0)),"")</f>
        <v>GAMA LUZ COMERCIO DE MATERIAIS ELETRICOS LTDA</v>
      </c>
      <c r="H20" s="12">
        <f>F3</f>
        <v>2.6</v>
      </c>
    </row>
    <row r="22" spans="1:9" x14ac:dyDescent="0.25">
      <c r="G22" s="13" t="s">
        <v>20</v>
      </c>
      <c r="H22" s="14">
        <f>IF(C20&lt;=25%,D20,MIN(E20:F20))</f>
        <v>4.4000000000000004</v>
      </c>
    </row>
    <row r="23" spans="1:9" x14ac:dyDescent="0.25">
      <c r="G23" s="13" t="s">
        <v>6</v>
      </c>
      <c r="H23" s="14">
        <f>ROUND(H22,2)*D3</f>
        <v>132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9" sqref="G9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2" t="s">
        <v>8</v>
      </c>
      <c r="B1" s="32"/>
      <c r="C1" s="32"/>
      <c r="D1" s="32"/>
      <c r="E1" s="32"/>
      <c r="F1" s="32"/>
      <c r="G1" s="32"/>
      <c r="H1" s="32"/>
      <c r="I1" s="32"/>
    </row>
    <row r="2" spans="1:9" s="4" customFormat="1" ht="36" x14ac:dyDescent="0.25">
      <c r="A2" s="7" t="s">
        <v>1</v>
      </c>
      <c r="B2" s="7" t="s">
        <v>2</v>
      </c>
      <c r="C2" s="7" t="s">
        <v>3</v>
      </c>
      <c r="D2" s="7" t="s">
        <v>4</v>
      </c>
      <c r="E2" s="7" t="s">
        <v>9</v>
      </c>
      <c r="F2" s="7" t="s">
        <v>10</v>
      </c>
      <c r="G2" s="7" t="s">
        <v>11</v>
      </c>
      <c r="H2" s="7" t="s">
        <v>12</v>
      </c>
      <c r="I2" s="7" t="s">
        <v>13</v>
      </c>
    </row>
    <row r="3" spans="1:9" x14ac:dyDescent="0.25">
      <c r="A3" s="37">
        <v>21</v>
      </c>
      <c r="B3" s="33" t="s">
        <v>69</v>
      </c>
      <c r="C3" s="35" t="s">
        <v>7</v>
      </c>
      <c r="D3" s="35">
        <v>720</v>
      </c>
      <c r="E3" s="36">
        <f>IF(C20&lt;=25%,D20,MIN(E20:F20))</f>
        <v>5.22</v>
      </c>
      <c r="F3" s="36">
        <f>MIN(H3:H17)</f>
        <v>3.7</v>
      </c>
      <c r="G3" s="5" t="s">
        <v>162</v>
      </c>
      <c r="H3" s="16">
        <v>4.8499999999999996</v>
      </c>
      <c r="I3" s="17">
        <f>IF(H3="","",(IF($C$20&lt;25%,"n/a",IF(H3&lt;=($D$20+$A$20),H3,"Descartado"))))</f>
        <v>4.8499999999999996</v>
      </c>
    </row>
    <row r="4" spans="1:9" x14ac:dyDescent="0.25">
      <c r="A4" s="37"/>
      <c r="B4" s="34"/>
      <c r="C4" s="35"/>
      <c r="D4" s="35"/>
      <c r="E4" s="36"/>
      <c r="F4" s="36"/>
      <c r="G4" s="5" t="s">
        <v>154</v>
      </c>
      <c r="H4" s="16">
        <v>3.7</v>
      </c>
      <c r="I4" s="17">
        <f t="shared" ref="I4:I17" si="0">IF(H4="","",(IF($C$20&lt;25%,"n/a",IF(H4&lt;=($D$20+$A$20),H4,"Descartado"))))</f>
        <v>3.7</v>
      </c>
    </row>
    <row r="5" spans="1:9" x14ac:dyDescent="0.25">
      <c r="A5" s="37"/>
      <c r="B5" s="34"/>
      <c r="C5" s="35"/>
      <c r="D5" s="35"/>
      <c r="E5" s="36"/>
      <c r="F5" s="36"/>
      <c r="G5" s="5" t="s">
        <v>163</v>
      </c>
      <c r="H5" s="16">
        <v>30</v>
      </c>
      <c r="I5" s="17" t="str">
        <f t="shared" si="0"/>
        <v>Descartado</v>
      </c>
    </row>
    <row r="6" spans="1:9" x14ac:dyDescent="0.25">
      <c r="A6" s="37"/>
      <c r="B6" s="34"/>
      <c r="C6" s="35"/>
      <c r="D6" s="35"/>
      <c r="E6" s="36"/>
      <c r="F6" s="36"/>
      <c r="G6" s="5" t="s">
        <v>164</v>
      </c>
      <c r="H6" s="16">
        <v>5.89</v>
      </c>
      <c r="I6" s="17">
        <f t="shared" si="0"/>
        <v>5.89</v>
      </c>
    </row>
    <row r="7" spans="1:9" x14ac:dyDescent="0.25">
      <c r="A7" s="37"/>
      <c r="B7" s="34"/>
      <c r="C7" s="35"/>
      <c r="D7" s="35"/>
      <c r="E7" s="36"/>
      <c r="F7" s="36"/>
      <c r="G7" s="5" t="s">
        <v>146</v>
      </c>
      <c r="H7" s="16">
        <v>4.34</v>
      </c>
      <c r="I7" s="17">
        <f t="shared" si="0"/>
        <v>4.34</v>
      </c>
    </row>
    <row r="8" spans="1:9" x14ac:dyDescent="0.25">
      <c r="A8" s="37"/>
      <c r="B8" s="34"/>
      <c r="C8" s="35"/>
      <c r="D8" s="35"/>
      <c r="E8" s="36"/>
      <c r="F8" s="36"/>
      <c r="G8" s="5" t="s">
        <v>149</v>
      </c>
      <c r="H8" s="16">
        <v>7.31</v>
      </c>
      <c r="I8" s="17">
        <f t="shared" si="0"/>
        <v>7.31</v>
      </c>
    </row>
    <row r="9" spans="1:9" x14ac:dyDescent="0.25">
      <c r="A9" s="37"/>
      <c r="B9" s="34"/>
      <c r="C9" s="35"/>
      <c r="D9" s="35"/>
      <c r="E9" s="36"/>
      <c r="F9" s="36"/>
      <c r="G9" s="5"/>
      <c r="H9" s="16"/>
      <c r="I9" s="17" t="str">
        <f t="shared" si="0"/>
        <v/>
      </c>
    </row>
    <row r="10" spans="1:9" x14ac:dyDescent="0.25">
      <c r="A10" s="37"/>
      <c r="B10" s="34"/>
      <c r="C10" s="35"/>
      <c r="D10" s="35"/>
      <c r="E10" s="36"/>
      <c r="F10" s="36"/>
      <c r="G10" s="5"/>
      <c r="H10" s="16"/>
      <c r="I10" s="17" t="str">
        <f t="shared" si="0"/>
        <v/>
      </c>
    </row>
    <row r="11" spans="1:9" x14ac:dyDescent="0.25">
      <c r="A11" s="37"/>
      <c r="B11" s="34"/>
      <c r="C11" s="35"/>
      <c r="D11" s="35"/>
      <c r="E11" s="36"/>
      <c r="F11" s="36"/>
      <c r="G11" s="5"/>
      <c r="H11" s="16"/>
      <c r="I11" s="17" t="str">
        <f t="shared" si="0"/>
        <v/>
      </c>
    </row>
    <row r="12" spans="1:9" x14ac:dyDescent="0.25">
      <c r="A12" s="37"/>
      <c r="B12" s="34"/>
      <c r="C12" s="35"/>
      <c r="D12" s="35"/>
      <c r="E12" s="36"/>
      <c r="F12" s="36"/>
      <c r="G12" s="5"/>
      <c r="H12" s="16"/>
      <c r="I12" s="17" t="str">
        <f t="shared" si="0"/>
        <v/>
      </c>
    </row>
    <row r="13" spans="1:9" x14ac:dyDescent="0.25">
      <c r="A13" s="37"/>
      <c r="B13" s="34"/>
      <c r="C13" s="35"/>
      <c r="D13" s="35"/>
      <c r="E13" s="36"/>
      <c r="F13" s="36"/>
      <c r="G13" s="5"/>
      <c r="H13" s="16"/>
      <c r="I13" s="17" t="str">
        <f t="shared" si="0"/>
        <v/>
      </c>
    </row>
    <row r="14" spans="1:9" x14ac:dyDescent="0.25">
      <c r="A14" s="37"/>
      <c r="B14" s="34"/>
      <c r="C14" s="35"/>
      <c r="D14" s="35"/>
      <c r="E14" s="36"/>
      <c r="F14" s="36"/>
      <c r="G14" s="5"/>
      <c r="H14" s="16"/>
      <c r="I14" s="17" t="str">
        <f t="shared" si="0"/>
        <v/>
      </c>
    </row>
    <row r="15" spans="1:9" x14ac:dyDescent="0.25">
      <c r="A15" s="37"/>
      <c r="B15" s="34"/>
      <c r="C15" s="35"/>
      <c r="D15" s="35"/>
      <c r="E15" s="36"/>
      <c r="F15" s="36"/>
      <c r="G15" s="5"/>
      <c r="H15" s="16"/>
      <c r="I15" s="17" t="str">
        <f t="shared" si="0"/>
        <v/>
      </c>
    </row>
    <row r="16" spans="1:9" x14ac:dyDescent="0.25">
      <c r="A16" s="37"/>
      <c r="B16" s="34"/>
      <c r="C16" s="35"/>
      <c r="D16" s="35"/>
      <c r="E16" s="36"/>
      <c r="F16" s="36"/>
      <c r="G16" s="5"/>
      <c r="H16" s="16"/>
      <c r="I16" s="17" t="str">
        <f t="shared" si="0"/>
        <v/>
      </c>
    </row>
    <row r="17" spans="1:9" x14ac:dyDescent="0.25">
      <c r="A17" s="37"/>
      <c r="B17" s="34"/>
      <c r="C17" s="35"/>
      <c r="D17" s="35"/>
      <c r="E17" s="36"/>
      <c r="F17" s="36"/>
      <c r="G17" s="5"/>
      <c r="H17" s="16"/>
      <c r="I17" s="17" t="str">
        <f t="shared" si="0"/>
        <v/>
      </c>
    </row>
    <row r="19" spans="1:9" s="4" customFormat="1" ht="24" x14ac:dyDescent="0.25">
      <c r="A19" s="7" t="s">
        <v>14</v>
      </c>
      <c r="B19" s="7" t="s">
        <v>15</v>
      </c>
      <c r="C19" s="7" t="s">
        <v>25</v>
      </c>
      <c r="D19" s="7" t="s">
        <v>16</v>
      </c>
      <c r="E19" s="7" t="s">
        <v>17</v>
      </c>
      <c r="F19" s="7" t="s">
        <v>18</v>
      </c>
      <c r="G19" s="31" t="s">
        <v>19</v>
      </c>
      <c r="H19" s="31"/>
    </row>
    <row r="20" spans="1:9" x14ac:dyDescent="0.25">
      <c r="A20" s="8">
        <f>IF(B20&lt;2,"n/a",(_xlfn.STDEV.S(H3:H17)))</f>
        <v>10.196355067702704</v>
      </c>
      <c r="B20" s="8">
        <f>COUNT(H3:H17)</f>
        <v>6</v>
      </c>
      <c r="C20" s="9">
        <f>IF(B20&lt;2,"n/a",(A20/D20))</f>
        <v>1.0905192585778294</v>
      </c>
      <c r="D20" s="10">
        <f>IFERROR(ROUND(AVERAGE(H3:H17),2),"")</f>
        <v>9.35</v>
      </c>
      <c r="E20" s="15">
        <f>IFERROR(ROUND(IF(B20&lt;2,"n/a",(IF(C20&lt;=25%,"n/a",AVERAGE(I3:I17)))),2),"n/a")</f>
        <v>5.22</v>
      </c>
      <c r="F20" s="10">
        <f>IFERROR(ROUND(MEDIAN(H3:H17),2),"")</f>
        <v>5.37</v>
      </c>
      <c r="G20" s="11" t="str">
        <f>IFERROR(INDEX(G3:G17,MATCH(H20,H3:H17,0)),"")</f>
        <v>MACROMMERCE LTDA</v>
      </c>
      <c r="H20" s="12">
        <f>F3</f>
        <v>3.7</v>
      </c>
    </row>
    <row r="22" spans="1:9" x14ac:dyDescent="0.25">
      <c r="G22" s="13" t="s">
        <v>20</v>
      </c>
      <c r="H22" s="14">
        <f>IF(C20&lt;=25%,D20,MIN(E20:F20))</f>
        <v>5.22</v>
      </c>
    </row>
    <row r="23" spans="1:9" x14ac:dyDescent="0.25">
      <c r="G23" s="13" t="s">
        <v>6</v>
      </c>
      <c r="H23" s="14">
        <f>ROUND(H22,2)*D3</f>
        <v>3758.3999999999996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6" sqref="G6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2" t="s">
        <v>8</v>
      </c>
      <c r="B1" s="32"/>
      <c r="C1" s="32"/>
      <c r="D1" s="32"/>
      <c r="E1" s="32"/>
      <c r="F1" s="32"/>
      <c r="G1" s="32"/>
      <c r="H1" s="32"/>
      <c r="I1" s="32"/>
    </row>
    <row r="2" spans="1:9" s="4" customFormat="1" ht="36" x14ac:dyDescent="0.25">
      <c r="A2" s="7" t="s">
        <v>1</v>
      </c>
      <c r="B2" s="7" t="s">
        <v>2</v>
      </c>
      <c r="C2" s="7" t="s">
        <v>3</v>
      </c>
      <c r="D2" s="7" t="s">
        <v>4</v>
      </c>
      <c r="E2" s="7" t="s">
        <v>9</v>
      </c>
      <c r="F2" s="7" t="s">
        <v>10</v>
      </c>
      <c r="G2" s="7" t="s">
        <v>11</v>
      </c>
      <c r="H2" s="7" t="s">
        <v>12</v>
      </c>
      <c r="I2" s="7" t="s">
        <v>13</v>
      </c>
    </row>
    <row r="3" spans="1:9" x14ac:dyDescent="0.25">
      <c r="A3" s="37">
        <v>22</v>
      </c>
      <c r="B3" s="33" t="s">
        <v>70</v>
      </c>
      <c r="C3" s="35" t="s">
        <v>7</v>
      </c>
      <c r="D3" s="35">
        <f>250+134</f>
        <v>384</v>
      </c>
      <c r="E3" s="36">
        <f>IF(C20&lt;=25%,D20,MIN(E20:F20))</f>
        <v>5.93</v>
      </c>
      <c r="F3" s="36">
        <f>MIN(H3:H17)</f>
        <v>5.8</v>
      </c>
      <c r="G3" s="5" t="s">
        <v>146</v>
      </c>
      <c r="H3" s="16">
        <v>6.05</v>
      </c>
      <c r="I3" s="17">
        <f>IF(H3="","",(IF($C$20&lt;25%,"n/a",IF(H3&lt;=($D$20+$A$20),H3,"Descartado"))))</f>
        <v>6.05</v>
      </c>
    </row>
    <row r="4" spans="1:9" x14ac:dyDescent="0.25">
      <c r="A4" s="37"/>
      <c r="B4" s="34"/>
      <c r="C4" s="35"/>
      <c r="D4" s="35"/>
      <c r="E4" s="36"/>
      <c r="F4" s="36"/>
      <c r="G4" s="5" t="s">
        <v>165</v>
      </c>
      <c r="H4" s="16">
        <v>13.87</v>
      </c>
      <c r="I4" s="17" t="str">
        <f t="shared" ref="I4:I17" si="0">IF(H4="","",(IF($C$20&lt;25%,"n/a",IF(H4&lt;=($D$20+$A$20),H4,"Descartado"))))</f>
        <v>Descartado</v>
      </c>
    </row>
    <row r="5" spans="1:9" x14ac:dyDescent="0.25">
      <c r="A5" s="37"/>
      <c r="B5" s="34"/>
      <c r="C5" s="35"/>
      <c r="D5" s="35"/>
      <c r="E5" s="36"/>
      <c r="F5" s="36"/>
      <c r="G5" s="5" t="s">
        <v>166</v>
      </c>
      <c r="H5" s="16">
        <v>5.8</v>
      </c>
      <c r="I5" s="17">
        <f t="shared" si="0"/>
        <v>5.8</v>
      </c>
    </row>
    <row r="6" spans="1:9" x14ac:dyDescent="0.25">
      <c r="A6" s="37"/>
      <c r="B6" s="34"/>
      <c r="C6" s="35"/>
      <c r="D6" s="35"/>
      <c r="E6" s="36"/>
      <c r="F6" s="36"/>
      <c r="G6" s="5"/>
      <c r="H6" s="16"/>
      <c r="I6" s="17" t="str">
        <f t="shared" si="0"/>
        <v/>
      </c>
    </row>
    <row r="7" spans="1:9" x14ac:dyDescent="0.25">
      <c r="A7" s="37"/>
      <c r="B7" s="34"/>
      <c r="C7" s="35"/>
      <c r="D7" s="35"/>
      <c r="E7" s="36"/>
      <c r="F7" s="36"/>
      <c r="G7" s="5"/>
      <c r="H7" s="16"/>
      <c r="I7" s="17" t="str">
        <f t="shared" si="0"/>
        <v/>
      </c>
    </row>
    <row r="8" spans="1:9" x14ac:dyDescent="0.25">
      <c r="A8" s="37"/>
      <c r="B8" s="34"/>
      <c r="C8" s="35"/>
      <c r="D8" s="35"/>
      <c r="E8" s="36"/>
      <c r="F8" s="36"/>
      <c r="G8" s="5"/>
      <c r="H8" s="16"/>
      <c r="I8" s="17" t="str">
        <f t="shared" si="0"/>
        <v/>
      </c>
    </row>
    <row r="9" spans="1:9" x14ac:dyDescent="0.25">
      <c r="A9" s="37"/>
      <c r="B9" s="34"/>
      <c r="C9" s="35"/>
      <c r="D9" s="35"/>
      <c r="E9" s="36"/>
      <c r="F9" s="36"/>
      <c r="G9" s="5"/>
      <c r="H9" s="16"/>
      <c r="I9" s="17" t="str">
        <f t="shared" si="0"/>
        <v/>
      </c>
    </row>
    <row r="10" spans="1:9" x14ac:dyDescent="0.25">
      <c r="A10" s="37"/>
      <c r="B10" s="34"/>
      <c r="C10" s="35"/>
      <c r="D10" s="35"/>
      <c r="E10" s="36"/>
      <c r="F10" s="36"/>
      <c r="G10" s="5"/>
      <c r="H10" s="16"/>
      <c r="I10" s="17" t="str">
        <f t="shared" si="0"/>
        <v/>
      </c>
    </row>
    <row r="11" spans="1:9" x14ac:dyDescent="0.25">
      <c r="A11" s="37"/>
      <c r="B11" s="34"/>
      <c r="C11" s="35"/>
      <c r="D11" s="35"/>
      <c r="E11" s="36"/>
      <c r="F11" s="36"/>
      <c r="G11" s="5"/>
      <c r="H11" s="16"/>
      <c r="I11" s="17" t="str">
        <f t="shared" si="0"/>
        <v/>
      </c>
    </row>
    <row r="12" spans="1:9" x14ac:dyDescent="0.25">
      <c r="A12" s="37"/>
      <c r="B12" s="34"/>
      <c r="C12" s="35"/>
      <c r="D12" s="35"/>
      <c r="E12" s="36"/>
      <c r="F12" s="36"/>
      <c r="G12" s="5"/>
      <c r="H12" s="16"/>
      <c r="I12" s="17" t="str">
        <f t="shared" si="0"/>
        <v/>
      </c>
    </row>
    <row r="13" spans="1:9" x14ac:dyDescent="0.25">
      <c r="A13" s="37"/>
      <c r="B13" s="34"/>
      <c r="C13" s="35"/>
      <c r="D13" s="35"/>
      <c r="E13" s="36"/>
      <c r="F13" s="36"/>
      <c r="G13" s="5"/>
      <c r="H13" s="16"/>
      <c r="I13" s="17" t="str">
        <f t="shared" si="0"/>
        <v/>
      </c>
    </row>
    <row r="14" spans="1:9" x14ac:dyDescent="0.25">
      <c r="A14" s="37"/>
      <c r="B14" s="34"/>
      <c r="C14" s="35"/>
      <c r="D14" s="35"/>
      <c r="E14" s="36"/>
      <c r="F14" s="36"/>
      <c r="G14" s="5"/>
      <c r="H14" s="16"/>
      <c r="I14" s="17" t="str">
        <f t="shared" si="0"/>
        <v/>
      </c>
    </row>
    <row r="15" spans="1:9" x14ac:dyDescent="0.25">
      <c r="A15" s="37"/>
      <c r="B15" s="34"/>
      <c r="C15" s="35"/>
      <c r="D15" s="35"/>
      <c r="E15" s="36"/>
      <c r="F15" s="36"/>
      <c r="G15" s="5"/>
      <c r="H15" s="16"/>
      <c r="I15" s="17" t="str">
        <f t="shared" si="0"/>
        <v/>
      </c>
    </row>
    <row r="16" spans="1:9" x14ac:dyDescent="0.25">
      <c r="A16" s="37"/>
      <c r="B16" s="34"/>
      <c r="C16" s="35"/>
      <c r="D16" s="35"/>
      <c r="E16" s="36"/>
      <c r="F16" s="36"/>
      <c r="G16" s="5"/>
      <c r="H16" s="16"/>
      <c r="I16" s="17" t="str">
        <f t="shared" si="0"/>
        <v/>
      </c>
    </row>
    <row r="17" spans="1:9" x14ac:dyDescent="0.25">
      <c r="A17" s="37"/>
      <c r="B17" s="34"/>
      <c r="C17" s="35"/>
      <c r="D17" s="35"/>
      <c r="E17" s="36"/>
      <c r="F17" s="36"/>
      <c r="G17" s="5"/>
      <c r="H17" s="16"/>
      <c r="I17" s="17" t="str">
        <f t="shared" si="0"/>
        <v/>
      </c>
    </row>
    <row r="19" spans="1:9" s="4" customFormat="1" ht="24" x14ac:dyDescent="0.25">
      <c r="A19" s="7" t="s">
        <v>14</v>
      </c>
      <c r="B19" s="7" t="s">
        <v>15</v>
      </c>
      <c r="C19" s="7" t="s">
        <v>25</v>
      </c>
      <c r="D19" s="7" t="s">
        <v>16</v>
      </c>
      <c r="E19" s="7" t="s">
        <v>17</v>
      </c>
      <c r="F19" s="7" t="s">
        <v>18</v>
      </c>
      <c r="G19" s="31" t="s">
        <v>19</v>
      </c>
      <c r="H19" s="31"/>
    </row>
    <row r="20" spans="1:9" x14ac:dyDescent="0.25">
      <c r="A20" s="8">
        <f>IF(B20&lt;2,"n/a",(_xlfn.STDEV.S(H3:H17)))</f>
        <v>4.5887507377644017</v>
      </c>
      <c r="B20" s="8">
        <f>COUNT(H3:H17)</f>
        <v>3</v>
      </c>
      <c r="C20" s="9">
        <f>IF(B20&lt;2,"n/a",(A20/D20))</f>
        <v>0.5354434933214004</v>
      </c>
      <c r="D20" s="10">
        <f>IFERROR(ROUND(AVERAGE(H3:H17),2),"")</f>
        <v>8.57</v>
      </c>
      <c r="E20" s="15">
        <f>IFERROR(ROUND(IF(B20&lt;2,"n/a",(IF(C20&lt;=25%,"n/a",AVERAGE(I3:I17)))),2),"n/a")</f>
        <v>5.93</v>
      </c>
      <c r="F20" s="10">
        <f>IFERROR(ROUND(MEDIAN(H3:H17),2),"")</f>
        <v>6.05</v>
      </c>
      <c r="G20" s="11" t="str">
        <f>IFERROR(INDEX(G3:G17,MATCH(H20,H3:H17,0)),"")</f>
        <v>QUERETARO TECNOLOGIA DE PROTECAO AMBIENTAL LTDA</v>
      </c>
      <c r="H20" s="12">
        <f>F3</f>
        <v>5.8</v>
      </c>
    </row>
    <row r="22" spans="1:9" x14ac:dyDescent="0.25">
      <c r="G22" s="13" t="s">
        <v>20</v>
      </c>
      <c r="H22" s="14">
        <f>IF(C20&lt;=25%,D20,MIN(E20:F20))</f>
        <v>5.93</v>
      </c>
    </row>
    <row r="23" spans="1:9" x14ac:dyDescent="0.25">
      <c r="G23" s="13" t="s">
        <v>6</v>
      </c>
      <c r="H23" s="14">
        <f>ROUND(H22,2)*D3</f>
        <v>2277.12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8" sqref="G8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2" t="s">
        <v>8</v>
      </c>
      <c r="B1" s="32"/>
      <c r="C1" s="32"/>
      <c r="D1" s="32"/>
      <c r="E1" s="32"/>
      <c r="F1" s="32"/>
      <c r="G1" s="32"/>
      <c r="H1" s="32"/>
      <c r="I1" s="32"/>
    </row>
    <row r="2" spans="1:9" s="4" customFormat="1" ht="36" x14ac:dyDescent="0.25">
      <c r="A2" s="7" t="s">
        <v>1</v>
      </c>
      <c r="B2" s="7" t="s">
        <v>2</v>
      </c>
      <c r="C2" s="7" t="s">
        <v>3</v>
      </c>
      <c r="D2" s="7" t="s">
        <v>4</v>
      </c>
      <c r="E2" s="7" t="s">
        <v>9</v>
      </c>
      <c r="F2" s="7" t="s">
        <v>10</v>
      </c>
      <c r="G2" s="7" t="s">
        <v>11</v>
      </c>
      <c r="H2" s="7" t="s">
        <v>12</v>
      </c>
      <c r="I2" s="7" t="s">
        <v>13</v>
      </c>
    </row>
    <row r="3" spans="1:9" x14ac:dyDescent="0.25">
      <c r="A3" s="37">
        <v>23</v>
      </c>
      <c r="B3" s="33" t="s">
        <v>71</v>
      </c>
      <c r="C3" s="35" t="s">
        <v>7</v>
      </c>
      <c r="D3" s="35">
        <v>5</v>
      </c>
      <c r="E3" s="36">
        <f>IF(C20&lt;=25%,D20,MIN(E20:F20))</f>
        <v>24.87</v>
      </c>
      <c r="F3" s="36">
        <f>MIN(H3:H17)</f>
        <v>18.07</v>
      </c>
      <c r="G3" s="5" t="s">
        <v>167</v>
      </c>
      <c r="H3" s="16">
        <v>24.87</v>
      </c>
      <c r="I3" s="17">
        <f>IF(H3="","",(IF($C$20&lt;25%,"n/a",IF(H3&lt;=($D$20+$A$20),H3,"Descartado"))))</f>
        <v>24.87</v>
      </c>
    </row>
    <row r="4" spans="1:9" x14ac:dyDescent="0.25">
      <c r="A4" s="37"/>
      <c r="B4" s="34"/>
      <c r="C4" s="35"/>
      <c r="D4" s="35"/>
      <c r="E4" s="36"/>
      <c r="F4" s="36"/>
      <c r="G4" s="5" t="s">
        <v>105</v>
      </c>
      <c r="H4" s="16">
        <v>64</v>
      </c>
      <c r="I4" s="17">
        <f t="shared" ref="I4:I17" si="0">IF(H4="","",(IF($C$20&lt;25%,"n/a",IF(H4&lt;=($D$20+$A$20),H4,"Descartado"))))</f>
        <v>64</v>
      </c>
    </row>
    <row r="5" spans="1:9" x14ac:dyDescent="0.25">
      <c r="A5" s="37"/>
      <c r="B5" s="34"/>
      <c r="C5" s="35"/>
      <c r="D5" s="35"/>
      <c r="E5" s="36"/>
      <c r="F5" s="36"/>
      <c r="G5" s="5" t="s">
        <v>168</v>
      </c>
      <c r="H5" s="16">
        <v>18.5</v>
      </c>
      <c r="I5" s="17">
        <f t="shared" si="0"/>
        <v>18.5</v>
      </c>
    </row>
    <row r="6" spans="1:9" x14ac:dyDescent="0.25">
      <c r="A6" s="37"/>
      <c r="B6" s="34"/>
      <c r="C6" s="35"/>
      <c r="D6" s="35"/>
      <c r="E6" s="36"/>
      <c r="F6" s="36"/>
      <c r="G6" s="5" t="s">
        <v>169</v>
      </c>
      <c r="H6" s="16">
        <v>18.07</v>
      </c>
      <c r="I6" s="17">
        <f t="shared" si="0"/>
        <v>18.07</v>
      </c>
    </row>
    <row r="7" spans="1:9" x14ac:dyDescent="0.25">
      <c r="A7" s="37"/>
      <c r="B7" s="34"/>
      <c r="C7" s="35"/>
      <c r="D7" s="35"/>
      <c r="E7" s="36"/>
      <c r="F7" s="36"/>
      <c r="G7" s="5" t="s">
        <v>170</v>
      </c>
      <c r="H7" s="16">
        <v>83.7</v>
      </c>
      <c r="I7" s="17" t="str">
        <f t="shared" si="0"/>
        <v>Descartado</v>
      </c>
    </row>
    <row r="8" spans="1:9" x14ac:dyDescent="0.25">
      <c r="A8" s="37"/>
      <c r="B8" s="34"/>
      <c r="C8" s="35"/>
      <c r="D8" s="35"/>
      <c r="E8" s="36"/>
      <c r="F8" s="36"/>
      <c r="G8" s="5"/>
      <c r="H8" s="16"/>
      <c r="I8" s="17" t="str">
        <f t="shared" si="0"/>
        <v/>
      </c>
    </row>
    <row r="9" spans="1:9" x14ac:dyDescent="0.25">
      <c r="A9" s="37"/>
      <c r="B9" s="34"/>
      <c r="C9" s="35"/>
      <c r="D9" s="35"/>
      <c r="E9" s="36"/>
      <c r="F9" s="36"/>
      <c r="G9" s="5"/>
      <c r="H9" s="16"/>
      <c r="I9" s="17" t="str">
        <f t="shared" si="0"/>
        <v/>
      </c>
    </row>
    <row r="10" spans="1:9" x14ac:dyDescent="0.25">
      <c r="A10" s="37"/>
      <c r="B10" s="34"/>
      <c r="C10" s="35"/>
      <c r="D10" s="35"/>
      <c r="E10" s="36"/>
      <c r="F10" s="36"/>
      <c r="G10" s="5"/>
      <c r="H10" s="16"/>
      <c r="I10" s="17" t="str">
        <f t="shared" si="0"/>
        <v/>
      </c>
    </row>
    <row r="11" spans="1:9" x14ac:dyDescent="0.25">
      <c r="A11" s="37"/>
      <c r="B11" s="34"/>
      <c r="C11" s="35"/>
      <c r="D11" s="35"/>
      <c r="E11" s="36"/>
      <c r="F11" s="36"/>
      <c r="G11" s="5"/>
      <c r="H11" s="16"/>
      <c r="I11" s="17" t="str">
        <f t="shared" si="0"/>
        <v/>
      </c>
    </row>
    <row r="12" spans="1:9" x14ac:dyDescent="0.25">
      <c r="A12" s="37"/>
      <c r="B12" s="34"/>
      <c r="C12" s="35"/>
      <c r="D12" s="35"/>
      <c r="E12" s="36"/>
      <c r="F12" s="36"/>
      <c r="G12" s="5"/>
      <c r="H12" s="16"/>
      <c r="I12" s="17" t="str">
        <f t="shared" si="0"/>
        <v/>
      </c>
    </row>
    <row r="13" spans="1:9" x14ac:dyDescent="0.25">
      <c r="A13" s="37"/>
      <c r="B13" s="34"/>
      <c r="C13" s="35"/>
      <c r="D13" s="35"/>
      <c r="E13" s="36"/>
      <c r="F13" s="36"/>
      <c r="G13" s="5"/>
      <c r="H13" s="16"/>
      <c r="I13" s="17" t="str">
        <f t="shared" si="0"/>
        <v/>
      </c>
    </row>
    <row r="14" spans="1:9" x14ac:dyDescent="0.25">
      <c r="A14" s="37"/>
      <c r="B14" s="34"/>
      <c r="C14" s="35"/>
      <c r="D14" s="35"/>
      <c r="E14" s="36"/>
      <c r="F14" s="36"/>
      <c r="G14" s="5"/>
      <c r="H14" s="16"/>
      <c r="I14" s="17" t="str">
        <f t="shared" si="0"/>
        <v/>
      </c>
    </row>
    <row r="15" spans="1:9" x14ac:dyDescent="0.25">
      <c r="A15" s="37"/>
      <c r="B15" s="34"/>
      <c r="C15" s="35"/>
      <c r="D15" s="35"/>
      <c r="E15" s="36"/>
      <c r="F15" s="36"/>
      <c r="G15" s="5"/>
      <c r="H15" s="16"/>
      <c r="I15" s="17" t="str">
        <f t="shared" si="0"/>
        <v/>
      </c>
    </row>
    <row r="16" spans="1:9" x14ac:dyDescent="0.25">
      <c r="A16" s="37"/>
      <c r="B16" s="34"/>
      <c r="C16" s="35"/>
      <c r="D16" s="35"/>
      <c r="E16" s="36"/>
      <c r="F16" s="36"/>
      <c r="G16" s="5"/>
      <c r="H16" s="16"/>
      <c r="I16" s="17" t="str">
        <f t="shared" si="0"/>
        <v/>
      </c>
    </row>
    <row r="17" spans="1:9" x14ac:dyDescent="0.25">
      <c r="A17" s="37"/>
      <c r="B17" s="34"/>
      <c r="C17" s="35"/>
      <c r="D17" s="35"/>
      <c r="E17" s="36"/>
      <c r="F17" s="36"/>
      <c r="G17" s="5"/>
      <c r="H17" s="16"/>
      <c r="I17" s="17" t="str">
        <f t="shared" si="0"/>
        <v/>
      </c>
    </row>
    <row r="19" spans="1:9" s="4" customFormat="1" ht="24" x14ac:dyDescent="0.25">
      <c r="A19" s="7" t="s">
        <v>14</v>
      </c>
      <c r="B19" s="7" t="s">
        <v>15</v>
      </c>
      <c r="C19" s="7" t="s">
        <v>25</v>
      </c>
      <c r="D19" s="7" t="s">
        <v>16</v>
      </c>
      <c r="E19" s="7" t="s">
        <v>17</v>
      </c>
      <c r="F19" s="7" t="s">
        <v>18</v>
      </c>
      <c r="G19" s="31" t="s">
        <v>19</v>
      </c>
      <c r="H19" s="31"/>
    </row>
    <row r="20" spans="1:9" x14ac:dyDescent="0.25">
      <c r="A20" s="8">
        <f>IF(B20&lt;2,"n/a",(_xlfn.STDEV.S(H3:H17)))</f>
        <v>30.170655776764288</v>
      </c>
      <c r="B20" s="8">
        <f>COUNT(H3:H17)</f>
        <v>5</v>
      </c>
      <c r="C20" s="9">
        <f>IF(B20&lt;2,"n/a",(A20/D20))</f>
        <v>0.72126836664509419</v>
      </c>
      <c r="D20" s="10">
        <f>IFERROR(ROUND(AVERAGE(H3:H17),2),"")</f>
        <v>41.83</v>
      </c>
      <c r="E20" s="15">
        <f>IFERROR(ROUND(IF(B20&lt;2,"n/a",(IF(C20&lt;=25%,"n/a",AVERAGE(I3:I17)))),2),"n/a")</f>
        <v>31.36</v>
      </c>
      <c r="F20" s="10">
        <f>IFERROR(ROUND(MEDIAN(H3:H17),2),"")</f>
        <v>24.87</v>
      </c>
      <c r="G20" s="11" t="str">
        <f>IFERROR(INDEX(G3:G17,MATCH(H20,H3:H17,0)),"")</f>
        <v>ORGANIZACOES MSL COMERCIO DE MATERIAIS ELETRICOS LTDA</v>
      </c>
      <c r="H20" s="12">
        <f>F3</f>
        <v>18.07</v>
      </c>
    </row>
    <row r="22" spans="1:9" x14ac:dyDescent="0.25">
      <c r="G22" s="13" t="s">
        <v>20</v>
      </c>
      <c r="H22" s="14">
        <f>IF(C20&lt;=25%,D20,MIN(E20:F20))</f>
        <v>24.87</v>
      </c>
    </row>
    <row r="23" spans="1:9" x14ac:dyDescent="0.25">
      <c r="G23" s="13" t="s">
        <v>6</v>
      </c>
      <c r="H23" s="14">
        <f>ROUND(H22,2)*D3</f>
        <v>124.35000000000001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D18" sqref="D18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2" t="s">
        <v>8</v>
      </c>
      <c r="B1" s="32"/>
      <c r="C1" s="32"/>
      <c r="D1" s="32"/>
      <c r="E1" s="32"/>
      <c r="F1" s="32"/>
      <c r="G1" s="32"/>
      <c r="H1" s="32"/>
      <c r="I1" s="32"/>
    </row>
    <row r="2" spans="1:9" s="4" customFormat="1" ht="36" x14ac:dyDescent="0.25">
      <c r="A2" s="7" t="s">
        <v>1</v>
      </c>
      <c r="B2" s="7" t="s">
        <v>2</v>
      </c>
      <c r="C2" s="7" t="s">
        <v>3</v>
      </c>
      <c r="D2" s="7" t="s">
        <v>4</v>
      </c>
      <c r="E2" s="7" t="s">
        <v>9</v>
      </c>
      <c r="F2" s="7" t="s">
        <v>10</v>
      </c>
      <c r="G2" s="7" t="s">
        <v>11</v>
      </c>
      <c r="H2" s="7" t="s">
        <v>12</v>
      </c>
      <c r="I2" s="7" t="s">
        <v>13</v>
      </c>
    </row>
    <row r="3" spans="1:9" x14ac:dyDescent="0.25">
      <c r="A3" s="37">
        <v>24</v>
      </c>
      <c r="B3" s="33" t="s">
        <v>72</v>
      </c>
      <c r="C3" s="35" t="s">
        <v>7</v>
      </c>
      <c r="D3" s="35">
        <f>180+134</f>
        <v>314</v>
      </c>
      <c r="E3" s="36">
        <f>IF(C20&lt;=25%,D20,MIN(E20:F20))</f>
        <v>2.62</v>
      </c>
      <c r="F3" s="36">
        <f>MIN(H3:H17)</f>
        <v>1.86</v>
      </c>
      <c r="G3" s="5" t="s">
        <v>171</v>
      </c>
      <c r="H3" s="16">
        <v>1.99</v>
      </c>
      <c r="I3" s="17">
        <f>IF(H3="","",(IF($C$20&lt;25%,"n/a",IF(H3&lt;=($D$20+$A$20),H3,"Descartado"))))</f>
        <v>1.99</v>
      </c>
    </row>
    <row r="4" spans="1:9" x14ac:dyDescent="0.25">
      <c r="A4" s="37"/>
      <c r="B4" s="34"/>
      <c r="C4" s="35"/>
      <c r="D4" s="35"/>
      <c r="E4" s="36"/>
      <c r="F4" s="36"/>
      <c r="G4" s="5" t="s">
        <v>143</v>
      </c>
      <c r="H4" s="16">
        <v>2.93</v>
      </c>
      <c r="I4" s="17">
        <f t="shared" ref="I4:I17" si="0">IF(H4="","",(IF($C$20&lt;25%,"n/a",IF(H4&lt;=($D$20+$A$20),H4,"Descartado"))))</f>
        <v>2.93</v>
      </c>
    </row>
    <row r="5" spans="1:9" x14ac:dyDescent="0.25">
      <c r="A5" s="37"/>
      <c r="B5" s="34"/>
      <c r="C5" s="35"/>
      <c r="D5" s="35"/>
      <c r="E5" s="36"/>
      <c r="F5" s="36"/>
      <c r="G5" s="5" t="s">
        <v>172</v>
      </c>
      <c r="H5" s="16">
        <v>12</v>
      </c>
      <c r="I5" s="17" t="str">
        <f t="shared" si="0"/>
        <v>Descartado</v>
      </c>
    </row>
    <row r="6" spans="1:9" x14ac:dyDescent="0.25">
      <c r="A6" s="37"/>
      <c r="B6" s="34"/>
      <c r="C6" s="35"/>
      <c r="D6" s="35"/>
      <c r="E6" s="36"/>
      <c r="F6" s="36"/>
      <c r="G6" s="5" t="s">
        <v>101</v>
      </c>
      <c r="H6" s="16">
        <v>3.47</v>
      </c>
      <c r="I6" s="17">
        <f t="shared" si="0"/>
        <v>3.47</v>
      </c>
    </row>
    <row r="7" spans="1:9" x14ac:dyDescent="0.25">
      <c r="A7" s="37"/>
      <c r="B7" s="34"/>
      <c r="C7" s="35"/>
      <c r="D7" s="35"/>
      <c r="E7" s="36"/>
      <c r="F7" s="36"/>
      <c r="G7" s="5" t="s">
        <v>135</v>
      </c>
      <c r="H7" s="16">
        <v>7.06</v>
      </c>
      <c r="I7" s="17">
        <f t="shared" si="0"/>
        <v>7.06</v>
      </c>
    </row>
    <row r="8" spans="1:9" x14ac:dyDescent="0.25">
      <c r="A8" s="37"/>
      <c r="B8" s="34"/>
      <c r="C8" s="35"/>
      <c r="D8" s="35"/>
      <c r="E8" s="36"/>
      <c r="F8" s="36"/>
      <c r="G8" s="5" t="s">
        <v>173</v>
      </c>
      <c r="H8" s="16">
        <v>1.86</v>
      </c>
      <c r="I8" s="17">
        <f t="shared" si="0"/>
        <v>1.86</v>
      </c>
    </row>
    <row r="9" spans="1:9" x14ac:dyDescent="0.25">
      <c r="A9" s="37"/>
      <c r="B9" s="34"/>
      <c r="C9" s="35"/>
      <c r="D9" s="35"/>
      <c r="E9" s="36"/>
      <c r="F9" s="36"/>
      <c r="G9" s="5" t="s">
        <v>93</v>
      </c>
      <c r="H9" s="16">
        <v>2.2999999999999998</v>
      </c>
      <c r="I9" s="17">
        <f t="shared" si="0"/>
        <v>2.2999999999999998</v>
      </c>
    </row>
    <row r="10" spans="1:9" x14ac:dyDescent="0.25">
      <c r="A10" s="37"/>
      <c r="B10" s="34"/>
      <c r="C10" s="35"/>
      <c r="D10" s="35"/>
      <c r="E10" s="36"/>
      <c r="F10" s="36"/>
      <c r="G10" s="5" t="s">
        <v>174</v>
      </c>
      <c r="H10" s="16">
        <v>2.27</v>
      </c>
      <c r="I10" s="17">
        <f t="shared" si="0"/>
        <v>2.27</v>
      </c>
    </row>
    <row r="11" spans="1:9" x14ac:dyDescent="0.25">
      <c r="A11" s="37"/>
      <c r="B11" s="34"/>
      <c r="C11" s="35"/>
      <c r="D11" s="35"/>
      <c r="E11" s="36"/>
      <c r="F11" s="36"/>
      <c r="G11" s="5"/>
      <c r="H11" s="16"/>
      <c r="I11" s="17" t="str">
        <f t="shared" si="0"/>
        <v/>
      </c>
    </row>
    <row r="12" spans="1:9" x14ac:dyDescent="0.25">
      <c r="A12" s="37"/>
      <c r="B12" s="34"/>
      <c r="C12" s="35"/>
      <c r="D12" s="35"/>
      <c r="E12" s="36"/>
      <c r="F12" s="36"/>
      <c r="G12" s="5"/>
      <c r="H12" s="16"/>
      <c r="I12" s="17" t="str">
        <f t="shared" si="0"/>
        <v/>
      </c>
    </row>
    <row r="13" spans="1:9" x14ac:dyDescent="0.25">
      <c r="A13" s="37"/>
      <c r="B13" s="34"/>
      <c r="C13" s="35"/>
      <c r="D13" s="35"/>
      <c r="E13" s="36"/>
      <c r="F13" s="36"/>
      <c r="G13" s="5"/>
      <c r="H13" s="16"/>
      <c r="I13" s="17" t="str">
        <f t="shared" si="0"/>
        <v/>
      </c>
    </row>
    <row r="14" spans="1:9" x14ac:dyDescent="0.25">
      <c r="A14" s="37"/>
      <c r="B14" s="34"/>
      <c r="C14" s="35"/>
      <c r="D14" s="35"/>
      <c r="E14" s="36"/>
      <c r="F14" s="36"/>
      <c r="G14" s="5"/>
      <c r="H14" s="16"/>
      <c r="I14" s="17" t="str">
        <f t="shared" si="0"/>
        <v/>
      </c>
    </row>
    <row r="15" spans="1:9" x14ac:dyDescent="0.25">
      <c r="A15" s="37"/>
      <c r="B15" s="34"/>
      <c r="C15" s="35"/>
      <c r="D15" s="35"/>
      <c r="E15" s="36"/>
      <c r="F15" s="36"/>
      <c r="G15" s="5"/>
      <c r="H15" s="16"/>
      <c r="I15" s="17" t="str">
        <f t="shared" si="0"/>
        <v/>
      </c>
    </row>
    <row r="16" spans="1:9" x14ac:dyDescent="0.25">
      <c r="A16" s="37"/>
      <c r="B16" s="34"/>
      <c r="C16" s="35"/>
      <c r="D16" s="35"/>
      <c r="E16" s="36"/>
      <c r="F16" s="36"/>
      <c r="G16" s="5"/>
      <c r="H16" s="16"/>
      <c r="I16" s="17" t="str">
        <f t="shared" si="0"/>
        <v/>
      </c>
    </row>
    <row r="17" spans="1:9" x14ac:dyDescent="0.25">
      <c r="A17" s="37"/>
      <c r="B17" s="34"/>
      <c r="C17" s="35"/>
      <c r="D17" s="35"/>
      <c r="E17" s="36"/>
      <c r="F17" s="36"/>
      <c r="G17" s="5"/>
      <c r="H17" s="16"/>
      <c r="I17" s="17" t="str">
        <f t="shared" si="0"/>
        <v/>
      </c>
    </row>
    <row r="19" spans="1:9" s="4" customFormat="1" ht="24" x14ac:dyDescent="0.25">
      <c r="A19" s="7" t="s">
        <v>14</v>
      </c>
      <c r="B19" s="7" t="s">
        <v>15</v>
      </c>
      <c r="C19" s="7" t="s">
        <v>25</v>
      </c>
      <c r="D19" s="7" t="s">
        <v>16</v>
      </c>
      <c r="E19" s="7" t="s">
        <v>17</v>
      </c>
      <c r="F19" s="7" t="s">
        <v>18</v>
      </c>
      <c r="G19" s="31" t="s">
        <v>19</v>
      </c>
      <c r="H19" s="31"/>
    </row>
    <row r="20" spans="1:9" x14ac:dyDescent="0.25">
      <c r="A20" s="8">
        <f>IF(B20&lt;2,"n/a",(_xlfn.STDEV.S(H3:H17)))</f>
        <v>3.5627076380592486</v>
      </c>
      <c r="B20" s="8">
        <f>COUNT(H3:H17)</f>
        <v>8</v>
      </c>
      <c r="C20" s="9">
        <f>IF(B20&lt;2,"n/a",(A20/D20))</f>
        <v>0.84026123539133213</v>
      </c>
      <c r="D20" s="10">
        <f>IFERROR(ROUND(AVERAGE(H3:H17),2),"")</f>
        <v>4.24</v>
      </c>
      <c r="E20" s="15">
        <f>IFERROR(ROUND(IF(B20&lt;2,"n/a",(IF(C20&lt;=25%,"n/a",AVERAGE(I3:I17)))),2),"n/a")</f>
        <v>3.13</v>
      </c>
      <c r="F20" s="10">
        <f>IFERROR(ROUND(MEDIAN(H3:H17),2),"")</f>
        <v>2.62</v>
      </c>
      <c r="G20" s="11" t="str">
        <f>IFERROR(INDEX(G3:G17,MATCH(H20,H3:H17,0)),"")</f>
        <v>AMPLA COMERCIAL LTDA</v>
      </c>
      <c r="H20" s="12">
        <f>F3</f>
        <v>1.86</v>
      </c>
    </row>
    <row r="22" spans="1:9" x14ac:dyDescent="0.25">
      <c r="G22" s="13" t="s">
        <v>20</v>
      </c>
      <c r="H22" s="14">
        <f>IF(C20&lt;=25%,D20,MIN(E20:F20))</f>
        <v>2.62</v>
      </c>
    </row>
    <row r="23" spans="1:9" x14ac:dyDescent="0.25">
      <c r="G23" s="13" t="s">
        <v>6</v>
      </c>
      <c r="H23" s="14">
        <f>ROUND(H22,2)*D3</f>
        <v>822.68000000000006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H8" sqref="H8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2" t="s">
        <v>8</v>
      </c>
      <c r="B1" s="32"/>
      <c r="C1" s="32"/>
      <c r="D1" s="32"/>
      <c r="E1" s="32"/>
      <c r="F1" s="32"/>
      <c r="G1" s="32"/>
      <c r="H1" s="32"/>
      <c r="I1" s="32"/>
    </row>
    <row r="2" spans="1:9" s="4" customFormat="1" ht="36" x14ac:dyDescent="0.25">
      <c r="A2" s="7" t="s">
        <v>1</v>
      </c>
      <c r="B2" s="7" t="s">
        <v>2</v>
      </c>
      <c r="C2" s="7" t="s">
        <v>3</v>
      </c>
      <c r="D2" s="7" t="s">
        <v>4</v>
      </c>
      <c r="E2" s="7" t="s">
        <v>9</v>
      </c>
      <c r="F2" s="7" t="s">
        <v>10</v>
      </c>
      <c r="G2" s="7" t="s">
        <v>11</v>
      </c>
      <c r="H2" s="7" t="s">
        <v>12</v>
      </c>
      <c r="I2" s="7" t="s">
        <v>13</v>
      </c>
    </row>
    <row r="3" spans="1:9" x14ac:dyDescent="0.25">
      <c r="A3" s="37">
        <v>25</v>
      </c>
      <c r="B3" s="33" t="s">
        <v>73</v>
      </c>
      <c r="C3" s="35" t="s">
        <v>7</v>
      </c>
      <c r="D3" s="35">
        <f>560+134</f>
        <v>694</v>
      </c>
      <c r="E3" s="36">
        <f>IF(C20&lt;=25%,D20,MIN(E20:F20))</f>
        <v>3.67</v>
      </c>
      <c r="F3" s="36">
        <f>MIN(H3:H17)</f>
        <v>2.2999999999999998</v>
      </c>
      <c r="G3" s="5" t="s">
        <v>97</v>
      </c>
      <c r="H3" s="16">
        <v>2.46</v>
      </c>
      <c r="I3" s="17">
        <f>IF(H3="","",(IF($C$20&lt;25%,"n/a",IF(H3&lt;=($D$20+$A$20),H3,"Descartado"))))</f>
        <v>2.46</v>
      </c>
    </row>
    <row r="4" spans="1:9" x14ac:dyDescent="0.25">
      <c r="A4" s="37"/>
      <c r="B4" s="34"/>
      <c r="C4" s="35"/>
      <c r="D4" s="35"/>
      <c r="E4" s="36"/>
      <c r="F4" s="36"/>
      <c r="G4" s="5" t="s">
        <v>132</v>
      </c>
      <c r="H4" s="16">
        <v>3.84</v>
      </c>
      <c r="I4" s="17">
        <f t="shared" ref="I4:I17" si="0">IF(H4="","",(IF($C$20&lt;25%,"n/a",IF(H4&lt;=($D$20+$A$20),H4,"Descartado"))))</f>
        <v>3.84</v>
      </c>
    </row>
    <row r="5" spans="1:9" x14ac:dyDescent="0.25">
      <c r="A5" s="37"/>
      <c r="B5" s="34"/>
      <c r="C5" s="35"/>
      <c r="D5" s="35"/>
      <c r="E5" s="36"/>
      <c r="F5" s="36"/>
      <c r="G5" s="5" t="s">
        <v>175</v>
      </c>
      <c r="H5" s="16">
        <v>7</v>
      </c>
      <c r="I5" s="17">
        <f t="shared" si="0"/>
        <v>7</v>
      </c>
    </row>
    <row r="6" spans="1:9" x14ac:dyDescent="0.25">
      <c r="A6" s="37"/>
      <c r="B6" s="34"/>
      <c r="C6" s="35"/>
      <c r="D6" s="35"/>
      <c r="E6" s="36"/>
      <c r="F6" s="36"/>
      <c r="G6" s="5" t="s">
        <v>105</v>
      </c>
      <c r="H6" s="16">
        <v>8.3699999999999992</v>
      </c>
      <c r="I6" s="17" t="str">
        <f t="shared" si="0"/>
        <v>Descartado</v>
      </c>
    </row>
    <row r="7" spans="1:9" x14ac:dyDescent="0.25">
      <c r="A7" s="37"/>
      <c r="B7" s="34"/>
      <c r="C7" s="35"/>
      <c r="D7" s="35"/>
      <c r="E7" s="36"/>
      <c r="F7" s="36"/>
      <c r="G7" s="5" t="s">
        <v>103</v>
      </c>
      <c r="H7" s="16">
        <v>2.2999999999999998</v>
      </c>
      <c r="I7" s="17">
        <f t="shared" si="0"/>
        <v>2.2999999999999998</v>
      </c>
    </row>
    <row r="8" spans="1:9" x14ac:dyDescent="0.25">
      <c r="A8" s="37"/>
      <c r="B8" s="34"/>
      <c r="C8" s="35"/>
      <c r="D8" s="35"/>
      <c r="E8" s="36"/>
      <c r="F8" s="36"/>
      <c r="G8" s="5" t="s">
        <v>152</v>
      </c>
      <c r="H8" s="16">
        <v>3.5</v>
      </c>
      <c r="I8" s="17">
        <f t="shared" si="0"/>
        <v>3.5</v>
      </c>
    </row>
    <row r="9" spans="1:9" x14ac:dyDescent="0.25">
      <c r="A9" s="37"/>
      <c r="B9" s="34"/>
      <c r="C9" s="35"/>
      <c r="D9" s="35"/>
      <c r="E9" s="36"/>
      <c r="F9" s="36"/>
      <c r="G9" s="5"/>
      <c r="H9" s="16"/>
      <c r="I9" s="17" t="str">
        <f t="shared" si="0"/>
        <v/>
      </c>
    </row>
    <row r="10" spans="1:9" x14ac:dyDescent="0.25">
      <c r="A10" s="37"/>
      <c r="B10" s="34"/>
      <c r="C10" s="35"/>
      <c r="D10" s="35"/>
      <c r="E10" s="36"/>
      <c r="F10" s="36"/>
      <c r="G10" s="5"/>
      <c r="H10" s="16"/>
      <c r="I10" s="17" t="str">
        <f t="shared" si="0"/>
        <v/>
      </c>
    </row>
    <row r="11" spans="1:9" x14ac:dyDescent="0.25">
      <c r="A11" s="37"/>
      <c r="B11" s="34"/>
      <c r="C11" s="35"/>
      <c r="D11" s="35"/>
      <c r="E11" s="36"/>
      <c r="F11" s="36"/>
      <c r="G11" s="5"/>
      <c r="H11" s="16"/>
      <c r="I11" s="17" t="str">
        <f t="shared" si="0"/>
        <v/>
      </c>
    </row>
    <row r="12" spans="1:9" x14ac:dyDescent="0.25">
      <c r="A12" s="37"/>
      <c r="B12" s="34"/>
      <c r="C12" s="35"/>
      <c r="D12" s="35"/>
      <c r="E12" s="36"/>
      <c r="F12" s="36"/>
      <c r="G12" s="5"/>
      <c r="H12" s="16"/>
      <c r="I12" s="17" t="str">
        <f t="shared" si="0"/>
        <v/>
      </c>
    </row>
    <row r="13" spans="1:9" x14ac:dyDescent="0.25">
      <c r="A13" s="37"/>
      <c r="B13" s="34"/>
      <c r="C13" s="35"/>
      <c r="D13" s="35"/>
      <c r="E13" s="36"/>
      <c r="F13" s="36"/>
      <c r="G13" s="5"/>
      <c r="H13" s="16"/>
      <c r="I13" s="17" t="str">
        <f t="shared" si="0"/>
        <v/>
      </c>
    </row>
    <row r="14" spans="1:9" x14ac:dyDescent="0.25">
      <c r="A14" s="37"/>
      <c r="B14" s="34"/>
      <c r="C14" s="35"/>
      <c r="D14" s="35"/>
      <c r="E14" s="36"/>
      <c r="F14" s="36"/>
      <c r="G14" s="5"/>
      <c r="H14" s="16"/>
      <c r="I14" s="17" t="str">
        <f t="shared" si="0"/>
        <v/>
      </c>
    </row>
    <row r="15" spans="1:9" x14ac:dyDescent="0.25">
      <c r="A15" s="37"/>
      <c r="B15" s="34"/>
      <c r="C15" s="35"/>
      <c r="D15" s="35"/>
      <c r="E15" s="36"/>
      <c r="F15" s="36"/>
      <c r="G15" s="5"/>
      <c r="H15" s="16"/>
      <c r="I15" s="17" t="str">
        <f t="shared" si="0"/>
        <v/>
      </c>
    </row>
    <row r="16" spans="1:9" x14ac:dyDescent="0.25">
      <c r="A16" s="37"/>
      <c r="B16" s="34"/>
      <c r="C16" s="35"/>
      <c r="D16" s="35"/>
      <c r="E16" s="36"/>
      <c r="F16" s="36"/>
      <c r="G16" s="5"/>
      <c r="H16" s="16"/>
      <c r="I16" s="17" t="str">
        <f t="shared" si="0"/>
        <v/>
      </c>
    </row>
    <row r="17" spans="1:9" x14ac:dyDescent="0.25">
      <c r="A17" s="37"/>
      <c r="B17" s="34"/>
      <c r="C17" s="35"/>
      <c r="D17" s="35"/>
      <c r="E17" s="36"/>
      <c r="F17" s="36"/>
      <c r="G17" s="5"/>
      <c r="H17" s="16"/>
      <c r="I17" s="17" t="str">
        <f t="shared" si="0"/>
        <v/>
      </c>
    </row>
    <row r="19" spans="1:9" s="4" customFormat="1" ht="24" x14ac:dyDescent="0.25">
      <c r="A19" s="7" t="s">
        <v>14</v>
      </c>
      <c r="B19" s="7" t="s">
        <v>15</v>
      </c>
      <c r="C19" s="7" t="s">
        <v>25</v>
      </c>
      <c r="D19" s="7" t="s">
        <v>16</v>
      </c>
      <c r="E19" s="7" t="s">
        <v>17</v>
      </c>
      <c r="F19" s="7" t="s">
        <v>18</v>
      </c>
      <c r="G19" s="31" t="s">
        <v>19</v>
      </c>
      <c r="H19" s="31"/>
    </row>
    <row r="20" spans="1:9" x14ac:dyDescent="0.25">
      <c r="A20" s="8">
        <f>IF(B20&lt;2,"n/a",(_xlfn.STDEV.S(H3:H17)))</f>
        <v>2.5150460565696724</v>
      </c>
      <c r="B20" s="8">
        <f>COUNT(H3:H17)</f>
        <v>6</v>
      </c>
      <c r="C20" s="9">
        <f>IF(B20&lt;2,"n/a",(A20/D20))</f>
        <v>0.54913669357416428</v>
      </c>
      <c r="D20" s="10">
        <f>IFERROR(ROUND(AVERAGE(H3:H17),2),"")</f>
        <v>4.58</v>
      </c>
      <c r="E20" s="15">
        <f>IFERROR(ROUND(IF(B20&lt;2,"n/a",(IF(C20&lt;=25%,"n/a",AVERAGE(I3:I17)))),2),"n/a")</f>
        <v>3.82</v>
      </c>
      <c r="F20" s="10">
        <f>IFERROR(ROUND(MEDIAN(H3:H17),2),"")</f>
        <v>3.67</v>
      </c>
      <c r="G20" s="11" t="str">
        <f>IFERROR(INDEX(G3:G17,MATCH(H20,H3:H17,0)),"")</f>
        <v>COMERCIAL SPONCHIADO LTDA</v>
      </c>
      <c r="H20" s="12">
        <f>F3</f>
        <v>2.2999999999999998</v>
      </c>
    </row>
    <row r="22" spans="1:9" x14ac:dyDescent="0.25">
      <c r="G22" s="13" t="s">
        <v>20</v>
      </c>
      <c r="H22" s="14">
        <f>IF(C20&lt;=25%,D20,MIN(E20:F20))</f>
        <v>3.67</v>
      </c>
    </row>
    <row r="23" spans="1:9" x14ac:dyDescent="0.25">
      <c r="G23" s="13" t="s">
        <v>6</v>
      </c>
      <c r="H23" s="14">
        <f>ROUND(H22,2)*D3</f>
        <v>2546.98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12" sqref="G12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2" t="s">
        <v>8</v>
      </c>
      <c r="B1" s="32"/>
      <c r="C1" s="32"/>
      <c r="D1" s="32"/>
      <c r="E1" s="32"/>
      <c r="F1" s="32"/>
      <c r="G1" s="32"/>
      <c r="H1" s="32"/>
      <c r="I1" s="32"/>
    </row>
    <row r="2" spans="1:9" s="4" customFormat="1" ht="36" x14ac:dyDescent="0.25">
      <c r="A2" s="7" t="s">
        <v>1</v>
      </c>
      <c r="B2" s="7" t="s">
        <v>2</v>
      </c>
      <c r="C2" s="7" t="s">
        <v>3</v>
      </c>
      <c r="D2" s="7" t="s">
        <v>4</v>
      </c>
      <c r="E2" s="7" t="s">
        <v>9</v>
      </c>
      <c r="F2" s="7" t="s">
        <v>10</v>
      </c>
      <c r="G2" s="7" t="s">
        <v>11</v>
      </c>
      <c r="H2" s="7" t="s">
        <v>12</v>
      </c>
      <c r="I2" s="7" t="s">
        <v>13</v>
      </c>
    </row>
    <row r="3" spans="1:9" x14ac:dyDescent="0.25">
      <c r="A3" s="37">
        <v>26</v>
      </c>
      <c r="B3" s="33" t="s">
        <v>74</v>
      </c>
      <c r="C3" s="35" t="s">
        <v>7</v>
      </c>
      <c r="D3" s="35">
        <f>610+134</f>
        <v>744</v>
      </c>
      <c r="E3" s="36">
        <f>IF(C20&lt;=25%,D20,MIN(E20:F20))</f>
        <v>4.29</v>
      </c>
      <c r="F3" s="36">
        <f>MIN(H3:H17)</f>
        <v>2.5</v>
      </c>
      <c r="G3" s="5" t="s">
        <v>176</v>
      </c>
      <c r="H3" s="16">
        <v>6</v>
      </c>
      <c r="I3" s="17">
        <f>IF(H3="","",(IF($C$20&lt;25%,"n/a",IF(H3&lt;=($D$20+$A$20),H3,"Descartado"))))</f>
        <v>6</v>
      </c>
    </row>
    <row r="4" spans="1:9" x14ac:dyDescent="0.25">
      <c r="A4" s="37"/>
      <c r="B4" s="34"/>
      <c r="C4" s="35"/>
      <c r="D4" s="35"/>
      <c r="E4" s="36"/>
      <c r="F4" s="36"/>
      <c r="G4" s="5" t="s">
        <v>132</v>
      </c>
      <c r="H4" s="16">
        <v>3.84</v>
      </c>
      <c r="I4" s="17">
        <f t="shared" ref="I4:I17" si="0">IF(H4="","",(IF($C$20&lt;25%,"n/a",IF(H4&lt;=($D$20+$A$20),H4,"Descartado"))))</f>
        <v>3.84</v>
      </c>
    </row>
    <row r="5" spans="1:9" x14ac:dyDescent="0.25">
      <c r="A5" s="37"/>
      <c r="B5" s="34"/>
      <c r="C5" s="35"/>
      <c r="D5" s="35"/>
      <c r="E5" s="36"/>
      <c r="F5" s="36"/>
      <c r="G5" s="5" t="s">
        <v>175</v>
      </c>
      <c r="H5" s="16">
        <v>6.37</v>
      </c>
      <c r="I5" s="17">
        <f t="shared" si="0"/>
        <v>6.37</v>
      </c>
    </row>
    <row r="6" spans="1:9" x14ac:dyDescent="0.25">
      <c r="A6" s="37"/>
      <c r="B6" s="34"/>
      <c r="C6" s="35"/>
      <c r="D6" s="35"/>
      <c r="E6" s="36"/>
      <c r="F6" s="36"/>
      <c r="G6" s="5" t="s">
        <v>114</v>
      </c>
      <c r="H6" s="16">
        <v>3.05</v>
      </c>
      <c r="I6" s="17">
        <f t="shared" si="0"/>
        <v>3.05</v>
      </c>
    </row>
    <row r="7" spans="1:9" x14ac:dyDescent="0.25">
      <c r="A7" s="37"/>
      <c r="B7" s="34"/>
      <c r="C7" s="35"/>
      <c r="D7" s="35"/>
      <c r="E7" s="36"/>
      <c r="F7" s="36"/>
      <c r="G7" s="5" t="s">
        <v>177</v>
      </c>
      <c r="H7" s="16">
        <v>42.21</v>
      </c>
      <c r="I7" s="17" t="str">
        <f t="shared" si="0"/>
        <v>Descartado</v>
      </c>
    </row>
    <row r="8" spans="1:9" x14ac:dyDescent="0.25">
      <c r="A8" s="37"/>
      <c r="B8" s="34"/>
      <c r="C8" s="35"/>
      <c r="D8" s="35"/>
      <c r="E8" s="36"/>
      <c r="F8" s="36"/>
      <c r="G8" s="5" t="s">
        <v>178</v>
      </c>
      <c r="H8" s="16">
        <v>3.53</v>
      </c>
      <c r="I8" s="17">
        <f t="shared" si="0"/>
        <v>3.53</v>
      </c>
    </row>
    <row r="9" spans="1:9" x14ac:dyDescent="0.25">
      <c r="A9" s="37"/>
      <c r="B9" s="34"/>
      <c r="C9" s="35"/>
      <c r="D9" s="35"/>
      <c r="E9" s="36"/>
      <c r="F9" s="36"/>
      <c r="G9" s="5" t="s">
        <v>103</v>
      </c>
      <c r="H9" s="16">
        <v>2.5</v>
      </c>
      <c r="I9" s="17">
        <f t="shared" si="0"/>
        <v>2.5</v>
      </c>
    </row>
    <row r="10" spans="1:9" x14ac:dyDescent="0.25">
      <c r="A10" s="37"/>
      <c r="B10" s="34"/>
      <c r="C10" s="35"/>
      <c r="D10" s="35"/>
      <c r="E10" s="36"/>
      <c r="F10" s="36"/>
      <c r="G10" s="5" t="s">
        <v>179</v>
      </c>
      <c r="H10" s="16">
        <v>4.34</v>
      </c>
      <c r="I10" s="17">
        <f t="shared" si="0"/>
        <v>4.34</v>
      </c>
    </row>
    <row r="11" spans="1:9" x14ac:dyDescent="0.25">
      <c r="A11" s="37"/>
      <c r="B11" s="34"/>
      <c r="C11" s="35"/>
      <c r="D11" s="35"/>
      <c r="E11" s="36"/>
      <c r="F11" s="36"/>
      <c r="G11" s="5" t="s">
        <v>180</v>
      </c>
      <c r="H11" s="16">
        <v>4.67</v>
      </c>
      <c r="I11" s="17">
        <f t="shared" si="0"/>
        <v>4.67</v>
      </c>
    </row>
    <row r="12" spans="1:9" x14ac:dyDescent="0.25">
      <c r="A12" s="37"/>
      <c r="B12" s="34"/>
      <c r="C12" s="35"/>
      <c r="D12" s="35"/>
      <c r="E12" s="36"/>
      <c r="F12" s="36"/>
      <c r="G12" s="5"/>
      <c r="H12" s="16"/>
      <c r="I12" s="17" t="str">
        <f t="shared" si="0"/>
        <v/>
      </c>
    </row>
    <row r="13" spans="1:9" x14ac:dyDescent="0.25">
      <c r="A13" s="37"/>
      <c r="B13" s="34"/>
      <c r="C13" s="35"/>
      <c r="D13" s="35"/>
      <c r="E13" s="36"/>
      <c r="F13" s="36"/>
      <c r="G13" s="5"/>
      <c r="H13" s="16"/>
      <c r="I13" s="17" t="str">
        <f t="shared" si="0"/>
        <v/>
      </c>
    </row>
    <row r="14" spans="1:9" x14ac:dyDescent="0.25">
      <c r="A14" s="37"/>
      <c r="B14" s="34"/>
      <c r="C14" s="35"/>
      <c r="D14" s="35"/>
      <c r="E14" s="36"/>
      <c r="F14" s="36"/>
      <c r="G14" s="5"/>
      <c r="H14" s="16"/>
      <c r="I14" s="17" t="str">
        <f t="shared" si="0"/>
        <v/>
      </c>
    </row>
    <row r="15" spans="1:9" x14ac:dyDescent="0.25">
      <c r="A15" s="37"/>
      <c r="B15" s="34"/>
      <c r="C15" s="35"/>
      <c r="D15" s="35"/>
      <c r="E15" s="36"/>
      <c r="F15" s="36"/>
      <c r="G15" s="5"/>
      <c r="H15" s="16"/>
      <c r="I15" s="17" t="str">
        <f t="shared" si="0"/>
        <v/>
      </c>
    </row>
    <row r="16" spans="1:9" x14ac:dyDescent="0.25">
      <c r="A16" s="37"/>
      <c r="B16" s="34"/>
      <c r="C16" s="35"/>
      <c r="D16" s="35"/>
      <c r="E16" s="36"/>
      <c r="F16" s="36"/>
      <c r="G16" s="5"/>
      <c r="H16" s="16"/>
      <c r="I16" s="17" t="str">
        <f t="shared" si="0"/>
        <v/>
      </c>
    </row>
    <row r="17" spans="1:9" x14ac:dyDescent="0.25">
      <c r="A17" s="37"/>
      <c r="B17" s="34"/>
      <c r="C17" s="35"/>
      <c r="D17" s="35"/>
      <c r="E17" s="36"/>
      <c r="F17" s="36"/>
      <c r="G17" s="5"/>
      <c r="H17" s="16"/>
      <c r="I17" s="17" t="str">
        <f t="shared" si="0"/>
        <v/>
      </c>
    </row>
    <row r="19" spans="1:9" s="4" customFormat="1" ht="24" x14ac:dyDescent="0.25">
      <c r="A19" s="7" t="s">
        <v>14</v>
      </c>
      <c r="B19" s="7" t="s">
        <v>15</v>
      </c>
      <c r="C19" s="7" t="s">
        <v>25</v>
      </c>
      <c r="D19" s="7" t="s">
        <v>16</v>
      </c>
      <c r="E19" s="7" t="s">
        <v>17</v>
      </c>
      <c r="F19" s="7" t="s">
        <v>18</v>
      </c>
      <c r="G19" s="31" t="s">
        <v>19</v>
      </c>
      <c r="H19" s="31"/>
    </row>
    <row r="20" spans="1:9" x14ac:dyDescent="0.25">
      <c r="A20" s="8">
        <f>IF(B20&lt;2,"n/a",(_xlfn.STDEV.S(H3:H17)))</f>
        <v>12.704548835401875</v>
      </c>
      <c r="B20" s="8">
        <f>COUNT(H3:H17)</f>
        <v>9</v>
      </c>
      <c r="C20" s="9">
        <f>IF(B20&lt;2,"n/a",(A20/D20))</f>
        <v>1.4946528041649265</v>
      </c>
      <c r="D20" s="10">
        <f>IFERROR(ROUND(AVERAGE(H3:H17),2),"")</f>
        <v>8.5</v>
      </c>
      <c r="E20" s="15">
        <f>IFERROR(ROUND(IF(B20&lt;2,"n/a",(IF(C20&lt;=25%,"n/a",AVERAGE(I3:I17)))),2),"n/a")</f>
        <v>4.29</v>
      </c>
      <c r="F20" s="10">
        <f>IFERROR(ROUND(MEDIAN(H3:H17),2),"")</f>
        <v>4.34</v>
      </c>
      <c r="G20" s="11" t="str">
        <f>IFERROR(INDEX(G3:G17,MATCH(H20,H3:H17,0)),"")</f>
        <v>COMERCIAL SPONCHIADO LTDA</v>
      </c>
      <c r="H20" s="12">
        <f>F3</f>
        <v>2.5</v>
      </c>
    </row>
    <row r="22" spans="1:9" x14ac:dyDescent="0.25">
      <c r="G22" s="13" t="s">
        <v>20</v>
      </c>
      <c r="H22" s="14">
        <f>IF(C20&lt;=25%,D20,MIN(E20:F20))</f>
        <v>4.29</v>
      </c>
    </row>
    <row r="23" spans="1:9" x14ac:dyDescent="0.25">
      <c r="G23" s="13" t="s">
        <v>6</v>
      </c>
      <c r="H23" s="14">
        <f>ROUND(H22,2)*D3</f>
        <v>3191.76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11" sqref="G11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2" t="s">
        <v>8</v>
      </c>
      <c r="B1" s="32"/>
      <c r="C1" s="32"/>
      <c r="D1" s="32"/>
      <c r="E1" s="32"/>
      <c r="F1" s="32"/>
      <c r="G1" s="32"/>
      <c r="H1" s="32"/>
      <c r="I1" s="32"/>
    </row>
    <row r="2" spans="1:9" s="4" customFormat="1" ht="36" x14ac:dyDescent="0.25">
      <c r="A2" s="7" t="s">
        <v>1</v>
      </c>
      <c r="B2" s="7" t="s">
        <v>2</v>
      </c>
      <c r="C2" s="7" t="s">
        <v>3</v>
      </c>
      <c r="D2" s="7" t="s">
        <v>4</v>
      </c>
      <c r="E2" s="7" t="s">
        <v>9</v>
      </c>
      <c r="F2" s="7" t="s">
        <v>10</v>
      </c>
      <c r="G2" s="7" t="s">
        <v>11</v>
      </c>
      <c r="H2" s="7" t="s">
        <v>12</v>
      </c>
      <c r="I2" s="7" t="s">
        <v>13</v>
      </c>
    </row>
    <row r="3" spans="1:9" x14ac:dyDescent="0.25">
      <c r="A3" s="37">
        <v>27</v>
      </c>
      <c r="B3" s="33" t="s">
        <v>75</v>
      </c>
      <c r="C3" s="35" t="s">
        <v>7</v>
      </c>
      <c r="D3" s="35">
        <v>30</v>
      </c>
      <c r="E3" s="36">
        <f>IF(C20&lt;=25%,D20,MIN(E20:F20))</f>
        <v>2.2999999999999998</v>
      </c>
      <c r="F3" s="36">
        <f>MIN(H3:H17)</f>
        <v>1.2</v>
      </c>
      <c r="G3" s="5" t="s">
        <v>181</v>
      </c>
      <c r="H3" s="16">
        <v>1.58</v>
      </c>
      <c r="I3" s="17">
        <f>IF(H3="","",(IF($C$20&lt;25%,"n/a",IF(H3&lt;=($D$20+$A$20),H3,"Descartado"))))</f>
        <v>1.58</v>
      </c>
    </row>
    <row r="4" spans="1:9" x14ac:dyDescent="0.25">
      <c r="A4" s="37"/>
      <c r="B4" s="34"/>
      <c r="C4" s="35"/>
      <c r="D4" s="35"/>
      <c r="E4" s="36"/>
      <c r="F4" s="36"/>
      <c r="G4" s="5" t="s">
        <v>182</v>
      </c>
      <c r="H4" s="16">
        <v>3.39</v>
      </c>
      <c r="I4" s="17">
        <f t="shared" ref="I4:I17" si="0">IF(H4="","",(IF($C$20&lt;25%,"n/a",IF(H4&lt;=($D$20+$A$20),H4,"Descartado"))))</f>
        <v>3.39</v>
      </c>
    </row>
    <row r="5" spans="1:9" x14ac:dyDescent="0.25">
      <c r="A5" s="37"/>
      <c r="B5" s="34"/>
      <c r="C5" s="35"/>
      <c r="D5" s="35"/>
      <c r="E5" s="36"/>
      <c r="F5" s="36"/>
      <c r="G5" s="5" t="s">
        <v>183</v>
      </c>
      <c r="H5" s="16">
        <v>2.4</v>
      </c>
      <c r="I5" s="17">
        <f t="shared" si="0"/>
        <v>2.4</v>
      </c>
    </row>
    <row r="6" spans="1:9" x14ac:dyDescent="0.25">
      <c r="A6" s="37"/>
      <c r="B6" s="34"/>
      <c r="C6" s="35"/>
      <c r="D6" s="35"/>
      <c r="E6" s="36"/>
      <c r="F6" s="36"/>
      <c r="G6" s="5" t="s">
        <v>184</v>
      </c>
      <c r="H6" s="16">
        <v>2.2999999999999998</v>
      </c>
      <c r="I6" s="17">
        <f t="shared" si="0"/>
        <v>2.2999999999999998</v>
      </c>
    </row>
    <row r="7" spans="1:9" x14ac:dyDescent="0.25">
      <c r="A7" s="37"/>
      <c r="B7" s="34"/>
      <c r="C7" s="35"/>
      <c r="D7" s="35"/>
      <c r="E7" s="36"/>
      <c r="F7" s="36"/>
      <c r="G7" s="5" t="s">
        <v>185</v>
      </c>
      <c r="H7" s="16">
        <v>1.2</v>
      </c>
      <c r="I7" s="17">
        <f t="shared" si="0"/>
        <v>1.2</v>
      </c>
    </row>
    <row r="8" spans="1:9" x14ac:dyDescent="0.25">
      <c r="A8" s="37"/>
      <c r="B8" s="34"/>
      <c r="C8" s="35"/>
      <c r="D8" s="35"/>
      <c r="E8" s="36"/>
      <c r="F8" s="36"/>
      <c r="G8" s="5" t="s">
        <v>186</v>
      </c>
      <c r="H8" s="16">
        <v>3</v>
      </c>
      <c r="I8" s="17">
        <f t="shared" si="0"/>
        <v>3</v>
      </c>
    </row>
    <row r="9" spans="1:9" x14ac:dyDescent="0.25">
      <c r="A9" s="37"/>
      <c r="B9" s="34"/>
      <c r="C9" s="35"/>
      <c r="D9" s="35"/>
      <c r="E9" s="36"/>
      <c r="F9" s="36"/>
      <c r="G9" s="5" t="s">
        <v>114</v>
      </c>
      <c r="H9" s="16">
        <v>4.24</v>
      </c>
      <c r="I9" s="17" t="str">
        <f t="shared" si="0"/>
        <v>Descartado</v>
      </c>
    </row>
    <row r="10" spans="1:9" x14ac:dyDescent="0.25">
      <c r="A10" s="37"/>
      <c r="B10" s="34"/>
      <c r="C10" s="35"/>
      <c r="D10" s="35"/>
      <c r="E10" s="36"/>
      <c r="F10" s="36"/>
      <c r="G10" s="5" t="s">
        <v>187</v>
      </c>
      <c r="H10" s="16">
        <v>2.2000000000000002</v>
      </c>
      <c r="I10" s="17">
        <f t="shared" si="0"/>
        <v>2.2000000000000002</v>
      </c>
    </row>
    <row r="11" spans="1:9" x14ac:dyDescent="0.25">
      <c r="A11" s="37"/>
      <c r="B11" s="34"/>
      <c r="C11" s="35"/>
      <c r="D11" s="35"/>
      <c r="E11" s="36"/>
      <c r="F11" s="36"/>
      <c r="G11" s="5"/>
      <c r="H11" s="16"/>
      <c r="I11" s="17" t="str">
        <f t="shared" si="0"/>
        <v/>
      </c>
    </row>
    <row r="12" spans="1:9" x14ac:dyDescent="0.25">
      <c r="A12" s="37"/>
      <c r="B12" s="34"/>
      <c r="C12" s="35"/>
      <c r="D12" s="35"/>
      <c r="E12" s="36"/>
      <c r="F12" s="36"/>
      <c r="G12" s="5"/>
      <c r="H12" s="16"/>
      <c r="I12" s="17" t="str">
        <f t="shared" si="0"/>
        <v/>
      </c>
    </row>
    <row r="13" spans="1:9" x14ac:dyDescent="0.25">
      <c r="A13" s="37"/>
      <c r="B13" s="34"/>
      <c r="C13" s="35"/>
      <c r="D13" s="35"/>
      <c r="E13" s="36"/>
      <c r="F13" s="36"/>
      <c r="G13" s="5"/>
      <c r="H13" s="16"/>
      <c r="I13" s="17" t="str">
        <f t="shared" si="0"/>
        <v/>
      </c>
    </row>
    <row r="14" spans="1:9" x14ac:dyDescent="0.25">
      <c r="A14" s="37"/>
      <c r="B14" s="34"/>
      <c r="C14" s="35"/>
      <c r="D14" s="35"/>
      <c r="E14" s="36"/>
      <c r="F14" s="36"/>
      <c r="G14" s="5"/>
      <c r="H14" s="16"/>
      <c r="I14" s="17" t="str">
        <f t="shared" si="0"/>
        <v/>
      </c>
    </row>
    <row r="15" spans="1:9" x14ac:dyDescent="0.25">
      <c r="A15" s="37"/>
      <c r="B15" s="34"/>
      <c r="C15" s="35"/>
      <c r="D15" s="35"/>
      <c r="E15" s="36"/>
      <c r="F15" s="36"/>
      <c r="G15" s="5"/>
      <c r="H15" s="16"/>
      <c r="I15" s="17" t="str">
        <f t="shared" si="0"/>
        <v/>
      </c>
    </row>
    <row r="16" spans="1:9" x14ac:dyDescent="0.25">
      <c r="A16" s="37"/>
      <c r="B16" s="34"/>
      <c r="C16" s="35"/>
      <c r="D16" s="35"/>
      <c r="E16" s="36"/>
      <c r="F16" s="36"/>
      <c r="G16" s="5"/>
      <c r="H16" s="16"/>
      <c r="I16" s="17" t="str">
        <f t="shared" si="0"/>
        <v/>
      </c>
    </row>
    <row r="17" spans="1:9" x14ac:dyDescent="0.25">
      <c r="A17" s="37"/>
      <c r="B17" s="34"/>
      <c r="C17" s="35"/>
      <c r="D17" s="35"/>
      <c r="E17" s="36"/>
      <c r="F17" s="36"/>
      <c r="G17" s="5"/>
      <c r="H17" s="16"/>
      <c r="I17" s="17" t="str">
        <f t="shared" si="0"/>
        <v/>
      </c>
    </row>
    <row r="19" spans="1:9" s="4" customFormat="1" ht="24" x14ac:dyDescent="0.25">
      <c r="A19" s="7" t="s">
        <v>14</v>
      </c>
      <c r="B19" s="7" t="s">
        <v>15</v>
      </c>
      <c r="C19" s="7" t="s">
        <v>25</v>
      </c>
      <c r="D19" s="7" t="s">
        <v>16</v>
      </c>
      <c r="E19" s="7" t="s">
        <v>17</v>
      </c>
      <c r="F19" s="7" t="s">
        <v>18</v>
      </c>
      <c r="G19" s="31" t="s">
        <v>19</v>
      </c>
      <c r="H19" s="31"/>
    </row>
    <row r="20" spans="1:9" x14ac:dyDescent="0.25">
      <c r="A20" s="8">
        <f>IF(B20&lt;2,"n/a",(_xlfn.STDEV.S(H3:H17)))</f>
        <v>0.98082235904367576</v>
      </c>
      <c r="B20" s="8">
        <f>COUNT(H3:H17)</f>
        <v>8</v>
      </c>
      <c r="C20" s="9">
        <f>IF(B20&lt;2,"n/a",(A20/D20))</f>
        <v>0.38615053505656527</v>
      </c>
      <c r="D20" s="10">
        <f>IFERROR(ROUND(AVERAGE(H3:H17),2),"")</f>
        <v>2.54</v>
      </c>
      <c r="E20" s="15">
        <f>IFERROR(ROUND(IF(B20&lt;2,"n/a",(IF(C20&lt;=25%,"n/a",AVERAGE(I3:I17)))),2),"n/a")</f>
        <v>2.2999999999999998</v>
      </c>
      <c r="F20" s="10">
        <f>IFERROR(ROUND(MEDIAN(H3:H17),2),"")</f>
        <v>2.35</v>
      </c>
      <c r="G20" s="11" t="str">
        <f>IFERROR(INDEX(G3:G17,MATCH(H20,H3:H17,0)),"")</f>
        <v>FOX STORE LTDA</v>
      </c>
      <c r="H20" s="12">
        <f>F3</f>
        <v>1.2</v>
      </c>
    </row>
    <row r="22" spans="1:9" x14ac:dyDescent="0.25">
      <c r="G22" s="13" t="s">
        <v>20</v>
      </c>
      <c r="H22" s="14">
        <f>IF(C20&lt;=25%,D20,MIN(E20:F20))</f>
        <v>2.2999999999999998</v>
      </c>
    </row>
    <row r="23" spans="1:9" x14ac:dyDescent="0.25">
      <c r="G23" s="13" t="s">
        <v>6</v>
      </c>
      <c r="H23" s="14">
        <f>ROUND(H22,2)*D3</f>
        <v>69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H13" sqref="H13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2" t="s">
        <v>8</v>
      </c>
      <c r="B1" s="32"/>
      <c r="C1" s="32"/>
      <c r="D1" s="32"/>
      <c r="E1" s="32"/>
      <c r="F1" s="32"/>
      <c r="G1" s="32"/>
      <c r="H1" s="32"/>
      <c r="I1" s="32"/>
    </row>
    <row r="2" spans="1:9" s="4" customFormat="1" ht="36" x14ac:dyDescent="0.25">
      <c r="A2" s="26" t="s">
        <v>1</v>
      </c>
      <c r="B2" s="26" t="s">
        <v>2</v>
      </c>
      <c r="C2" s="26" t="s">
        <v>3</v>
      </c>
      <c r="D2" s="26" t="s">
        <v>4</v>
      </c>
      <c r="E2" s="26" t="s">
        <v>9</v>
      </c>
      <c r="F2" s="26" t="s">
        <v>10</v>
      </c>
      <c r="G2" s="26" t="s">
        <v>11</v>
      </c>
      <c r="H2" s="26" t="s">
        <v>12</v>
      </c>
      <c r="I2" s="26" t="s">
        <v>13</v>
      </c>
    </row>
    <row r="3" spans="1:9" x14ac:dyDescent="0.25">
      <c r="A3" s="37">
        <v>28</v>
      </c>
      <c r="B3" s="33" t="s">
        <v>76</v>
      </c>
      <c r="C3" s="35" t="s">
        <v>7</v>
      </c>
      <c r="D3" s="35">
        <v>80</v>
      </c>
      <c r="E3" s="36">
        <f>IF(C20&lt;=25%,D20,MIN(E20:F20))</f>
        <v>2.77</v>
      </c>
      <c r="F3" s="36">
        <f>MIN(H3:H17)</f>
        <v>1.1599999999999999</v>
      </c>
      <c r="G3" s="5" t="s">
        <v>188</v>
      </c>
      <c r="H3" s="16">
        <v>3.5</v>
      </c>
      <c r="I3" s="17">
        <f>IF(H3="","",(IF($C$20&lt;25%,"n/a",IF(H3&lt;=($D$20+$A$20),H3,"Descartado"))))</f>
        <v>3.5</v>
      </c>
    </row>
    <row r="4" spans="1:9" x14ac:dyDescent="0.25">
      <c r="A4" s="37"/>
      <c r="B4" s="34"/>
      <c r="C4" s="35"/>
      <c r="D4" s="35"/>
      <c r="E4" s="36"/>
      <c r="F4" s="36"/>
      <c r="G4" s="5" t="s">
        <v>114</v>
      </c>
      <c r="H4" s="16">
        <v>2.15</v>
      </c>
      <c r="I4" s="17">
        <f t="shared" ref="I4:I17" si="0">IF(H4="","",(IF($C$20&lt;25%,"n/a",IF(H4&lt;=($D$20+$A$20),H4,"Descartado"))))</f>
        <v>2.15</v>
      </c>
    </row>
    <row r="5" spans="1:9" x14ac:dyDescent="0.25">
      <c r="A5" s="37"/>
      <c r="B5" s="34"/>
      <c r="C5" s="35"/>
      <c r="D5" s="35"/>
      <c r="E5" s="36"/>
      <c r="F5" s="36"/>
      <c r="G5" s="5" t="s">
        <v>189</v>
      </c>
      <c r="H5" s="16">
        <v>1.82</v>
      </c>
      <c r="I5" s="17">
        <f t="shared" si="0"/>
        <v>1.82</v>
      </c>
    </row>
    <row r="6" spans="1:9" x14ac:dyDescent="0.25">
      <c r="A6" s="37"/>
      <c r="B6" s="34"/>
      <c r="C6" s="35"/>
      <c r="D6" s="35"/>
      <c r="E6" s="36"/>
      <c r="F6" s="36"/>
      <c r="G6" s="5" t="s">
        <v>179</v>
      </c>
      <c r="H6" s="16">
        <v>5.9</v>
      </c>
      <c r="I6" s="17">
        <f t="shared" si="0"/>
        <v>5.9</v>
      </c>
    </row>
    <row r="7" spans="1:9" x14ac:dyDescent="0.25">
      <c r="A7" s="37"/>
      <c r="B7" s="34"/>
      <c r="C7" s="35"/>
      <c r="D7" s="35"/>
      <c r="E7" s="36"/>
      <c r="F7" s="36"/>
      <c r="G7" s="5" t="s">
        <v>190</v>
      </c>
      <c r="H7" s="16">
        <v>3.5</v>
      </c>
      <c r="I7" s="17">
        <f t="shared" si="0"/>
        <v>3.5</v>
      </c>
    </row>
    <row r="8" spans="1:9" x14ac:dyDescent="0.25">
      <c r="A8" s="37"/>
      <c r="B8" s="34"/>
      <c r="C8" s="35"/>
      <c r="D8" s="35"/>
      <c r="E8" s="36"/>
      <c r="F8" s="36"/>
      <c r="G8" s="5" t="s">
        <v>191</v>
      </c>
      <c r="H8" s="16">
        <v>7.4</v>
      </c>
      <c r="I8" s="17" t="str">
        <f t="shared" si="0"/>
        <v>Descartado</v>
      </c>
    </row>
    <row r="9" spans="1:9" x14ac:dyDescent="0.25">
      <c r="A9" s="37"/>
      <c r="B9" s="34"/>
      <c r="C9" s="35"/>
      <c r="D9" s="35"/>
      <c r="E9" s="36"/>
      <c r="F9" s="36"/>
      <c r="G9" s="5" t="s">
        <v>101</v>
      </c>
      <c r="H9" s="16">
        <v>8.35</v>
      </c>
      <c r="I9" s="17" t="str">
        <f t="shared" si="0"/>
        <v>Descartado</v>
      </c>
    </row>
    <row r="10" spans="1:9" x14ac:dyDescent="0.25">
      <c r="A10" s="37"/>
      <c r="B10" s="34"/>
      <c r="C10" s="35"/>
      <c r="D10" s="35"/>
      <c r="E10" s="36"/>
      <c r="F10" s="36"/>
      <c r="G10" s="5" t="s">
        <v>192</v>
      </c>
      <c r="H10" s="16">
        <v>1.25</v>
      </c>
      <c r="I10" s="17">
        <f t="shared" si="0"/>
        <v>1.25</v>
      </c>
    </row>
    <row r="11" spans="1:9" x14ac:dyDescent="0.25">
      <c r="A11" s="37"/>
      <c r="B11" s="34"/>
      <c r="C11" s="35"/>
      <c r="D11" s="35"/>
      <c r="E11" s="36"/>
      <c r="F11" s="36"/>
      <c r="G11" s="5" t="s">
        <v>193</v>
      </c>
      <c r="H11" s="16">
        <v>2.8767999999999998</v>
      </c>
      <c r="I11" s="17">
        <f t="shared" si="0"/>
        <v>2.8767999999999998</v>
      </c>
    </row>
    <row r="12" spans="1:9" x14ac:dyDescent="0.25">
      <c r="A12" s="37"/>
      <c r="B12" s="34"/>
      <c r="C12" s="35"/>
      <c r="D12" s="35"/>
      <c r="E12" s="36"/>
      <c r="F12" s="36"/>
      <c r="G12" s="5" t="s">
        <v>183</v>
      </c>
      <c r="H12" s="16">
        <v>1.1599999999999999</v>
      </c>
      <c r="I12" s="17">
        <f t="shared" si="0"/>
        <v>1.1599999999999999</v>
      </c>
    </row>
    <row r="13" spans="1:9" x14ac:dyDescent="0.25">
      <c r="A13" s="37"/>
      <c r="B13" s="34"/>
      <c r="C13" s="35"/>
      <c r="D13" s="35"/>
      <c r="E13" s="36"/>
      <c r="F13" s="36"/>
      <c r="G13" s="5"/>
      <c r="H13" s="16"/>
      <c r="I13" s="17" t="str">
        <f t="shared" si="0"/>
        <v/>
      </c>
    </row>
    <row r="14" spans="1:9" x14ac:dyDescent="0.25">
      <c r="A14" s="37"/>
      <c r="B14" s="34"/>
      <c r="C14" s="35"/>
      <c r="D14" s="35"/>
      <c r="E14" s="36"/>
      <c r="F14" s="36"/>
      <c r="G14" s="5"/>
      <c r="H14" s="16"/>
      <c r="I14" s="17" t="str">
        <f t="shared" si="0"/>
        <v/>
      </c>
    </row>
    <row r="15" spans="1:9" x14ac:dyDescent="0.25">
      <c r="A15" s="37"/>
      <c r="B15" s="34"/>
      <c r="C15" s="35"/>
      <c r="D15" s="35"/>
      <c r="E15" s="36"/>
      <c r="F15" s="36"/>
      <c r="G15" s="5"/>
      <c r="H15" s="16"/>
      <c r="I15" s="17" t="str">
        <f t="shared" si="0"/>
        <v/>
      </c>
    </row>
    <row r="16" spans="1:9" x14ac:dyDescent="0.25">
      <c r="A16" s="37"/>
      <c r="B16" s="34"/>
      <c r="C16" s="35"/>
      <c r="D16" s="35"/>
      <c r="E16" s="36"/>
      <c r="F16" s="36"/>
      <c r="G16" s="5"/>
      <c r="H16" s="16"/>
      <c r="I16" s="17" t="str">
        <f t="shared" si="0"/>
        <v/>
      </c>
    </row>
    <row r="17" spans="1:9" x14ac:dyDescent="0.25">
      <c r="A17" s="37"/>
      <c r="B17" s="34"/>
      <c r="C17" s="35"/>
      <c r="D17" s="35"/>
      <c r="E17" s="36"/>
      <c r="F17" s="36"/>
      <c r="G17" s="5"/>
      <c r="H17" s="16"/>
      <c r="I17" s="17" t="str">
        <f t="shared" si="0"/>
        <v/>
      </c>
    </row>
    <row r="19" spans="1:9" s="4" customFormat="1" ht="24" x14ac:dyDescent="0.25">
      <c r="A19" s="26" t="s">
        <v>14</v>
      </c>
      <c r="B19" s="26" t="s">
        <v>15</v>
      </c>
      <c r="C19" s="26" t="s">
        <v>25</v>
      </c>
      <c r="D19" s="26" t="s">
        <v>16</v>
      </c>
      <c r="E19" s="26" t="s">
        <v>17</v>
      </c>
      <c r="F19" s="26" t="s">
        <v>18</v>
      </c>
      <c r="G19" s="31" t="s">
        <v>19</v>
      </c>
      <c r="H19" s="31"/>
    </row>
    <row r="20" spans="1:9" x14ac:dyDescent="0.25">
      <c r="A20" s="8">
        <f>IF(B20&lt;2,"n/a",(_xlfn.STDEV.S(H3:H17)))</f>
        <v>2.5651278853976147</v>
      </c>
      <c r="B20" s="8">
        <f>COUNT(H3:H17)</f>
        <v>10</v>
      </c>
      <c r="C20" s="9">
        <f>IF(B20&lt;2,"n/a",(A20/D20))</f>
        <v>0.67681474548749732</v>
      </c>
      <c r="D20" s="10">
        <f>IFERROR(ROUND(AVERAGE(H3:H17),2),"")</f>
        <v>3.79</v>
      </c>
      <c r="E20" s="15">
        <f>IFERROR(ROUND(IF(B20&lt;2,"n/a",(IF(C20&lt;=25%,"n/a",AVERAGE(I3:I17)))),2),"n/a")</f>
        <v>2.77</v>
      </c>
      <c r="F20" s="10">
        <f>IFERROR(ROUND(MEDIAN(H3:H17),2),"")</f>
        <v>3.19</v>
      </c>
      <c r="G20" s="11" t="str">
        <f>IFERROR(INDEX(G3:G17,MATCH(H20,H3:H17,0)),"")</f>
        <v>ELETRICA CIDADE LTDA</v>
      </c>
      <c r="H20" s="12">
        <f>F3</f>
        <v>1.1599999999999999</v>
      </c>
    </row>
    <row r="22" spans="1:9" x14ac:dyDescent="0.25">
      <c r="G22" s="13" t="s">
        <v>20</v>
      </c>
      <c r="H22" s="14">
        <f>IF(C20&lt;=25%,D20,MIN(E20:F20))</f>
        <v>2.77</v>
      </c>
    </row>
    <row r="23" spans="1:9" x14ac:dyDescent="0.25">
      <c r="G23" s="13" t="s">
        <v>6</v>
      </c>
      <c r="H23" s="14">
        <f>ROUND(H22,2)*D3</f>
        <v>221.6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7" sqref="G7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2" t="s">
        <v>8</v>
      </c>
      <c r="B1" s="32"/>
      <c r="C1" s="32"/>
      <c r="D1" s="32"/>
      <c r="E1" s="32"/>
      <c r="F1" s="32"/>
      <c r="G1" s="32"/>
      <c r="H1" s="32"/>
      <c r="I1" s="32"/>
    </row>
    <row r="2" spans="1:9" s="4" customFormat="1" ht="36" x14ac:dyDescent="0.25">
      <c r="A2" s="26" t="s">
        <v>1</v>
      </c>
      <c r="B2" s="26" t="s">
        <v>2</v>
      </c>
      <c r="C2" s="26" t="s">
        <v>3</v>
      </c>
      <c r="D2" s="26" t="s">
        <v>4</v>
      </c>
      <c r="E2" s="26" t="s">
        <v>9</v>
      </c>
      <c r="F2" s="26" t="s">
        <v>10</v>
      </c>
      <c r="G2" s="26" t="s">
        <v>11</v>
      </c>
      <c r="H2" s="26" t="s">
        <v>12</v>
      </c>
      <c r="I2" s="26" t="s">
        <v>13</v>
      </c>
    </row>
    <row r="3" spans="1:9" x14ac:dyDescent="0.25">
      <c r="A3" s="37">
        <v>29</v>
      </c>
      <c r="B3" s="33" t="s">
        <v>77</v>
      </c>
      <c r="C3" s="35" t="s">
        <v>7</v>
      </c>
      <c r="D3" s="35">
        <v>90</v>
      </c>
      <c r="E3" s="36">
        <f>IF(C20&lt;=25%,D20,MIN(E20:F20))</f>
        <v>5.04</v>
      </c>
      <c r="F3" s="36">
        <f>MIN(H3:H17)</f>
        <v>3.4</v>
      </c>
      <c r="G3" s="5" t="s">
        <v>194</v>
      </c>
      <c r="H3" s="16">
        <v>8.1300000000000008</v>
      </c>
      <c r="I3" s="17">
        <f>IF(H3="","",(IF($C$20&lt;25%,"n/a",IF(H3&lt;=($D$20+$A$20),H3,"Descartado"))))</f>
        <v>8.1300000000000008</v>
      </c>
    </row>
    <row r="4" spans="1:9" x14ac:dyDescent="0.25">
      <c r="A4" s="37"/>
      <c r="B4" s="34"/>
      <c r="C4" s="35"/>
      <c r="D4" s="35"/>
      <c r="E4" s="36"/>
      <c r="F4" s="36"/>
      <c r="G4" s="5" t="s">
        <v>139</v>
      </c>
      <c r="H4" s="16">
        <v>3.4</v>
      </c>
      <c r="I4" s="17">
        <f t="shared" ref="I4:I17" si="0">IF(H4="","",(IF($C$20&lt;25%,"n/a",IF(H4&lt;=($D$20+$A$20),H4,"Descartado"))))</f>
        <v>3.4</v>
      </c>
    </row>
    <row r="5" spans="1:9" x14ac:dyDescent="0.25">
      <c r="A5" s="37"/>
      <c r="B5" s="34"/>
      <c r="C5" s="35"/>
      <c r="D5" s="35"/>
      <c r="E5" s="36"/>
      <c r="F5" s="36"/>
      <c r="G5" s="5" t="s">
        <v>195</v>
      </c>
      <c r="H5" s="16">
        <v>3.6</v>
      </c>
      <c r="I5" s="17">
        <f t="shared" si="0"/>
        <v>3.6</v>
      </c>
    </row>
    <row r="6" spans="1:9" x14ac:dyDescent="0.25">
      <c r="A6" s="37"/>
      <c r="B6" s="34"/>
      <c r="C6" s="35"/>
      <c r="D6" s="35"/>
      <c r="E6" s="36"/>
      <c r="F6" s="36"/>
      <c r="G6" s="5" t="s">
        <v>196</v>
      </c>
      <c r="H6" s="16">
        <v>12.29</v>
      </c>
      <c r="I6" s="17" t="str">
        <f t="shared" si="0"/>
        <v>Descartado</v>
      </c>
    </row>
    <row r="7" spans="1:9" x14ac:dyDescent="0.25">
      <c r="A7" s="37"/>
      <c r="B7" s="34"/>
      <c r="C7" s="35"/>
      <c r="D7" s="35"/>
      <c r="E7" s="36"/>
      <c r="F7" s="36"/>
      <c r="G7" s="5"/>
      <c r="H7" s="16"/>
      <c r="I7" s="17" t="str">
        <f t="shared" si="0"/>
        <v/>
      </c>
    </row>
    <row r="8" spans="1:9" x14ac:dyDescent="0.25">
      <c r="A8" s="37"/>
      <c r="B8" s="34"/>
      <c r="C8" s="35"/>
      <c r="D8" s="35"/>
      <c r="E8" s="36"/>
      <c r="F8" s="36"/>
      <c r="G8" s="5"/>
      <c r="H8" s="16"/>
      <c r="I8" s="17" t="str">
        <f t="shared" si="0"/>
        <v/>
      </c>
    </row>
    <row r="9" spans="1:9" x14ac:dyDescent="0.25">
      <c r="A9" s="37"/>
      <c r="B9" s="34"/>
      <c r="C9" s="35"/>
      <c r="D9" s="35"/>
      <c r="E9" s="36"/>
      <c r="F9" s="36"/>
      <c r="G9" s="5"/>
      <c r="H9" s="16"/>
      <c r="I9" s="17" t="str">
        <f t="shared" si="0"/>
        <v/>
      </c>
    </row>
    <row r="10" spans="1:9" x14ac:dyDescent="0.25">
      <c r="A10" s="37"/>
      <c r="B10" s="34"/>
      <c r="C10" s="35"/>
      <c r="D10" s="35"/>
      <c r="E10" s="36"/>
      <c r="F10" s="36"/>
      <c r="G10" s="5"/>
      <c r="H10" s="16"/>
      <c r="I10" s="17" t="str">
        <f t="shared" si="0"/>
        <v/>
      </c>
    </row>
    <row r="11" spans="1:9" x14ac:dyDescent="0.25">
      <c r="A11" s="37"/>
      <c r="B11" s="34"/>
      <c r="C11" s="35"/>
      <c r="D11" s="35"/>
      <c r="E11" s="36"/>
      <c r="F11" s="36"/>
      <c r="G11" s="5"/>
      <c r="H11" s="16"/>
      <c r="I11" s="17" t="str">
        <f t="shared" si="0"/>
        <v/>
      </c>
    </row>
    <row r="12" spans="1:9" x14ac:dyDescent="0.25">
      <c r="A12" s="37"/>
      <c r="B12" s="34"/>
      <c r="C12" s="35"/>
      <c r="D12" s="35"/>
      <c r="E12" s="36"/>
      <c r="F12" s="36"/>
      <c r="G12" s="5"/>
      <c r="H12" s="16"/>
      <c r="I12" s="17" t="str">
        <f t="shared" si="0"/>
        <v/>
      </c>
    </row>
    <row r="13" spans="1:9" x14ac:dyDescent="0.25">
      <c r="A13" s="37"/>
      <c r="B13" s="34"/>
      <c r="C13" s="35"/>
      <c r="D13" s="35"/>
      <c r="E13" s="36"/>
      <c r="F13" s="36"/>
      <c r="G13" s="5"/>
      <c r="H13" s="16"/>
      <c r="I13" s="17" t="str">
        <f t="shared" si="0"/>
        <v/>
      </c>
    </row>
    <row r="14" spans="1:9" x14ac:dyDescent="0.25">
      <c r="A14" s="37"/>
      <c r="B14" s="34"/>
      <c r="C14" s="35"/>
      <c r="D14" s="35"/>
      <c r="E14" s="36"/>
      <c r="F14" s="36"/>
      <c r="G14" s="5"/>
      <c r="H14" s="16"/>
      <c r="I14" s="17" t="str">
        <f t="shared" si="0"/>
        <v/>
      </c>
    </row>
    <row r="15" spans="1:9" x14ac:dyDescent="0.25">
      <c r="A15" s="37"/>
      <c r="B15" s="34"/>
      <c r="C15" s="35"/>
      <c r="D15" s="35"/>
      <c r="E15" s="36"/>
      <c r="F15" s="36"/>
      <c r="G15" s="5"/>
      <c r="H15" s="16"/>
      <c r="I15" s="17" t="str">
        <f t="shared" si="0"/>
        <v/>
      </c>
    </row>
    <row r="16" spans="1:9" x14ac:dyDescent="0.25">
      <c r="A16" s="37"/>
      <c r="B16" s="34"/>
      <c r="C16" s="35"/>
      <c r="D16" s="35"/>
      <c r="E16" s="36"/>
      <c r="F16" s="36"/>
      <c r="G16" s="5"/>
      <c r="H16" s="16"/>
      <c r="I16" s="17" t="str">
        <f t="shared" si="0"/>
        <v/>
      </c>
    </row>
    <row r="17" spans="1:9" x14ac:dyDescent="0.25">
      <c r="A17" s="37"/>
      <c r="B17" s="34"/>
      <c r="C17" s="35"/>
      <c r="D17" s="35"/>
      <c r="E17" s="36"/>
      <c r="F17" s="36"/>
      <c r="G17" s="5"/>
      <c r="H17" s="16"/>
      <c r="I17" s="17" t="str">
        <f t="shared" si="0"/>
        <v/>
      </c>
    </row>
    <row r="19" spans="1:9" s="4" customFormat="1" ht="24" x14ac:dyDescent="0.25">
      <c r="A19" s="26" t="s">
        <v>14</v>
      </c>
      <c r="B19" s="26" t="s">
        <v>15</v>
      </c>
      <c r="C19" s="26" t="s">
        <v>25</v>
      </c>
      <c r="D19" s="26" t="s">
        <v>16</v>
      </c>
      <c r="E19" s="26" t="s">
        <v>17</v>
      </c>
      <c r="F19" s="26" t="s">
        <v>18</v>
      </c>
      <c r="G19" s="31" t="s">
        <v>19</v>
      </c>
      <c r="H19" s="31"/>
    </row>
    <row r="20" spans="1:9" x14ac:dyDescent="0.25">
      <c r="A20" s="8">
        <f>IF(B20&lt;2,"n/a",(_xlfn.STDEV.S(H3:H17)))</f>
        <v>4.2307170393051168</v>
      </c>
      <c r="B20" s="8">
        <f>COUNT(H3:H17)</f>
        <v>4</v>
      </c>
      <c r="C20" s="9">
        <f>IF(B20&lt;2,"n/a",(A20/D20))</f>
        <v>0.61672260048179539</v>
      </c>
      <c r="D20" s="10">
        <f>IFERROR(ROUND(AVERAGE(H3:H17),2),"")</f>
        <v>6.86</v>
      </c>
      <c r="E20" s="15">
        <f>IFERROR(ROUND(IF(B20&lt;2,"n/a",(IF(C20&lt;=25%,"n/a",AVERAGE(I3:I17)))),2),"n/a")</f>
        <v>5.04</v>
      </c>
      <c r="F20" s="10">
        <f>IFERROR(ROUND(MEDIAN(H3:H17),2),"")</f>
        <v>5.87</v>
      </c>
      <c r="G20" s="11" t="str">
        <f>IFERROR(INDEX(G3:G17,MATCH(H20,H3:H17,0)),"")</f>
        <v>FORTZ COMERCIO DE MATERIAIS ELETRICOS LTDA</v>
      </c>
      <c r="H20" s="12">
        <f>F3</f>
        <v>3.4</v>
      </c>
    </row>
    <row r="22" spans="1:9" x14ac:dyDescent="0.25">
      <c r="G22" s="13" t="s">
        <v>20</v>
      </c>
      <c r="H22" s="14">
        <f>IF(C20&lt;=25%,D20,MIN(E20:F20))</f>
        <v>5.04</v>
      </c>
    </row>
    <row r="23" spans="1:9" x14ac:dyDescent="0.25">
      <c r="G23" s="13" t="s">
        <v>6</v>
      </c>
      <c r="H23" s="14">
        <f>ROUND(H22,2)*D3</f>
        <v>453.6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6" sqref="G6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2" t="s">
        <v>8</v>
      </c>
      <c r="B1" s="32"/>
      <c r="C1" s="32"/>
      <c r="D1" s="32"/>
      <c r="E1" s="32"/>
      <c r="F1" s="32"/>
      <c r="G1" s="32"/>
      <c r="H1" s="32"/>
      <c r="I1" s="32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9</v>
      </c>
      <c r="F2" s="6" t="s">
        <v>10</v>
      </c>
      <c r="G2" s="6" t="s">
        <v>11</v>
      </c>
      <c r="H2" s="6" t="s">
        <v>12</v>
      </c>
      <c r="I2" s="6" t="s">
        <v>13</v>
      </c>
    </row>
    <row r="3" spans="1:9" x14ac:dyDescent="0.25">
      <c r="A3" s="37">
        <v>3</v>
      </c>
      <c r="B3" s="33" t="s">
        <v>51</v>
      </c>
      <c r="C3" s="35" t="s">
        <v>49</v>
      </c>
      <c r="D3" s="35">
        <v>850</v>
      </c>
      <c r="E3" s="36">
        <f>IF(C20&lt;=25%,D20,MIN(E20:F20))</f>
        <v>4.8099999999999996</v>
      </c>
      <c r="F3" s="36">
        <f>MIN(H3:H17)</f>
        <v>4.42</v>
      </c>
      <c r="G3" s="5" t="s">
        <v>218</v>
      </c>
      <c r="H3" s="16">
        <v>4.42</v>
      </c>
      <c r="I3" s="17" t="str">
        <f>IF(H3="","",(IF($C$20&lt;25%,"n/a",IF(H3&lt;=($D$20+$A$20),H3,"Descartado"))))</f>
        <v>n/a</v>
      </c>
    </row>
    <row r="4" spans="1:9" x14ac:dyDescent="0.25">
      <c r="A4" s="37"/>
      <c r="B4" s="34"/>
      <c r="C4" s="35"/>
      <c r="D4" s="35"/>
      <c r="E4" s="36"/>
      <c r="F4" s="36"/>
      <c r="G4" s="5" t="s">
        <v>217</v>
      </c>
      <c r="H4" s="16">
        <v>5.39</v>
      </c>
      <c r="I4" s="17" t="str">
        <f t="shared" ref="I4:I17" si="0">IF(H4="","",(IF($C$20&lt;25%,"n/a",IF(H4&lt;=($D$20+$A$20),H4,"Descartado"))))</f>
        <v>n/a</v>
      </c>
    </row>
    <row r="5" spans="1:9" x14ac:dyDescent="0.25">
      <c r="A5" s="37"/>
      <c r="B5" s="34"/>
      <c r="C5" s="35"/>
      <c r="D5" s="35"/>
      <c r="E5" s="36"/>
      <c r="F5" s="36"/>
      <c r="G5" s="5" t="s">
        <v>219</v>
      </c>
      <c r="H5" s="16">
        <v>4.6100000000000003</v>
      </c>
      <c r="I5" s="17" t="str">
        <f t="shared" si="0"/>
        <v>n/a</v>
      </c>
    </row>
    <row r="6" spans="1:9" x14ac:dyDescent="0.25">
      <c r="A6" s="37"/>
      <c r="B6" s="34"/>
      <c r="C6" s="35"/>
      <c r="D6" s="35"/>
      <c r="E6" s="36"/>
      <c r="F6" s="36"/>
      <c r="G6" s="5"/>
      <c r="H6" s="16"/>
      <c r="I6" s="17" t="str">
        <f t="shared" si="0"/>
        <v/>
      </c>
    </row>
    <row r="7" spans="1:9" x14ac:dyDescent="0.25">
      <c r="A7" s="37"/>
      <c r="B7" s="34"/>
      <c r="C7" s="35"/>
      <c r="D7" s="35"/>
      <c r="E7" s="36"/>
      <c r="F7" s="36"/>
      <c r="G7" s="5"/>
      <c r="H7" s="16"/>
      <c r="I7" s="17" t="str">
        <f t="shared" si="0"/>
        <v/>
      </c>
    </row>
    <row r="8" spans="1:9" x14ac:dyDescent="0.25">
      <c r="A8" s="37"/>
      <c r="B8" s="34"/>
      <c r="C8" s="35"/>
      <c r="D8" s="35"/>
      <c r="E8" s="36"/>
      <c r="F8" s="36"/>
      <c r="G8" s="5"/>
      <c r="H8" s="16"/>
      <c r="I8" s="17" t="str">
        <f t="shared" si="0"/>
        <v/>
      </c>
    </row>
    <row r="9" spans="1:9" x14ac:dyDescent="0.25">
      <c r="A9" s="37"/>
      <c r="B9" s="34"/>
      <c r="C9" s="35"/>
      <c r="D9" s="35"/>
      <c r="E9" s="36"/>
      <c r="F9" s="36"/>
      <c r="G9" s="5"/>
      <c r="H9" s="16"/>
      <c r="I9" s="17" t="str">
        <f t="shared" si="0"/>
        <v/>
      </c>
    </row>
    <row r="10" spans="1:9" x14ac:dyDescent="0.25">
      <c r="A10" s="37"/>
      <c r="B10" s="34"/>
      <c r="C10" s="35"/>
      <c r="D10" s="35"/>
      <c r="E10" s="36"/>
      <c r="F10" s="36"/>
      <c r="G10" s="5"/>
      <c r="H10" s="16"/>
      <c r="I10" s="17" t="str">
        <f t="shared" si="0"/>
        <v/>
      </c>
    </row>
    <row r="11" spans="1:9" x14ac:dyDescent="0.25">
      <c r="A11" s="37"/>
      <c r="B11" s="34"/>
      <c r="C11" s="35"/>
      <c r="D11" s="35"/>
      <c r="E11" s="36"/>
      <c r="F11" s="36"/>
      <c r="G11" s="5"/>
      <c r="H11" s="16"/>
      <c r="I11" s="17" t="str">
        <f t="shared" si="0"/>
        <v/>
      </c>
    </row>
    <row r="12" spans="1:9" x14ac:dyDescent="0.25">
      <c r="A12" s="37"/>
      <c r="B12" s="34"/>
      <c r="C12" s="35"/>
      <c r="D12" s="35"/>
      <c r="E12" s="36"/>
      <c r="F12" s="36"/>
      <c r="G12" s="5"/>
      <c r="H12" s="16"/>
      <c r="I12" s="17" t="str">
        <f t="shared" si="0"/>
        <v/>
      </c>
    </row>
    <row r="13" spans="1:9" x14ac:dyDescent="0.25">
      <c r="A13" s="37"/>
      <c r="B13" s="34"/>
      <c r="C13" s="35"/>
      <c r="D13" s="35"/>
      <c r="E13" s="36"/>
      <c r="F13" s="36"/>
      <c r="G13" s="5"/>
      <c r="H13" s="16"/>
      <c r="I13" s="17" t="str">
        <f t="shared" si="0"/>
        <v/>
      </c>
    </row>
    <row r="14" spans="1:9" x14ac:dyDescent="0.25">
      <c r="A14" s="37"/>
      <c r="B14" s="34"/>
      <c r="C14" s="35"/>
      <c r="D14" s="35"/>
      <c r="E14" s="36"/>
      <c r="F14" s="36"/>
      <c r="G14" s="5"/>
      <c r="H14" s="16"/>
      <c r="I14" s="17" t="str">
        <f t="shared" si="0"/>
        <v/>
      </c>
    </row>
    <row r="15" spans="1:9" x14ac:dyDescent="0.25">
      <c r="A15" s="37"/>
      <c r="B15" s="34"/>
      <c r="C15" s="35"/>
      <c r="D15" s="35"/>
      <c r="E15" s="36"/>
      <c r="F15" s="36"/>
      <c r="G15" s="5"/>
      <c r="H15" s="16"/>
      <c r="I15" s="17" t="str">
        <f t="shared" si="0"/>
        <v/>
      </c>
    </row>
    <row r="16" spans="1:9" x14ac:dyDescent="0.25">
      <c r="A16" s="37"/>
      <c r="B16" s="34"/>
      <c r="C16" s="35"/>
      <c r="D16" s="35"/>
      <c r="E16" s="36"/>
      <c r="F16" s="36"/>
      <c r="G16" s="5"/>
      <c r="H16" s="16"/>
      <c r="I16" s="17" t="str">
        <f t="shared" si="0"/>
        <v/>
      </c>
    </row>
    <row r="17" spans="1:9" x14ac:dyDescent="0.25">
      <c r="A17" s="37"/>
      <c r="B17" s="34"/>
      <c r="C17" s="35"/>
      <c r="D17" s="35"/>
      <c r="E17" s="36"/>
      <c r="F17" s="36"/>
      <c r="G17" s="5"/>
      <c r="H17" s="16"/>
      <c r="I17" s="17" t="str">
        <f t="shared" si="0"/>
        <v/>
      </c>
    </row>
    <row r="19" spans="1:9" s="4" customFormat="1" ht="24" x14ac:dyDescent="0.25">
      <c r="A19" s="6" t="s">
        <v>14</v>
      </c>
      <c r="B19" s="6" t="s">
        <v>15</v>
      </c>
      <c r="C19" s="6" t="s">
        <v>25</v>
      </c>
      <c r="D19" s="6" t="s">
        <v>16</v>
      </c>
      <c r="E19" s="6" t="s">
        <v>17</v>
      </c>
      <c r="F19" s="6" t="s">
        <v>18</v>
      </c>
      <c r="G19" s="31" t="s">
        <v>19</v>
      </c>
      <c r="H19" s="31"/>
    </row>
    <row r="20" spans="1:9" x14ac:dyDescent="0.25">
      <c r="A20" s="8">
        <f>IF(B20&lt;2,"n/a",(_xlfn.STDEV.S(H3:H17)))</f>
        <v>0.51403631518924142</v>
      </c>
      <c r="B20" s="8">
        <f>COUNT(H3:H17)</f>
        <v>3</v>
      </c>
      <c r="C20" s="9">
        <f>IF(B20&lt;2,"n/a",(A20/D20))</f>
        <v>0.1068682567961001</v>
      </c>
      <c r="D20" s="10">
        <f>IFERROR(ROUND(AVERAGE(H3:H17),2),"")</f>
        <v>4.8099999999999996</v>
      </c>
      <c r="E20" s="15" t="str">
        <f>IFERROR(ROUND(IF(B20&lt;2,"n/a",(IF(C20&lt;=25%,"n/a",AVERAGE(I3:I17)))),2),"n/a")</f>
        <v>n/a</v>
      </c>
      <c r="F20" s="10">
        <f>IFERROR(ROUND(MEDIAN(H3:H17),2),"")</f>
        <v>4.6100000000000003</v>
      </c>
      <c r="G20" s="11" t="str">
        <f>IFERROR(INDEX(G3:G17,MATCH(H20,H3:H17,0)),"")</f>
        <v>JABU</v>
      </c>
      <c r="H20" s="12">
        <f>F3</f>
        <v>4.42</v>
      </c>
    </row>
    <row r="22" spans="1:9" x14ac:dyDescent="0.25">
      <c r="G22" s="13" t="s">
        <v>20</v>
      </c>
      <c r="H22" s="14">
        <f>IF(C20&lt;=25%,D20,MIN(E20:F20))</f>
        <v>4.8099999999999996</v>
      </c>
    </row>
    <row r="23" spans="1:9" x14ac:dyDescent="0.25">
      <c r="G23" s="13" t="s">
        <v>6</v>
      </c>
      <c r="H23" s="14">
        <f>ROUND(H22,2)*D3</f>
        <v>4088.4999999999995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7" sqref="G7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2" t="s">
        <v>8</v>
      </c>
      <c r="B1" s="32"/>
      <c r="C1" s="32"/>
      <c r="D1" s="32"/>
      <c r="E1" s="32"/>
      <c r="F1" s="32"/>
      <c r="G1" s="32"/>
      <c r="H1" s="32"/>
      <c r="I1" s="32"/>
    </row>
    <row r="2" spans="1:9" s="4" customFormat="1" ht="36" x14ac:dyDescent="0.25">
      <c r="A2" s="26" t="s">
        <v>1</v>
      </c>
      <c r="B2" s="26" t="s">
        <v>2</v>
      </c>
      <c r="C2" s="26" t="s">
        <v>3</v>
      </c>
      <c r="D2" s="26" t="s">
        <v>4</v>
      </c>
      <c r="E2" s="26" t="s">
        <v>9</v>
      </c>
      <c r="F2" s="26" t="s">
        <v>10</v>
      </c>
      <c r="G2" s="26" t="s">
        <v>11</v>
      </c>
      <c r="H2" s="26" t="s">
        <v>12</v>
      </c>
      <c r="I2" s="26" t="s">
        <v>13</v>
      </c>
    </row>
    <row r="3" spans="1:9" x14ac:dyDescent="0.25">
      <c r="A3" s="37">
        <v>30</v>
      </c>
      <c r="B3" s="33" t="s">
        <v>78</v>
      </c>
      <c r="C3" s="35" t="s">
        <v>7</v>
      </c>
      <c r="D3" s="35">
        <f>480+134</f>
        <v>614</v>
      </c>
      <c r="E3" s="36">
        <f>IF(C20&lt;=25%,D20,MIN(E20:F20))</f>
        <v>7.01</v>
      </c>
      <c r="F3" s="36">
        <f>MIN(H3:H17)</f>
        <v>5.66</v>
      </c>
      <c r="G3" s="5" t="s">
        <v>97</v>
      </c>
      <c r="H3" s="16">
        <v>22.46</v>
      </c>
      <c r="I3" s="17" t="str">
        <f>IF(H3="","",(IF($C$20&lt;25%,"n/a",IF(H3&lt;=($D$20+$A$20),H3,"Descartado"))))</f>
        <v>Descartado</v>
      </c>
    </row>
    <row r="4" spans="1:9" x14ac:dyDescent="0.25">
      <c r="A4" s="37"/>
      <c r="B4" s="34"/>
      <c r="C4" s="35"/>
      <c r="D4" s="35"/>
      <c r="E4" s="36"/>
      <c r="F4" s="36"/>
      <c r="G4" s="5" t="s">
        <v>191</v>
      </c>
      <c r="H4" s="16">
        <v>7.6</v>
      </c>
      <c r="I4" s="17">
        <f t="shared" ref="I4:I17" si="0">IF(H4="","",(IF($C$20&lt;25%,"n/a",IF(H4&lt;=($D$20+$A$20),H4,"Descartado"))))</f>
        <v>7.6</v>
      </c>
    </row>
    <row r="5" spans="1:9" x14ac:dyDescent="0.25">
      <c r="A5" s="37"/>
      <c r="B5" s="34"/>
      <c r="C5" s="35"/>
      <c r="D5" s="35"/>
      <c r="E5" s="36"/>
      <c r="F5" s="36"/>
      <c r="G5" s="5" t="s">
        <v>197</v>
      </c>
      <c r="H5" s="16">
        <v>7.76</v>
      </c>
      <c r="I5" s="17">
        <f t="shared" si="0"/>
        <v>7.76</v>
      </c>
    </row>
    <row r="6" spans="1:9" x14ac:dyDescent="0.25">
      <c r="A6" s="37"/>
      <c r="B6" s="34"/>
      <c r="C6" s="35"/>
      <c r="D6" s="35"/>
      <c r="E6" s="36"/>
      <c r="F6" s="36"/>
      <c r="G6" s="5" t="s">
        <v>198</v>
      </c>
      <c r="H6" s="16">
        <v>5.66</v>
      </c>
      <c r="I6" s="17">
        <f t="shared" si="0"/>
        <v>5.66</v>
      </c>
    </row>
    <row r="7" spans="1:9" x14ac:dyDescent="0.25">
      <c r="A7" s="37"/>
      <c r="B7" s="34"/>
      <c r="C7" s="35"/>
      <c r="D7" s="35"/>
      <c r="E7" s="36"/>
      <c r="F7" s="36"/>
      <c r="G7" s="5"/>
      <c r="H7" s="16"/>
      <c r="I7" s="17" t="str">
        <f t="shared" si="0"/>
        <v/>
      </c>
    </row>
    <row r="8" spans="1:9" x14ac:dyDescent="0.25">
      <c r="A8" s="37"/>
      <c r="B8" s="34"/>
      <c r="C8" s="35"/>
      <c r="D8" s="35"/>
      <c r="E8" s="36"/>
      <c r="F8" s="36"/>
      <c r="G8" s="5"/>
      <c r="H8" s="16"/>
      <c r="I8" s="17" t="str">
        <f t="shared" si="0"/>
        <v/>
      </c>
    </row>
    <row r="9" spans="1:9" x14ac:dyDescent="0.25">
      <c r="A9" s="37"/>
      <c r="B9" s="34"/>
      <c r="C9" s="35"/>
      <c r="D9" s="35"/>
      <c r="E9" s="36"/>
      <c r="F9" s="36"/>
      <c r="G9" s="5"/>
      <c r="H9" s="16"/>
      <c r="I9" s="17" t="str">
        <f t="shared" si="0"/>
        <v/>
      </c>
    </row>
    <row r="10" spans="1:9" x14ac:dyDescent="0.25">
      <c r="A10" s="37"/>
      <c r="B10" s="34"/>
      <c r="C10" s="35"/>
      <c r="D10" s="35"/>
      <c r="E10" s="36"/>
      <c r="F10" s="36"/>
      <c r="G10" s="5"/>
      <c r="H10" s="16"/>
      <c r="I10" s="17" t="str">
        <f t="shared" si="0"/>
        <v/>
      </c>
    </row>
    <row r="11" spans="1:9" x14ac:dyDescent="0.25">
      <c r="A11" s="37"/>
      <c r="B11" s="34"/>
      <c r="C11" s="35"/>
      <c r="D11" s="35"/>
      <c r="E11" s="36"/>
      <c r="F11" s="36"/>
      <c r="G11" s="5"/>
      <c r="H11" s="16"/>
      <c r="I11" s="17" t="str">
        <f t="shared" si="0"/>
        <v/>
      </c>
    </row>
    <row r="12" spans="1:9" x14ac:dyDescent="0.25">
      <c r="A12" s="37"/>
      <c r="B12" s="34"/>
      <c r="C12" s="35"/>
      <c r="D12" s="35"/>
      <c r="E12" s="36"/>
      <c r="F12" s="36"/>
      <c r="G12" s="5"/>
      <c r="H12" s="16"/>
      <c r="I12" s="17" t="str">
        <f t="shared" si="0"/>
        <v/>
      </c>
    </row>
    <row r="13" spans="1:9" x14ac:dyDescent="0.25">
      <c r="A13" s="37"/>
      <c r="B13" s="34"/>
      <c r="C13" s="35"/>
      <c r="D13" s="35"/>
      <c r="E13" s="36"/>
      <c r="F13" s="36"/>
      <c r="G13" s="5"/>
      <c r="H13" s="16"/>
      <c r="I13" s="17" t="str">
        <f t="shared" si="0"/>
        <v/>
      </c>
    </row>
    <row r="14" spans="1:9" x14ac:dyDescent="0.25">
      <c r="A14" s="37"/>
      <c r="B14" s="34"/>
      <c r="C14" s="35"/>
      <c r="D14" s="35"/>
      <c r="E14" s="36"/>
      <c r="F14" s="36"/>
      <c r="G14" s="5"/>
      <c r="H14" s="16"/>
      <c r="I14" s="17" t="str">
        <f t="shared" si="0"/>
        <v/>
      </c>
    </row>
    <row r="15" spans="1:9" x14ac:dyDescent="0.25">
      <c r="A15" s="37"/>
      <c r="B15" s="34"/>
      <c r="C15" s="35"/>
      <c r="D15" s="35"/>
      <c r="E15" s="36"/>
      <c r="F15" s="36"/>
      <c r="G15" s="5"/>
      <c r="H15" s="16"/>
      <c r="I15" s="17" t="str">
        <f t="shared" si="0"/>
        <v/>
      </c>
    </row>
    <row r="16" spans="1:9" x14ac:dyDescent="0.25">
      <c r="A16" s="37"/>
      <c r="B16" s="34"/>
      <c r="C16" s="35"/>
      <c r="D16" s="35"/>
      <c r="E16" s="36"/>
      <c r="F16" s="36"/>
      <c r="G16" s="5"/>
      <c r="H16" s="16"/>
      <c r="I16" s="17" t="str">
        <f t="shared" si="0"/>
        <v/>
      </c>
    </row>
    <row r="17" spans="1:9" x14ac:dyDescent="0.25">
      <c r="A17" s="37"/>
      <c r="B17" s="34"/>
      <c r="C17" s="35"/>
      <c r="D17" s="35"/>
      <c r="E17" s="36"/>
      <c r="F17" s="36"/>
      <c r="G17" s="5"/>
      <c r="H17" s="16"/>
      <c r="I17" s="17" t="str">
        <f t="shared" si="0"/>
        <v/>
      </c>
    </row>
    <row r="19" spans="1:9" s="4" customFormat="1" ht="24" x14ac:dyDescent="0.25">
      <c r="A19" s="26" t="s">
        <v>14</v>
      </c>
      <c r="B19" s="26" t="s">
        <v>15</v>
      </c>
      <c r="C19" s="26" t="s">
        <v>25</v>
      </c>
      <c r="D19" s="26" t="s">
        <v>16</v>
      </c>
      <c r="E19" s="26" t="s">
        <v>17</v>
      </c>
      <c r="F19" s="26" t="s">
        <v>18</v>
      </c>
      <c r="G19" s="31" t="s">
        <v>19</v>
      </c>
      <c r="H19" s="31"/>
    </row>
    <row r="20" spans="1:9" x14ac:dyDescent="0.25">
      <c r="A20" s="8">
        <f>IF(B20&lt;2,"n/a",(_xlfn.STDEV.S(H3:H17)))</f>
        <v>7.7853965859164811</v>
      </c>
      <c r="B20" s="8">
        <f>COUNT(H3:H17)</f>
        <v>4</v>
      </c>
      <c r="C20" s="9">
        <f>IF(B20&lt;2,"n/a",(A20/D20))</f>
        <v>0.71622783679084467</v>
      </c>
      <c r="D20" s="10">
        <f>IFERROR(ROUND(AVERAGE(H3:H17),2),"")</f>
        <v>10.87</v>
      </c>
      <c r="E20" s="15">
        <f>IFERROR(ROUND(IF(B20&lt;2,"n/a",(IF(C20&lt;=25%,"n/a",AVERAGE(I3:I17)))),2),"n/a")</f>
        <v>7.01</v>
      </c>
      <c r="F20" s="10">
        <f>IFERROR(ROUND(MEDIAN(H3:H17),2),"")</f>
        <v>7.68</v>
      </c>
      <c r="G20" s="11" t="str">
        <f>IFERROR(INDEX(G3:G17,MATCH(H20,H3:H17,0)),"")</f>
        <v>VALTER MARQUES FILHO 00318967740</v>
      </c>
      <c r="H20" s="12">
        <f>F3</f>
        <v>5.66</v>
      </c>
    </row>
    <row r="22" spans="1:9" x14ac:dyDescent="0.25">
      <c r="G22" s="13" t="s">
        <v>20</v>
      </c>
      <c r="H22" s="14">
        <f>IF(C20&lt;=25%,D20,MIN(E20:F20))</f>
        <v>7.01</v>
      </c>
    </row>
    <row r="23" spans="1:9" x14ac:dyDescent="0.25">
      <c r="G23" s="13" t="s">
        <v>6</v>
      </c>
      <c r="H23" s="14">
        <f>ROUND(H22,2)*D3</f>
        <v>4304.1399999999994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10" sqref="G10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2" t="s">
        <v>8</v>
      </c>
      <c r="B1" s="32"/>
      <c r="C1" s="32"/>
      <c r="D1" s="32"/>
      <c r="E1" s="32"/>
      <c r="F1" s="32"/>
      <c r="G1" s="32"/>
      <c r="H1" s="32"/>
      <c r="I1" s="32"/>
    </row>
    <row r="2" spans="1:9" s="4" customFormat="1" ht="36" x14ac:dyDescent="0.25">
      <c r="A2" s="26" t="s">
        <v>1</v>
      </c>
      <c r="B2" s="26" t="s">
        <v>2</v>
      </c>
      <c r="C2" s="26" t="s">
        <v>3</v>
      </c>
      <c r="D2" s="26" t="s">
        <v>4</v>
      </c>
      <c r="E2" s="26" t="s">
        <v>9</v>
      </c>
      <c r="F2" s="26" t="s">
        <v>10</v>
      </c>
      <c r="G2" s="26" t="s">
        <v>11</v>
      </c>
      <c r="H2" s="26" t="s">
        <v>12</v>
      </c>
      <c r="I2" s="26" t="s">
        <v>13</v>
      </c>
    </row>
    <row r="3" spans="1:9" x14ac:dyDescent="0.25">
      <c r="A3" s="37">
        <v>31</v>
      </c>
      <c r="B3" s="33" t="s">
        <v>79</v>
      </c>
      <c r="C3" s="35" t="s">
        <v>7</v>
      </c>
      <c r="D3" s="35">
        <f>40+69</f>
        <v>109</v>
      </c>
      <c r="E3" s="36">
        <f>IF(C20&lt;=25%,D20,MIN(E20:F20))</f>
        <v>7.38</v>
      </c>
      <c r="F3" s="36">
        <f>MIN(H3:H17)</f>
        <v>5.4</v>
      </c>
      <c r="G3" s="5" t="s">
        <v>128</v>
      </c>
      <c r="H3" s="16">
        <v>11.49</v>
      </c>
      <c r="I3" s="17">
        <f>IF(H3="","",(IF($C$20&lt;25%,"n/a",IF(H3&lt;=($D$20+$A$20),H3,"Descartado"))))</f>
        <v>11.49</v>
      </c>
    </row>
    <row r="4" spans="1:9" x14ac:dyDescent="0.25">
      <c r="A4" s="37"/>
      <c r="B4" s="34"/>
      <c r="C4" s="35"/>
      <c r="D4" s="35"/>
      <c r="E4" s="36"/>
      <c r="F4" s="36"/>
      <c r="G4" s="5" t="s">
        <v>132</v>
      </c>
      <c r="H4" s="16">
        <v>7.38</v>
      </c>
      <c r="I4" s="17">
        <f t="shared" ref="I4:I17" si="0">IF(H4="","",(IF($C$20&lt;25%,"n/a",IF(H4&lt;=($D$20+$A$20),H4,"Descartado"))))</f>
        <v>7.38</v>
      </c>
    </row>
    <row r="5" spans="1:9" x14ac:dyDescent="0.25">
      <c r="A5" s="37"/>
      <c r="B5" s="34"/>
      <c r="C5" s="35"/>
      <c r="D5" s="35"/>
      <c r="E5" s="36"/>
      <c r="F5" s="36"/>
      <c r="G5" s="5" t="s">
        <v>199</v>
      </c>
      <c r="H5" s="16">
        <v>5.4</v>
      </c>
      <c r="I5" s="17">
        <f t="shared" si="0"/>
        <v>5.4</v>
      </c>
    </row>
    <row r="6" spans="1:9" x14ac:dyDescent="0.25">
      <c r="A6" s="37"/>
      <c r="B6" s="34"/>
      <c r="C6" s="35"/>
      <c r="D6" s="35"/>
      <c r="E6" s="36"/>
      <c r="F6" s="36"/>
      <c r="G6" s="5" t="s">
        <v>114</v>
      </c>
      <c r="H6" s="16">
        <v>5.63</v>
      </c>
      <c r="I6" s="17">
        <f t="shared" si="0"/>
        <v>5.63</v>
      </c>
    </row>
    <row r="7" spans="1:9" x14ac:dyDescent="0.25">
      <c r="A7" s="37"/>
      <c r="B7" s="34"/>
      <c r="C7" s="35"/>
      <c r="D7" s="35"/>
      <c r="E7" s="36"/>
      <c r="F7" s="36"/>
      <c r="G7" s="5" t="s">
        <v>200</v>
      </c>
      <c r="H7" s="16">
        <v>6.35</v>
      </c>
      <c r="I7" s="17">
        <f t="shared" si="0"/>
        <v>6.35</v>
      </c>
    </row>
    <row r="8" spans="1:9" x14ac:dyDescent="0.25">
      <c r="A8" s="37"/>
      <c r="B8" s="34"/>
      <c r="C8" s="35"/>
      <c r="D8" s="35"/>
      <c r="E8" s="36"/>
      <c r="F8" s="36"/>
      <c r="G8" s="5" t="s">
        <v>105</v>
      </c>
      <c r="H8" s="16">
        <v>12.44</v>
      </c>
      <c r="I8" s="17">
        <f t="shared" si="0"/>
        <v>12.44</v>
      </c>
    </row>
    <row r="9" spans="1:9" x14ac:dyDescent="0.25">
      <c r="A9" s="37"/>
      <c r="B9" s="34"/>
      <c r="C9" s="35"/>
      <c r="D9" s="35"/>
      <c r="E9" s="36"/>
      <c r="F9" s="36"/>
      <c r="G9" s="5" t="s">
        <v>131</v>
      </c>
      <c r="H9" s="16">
        <v>24.99</v>
      </c>
      <c r="I9" s="17" t="str">
        <f t="shared" si="0"/>
        <v>Descartado</v>
      </c>
    </row>
    <row r="10" spans="1:9" x14ac:dyDescent="0.25">
      <c r="A10" s="37"/>
      <c r="B10" s="34"/>
      <c r="C10" s="35"/>
      <c r="D10" s="35"/>
      <c r="E10" s="36"/>
      <c r="F10" s="36"/>
      <c r="G10" s="5"/>
      <c r="H10" s="16"/>
      <c r="I10" s="17" t="str">
        <f t="shared" si="0"/>
        <v/>
      </c>
    </row>
    <row r="11" spans="1:9" x14ac:dyDescent="0.25">
      <c r="A11" s="37"/>
      <c r="B11" s="34"/>
      <c r="C11" s="35"/>
      <c r="D11" s="35"/>
      <c r="E11" s="36"/>
      <c r="F11" s="36"/>
      <c r="G11" s="5"/>
      <c r="H11" s="16"/>
      <c r="I11" s="17" t="str">
        <f t="shared" si="0"/>
        <v/>
      </c>
    </row>
    <row r="12" spans="1:9" x14ac:dyDescent="0.25">
      <c r="A12" s="37"/>
      <c r="B12" s="34"/>
      <c r="C12" s="35"/>
      <c r="D12" s="35"/>
      <c r="E12" s="36"/>
      <c r="F12" s="36"/>
      <c r="G12" s="5"/>
      <c r="H12" s="16"/>
      <c r="I12" s="17" t="str">
        <f t="shared" si="0"/>
        <v/>
      </c>
    </row>
    <row r="13" spans="1:9" x14ac:dyDescent="0.25">
      <c r="A13" s="37"/>
      <c r="B13" s="34"/>
      <c r="C13" s="35"/>
      <c r="D13" s="35"/>
      <c r="E13" s="36"/>
      <c r="F13" s="36"/>
      <c r="G13" s="5"/>
      <c r="H13" s="16"/>
      <c r="I13" s="17" t="str">
        <f t="shared" si="0"/>
        <v/>
      </c>
    </row>
    <row r="14" spans="1:9" x14ac:dyDescent="0.25">
      <c r="A14" s="37"/>
      <c r="B14" s="34"/>
      <c r="C14" s="35"/>
      <c r="D14" s="35"/>
      <c r="E14" s="36"/>
      <c r="F14" s="36"/>
      <c r="G14" s="5"/>
      <c r="H14" s="16"/>
      <c r="I14" s="17" t="str">
        <f t="shared" si="0"/>
        <v/>
      </c>
    </row>
    <row r="15" spans="1:9" x14ac:dyDescent="0.25">
      <c r="A15" s="37"/>
      <c r="B15" s="34"/>
      <c r="C15" s="35"/>
      <c r="D15" s="35"/>
      <c r="E15" s="36"/>
      <c r="F15" s="36"/>
      <c r="G15" s="5"/>
      <c r="H15" s="16"/>
      <c r="I15" s="17" t="str">
        <f t="shared" si="0"/>
        <v/>
      </c>
    </row>
    <row r="16" spans="1:9" x14ac:dyDescent="0.25">
      <c r="A16" s="37"/>
      <c r="B16" s="34"/>
      <c r="C16" s="35"/>
      <c r="D16" s="35"/>
      <c r="E16" s="36"/>
      <c r="F16" s="36"/>
      <c r="G16" s="5"/>
      <c r="H16" s="16"/>
      <c r="I16" s="17" t="str">
        <f t="shared" si="0"/>
        <v/>
      </c>
    </row>
    <row r="17" spans="1:9" x14ac:dyDescent="0.25">
      <c r="A17" s="37"/>
      <c r="B17" s="34"/>
      <c r="C17" s="35"/>
      <c r="D17" s="35"/>
      <c r="E17" s="36"/>
      <c r="F17" s="36"/>
      <c r="G17" s="5"/>
      <c r="H17" s="16"/>
      <c r="I17" s="17" t="str">
        <f t="shared" si="0"/>
        <v/>
      </c>
    </row>
    <row r="19" spans="1:9" s="4" customFormat="1" ht="24" x14ac:dyDescent="0.25">
      <c r="A19" s="26" t="s">
        <v>14</v>
      </c>
      <c r="B19" s="26" t="s">
        <v>15</v>
      </c>
      <c r="C19" s="26" t="s">
        <v>25</v>
      </c>
      <c r="D19" s="26" t="s">
        <v>16</v>
      </c>
      <c r="E19" s="26" t="s">
        <v>17</v>
      </c>
      <c r="F19" s="26" t="s">
        <v>18</v>
      </c>
      <c r="G19" s="31" t="s">
        <v>19</v>
      </c>
      <c r="H19" s="31"/>
    </row>
    <row r="20" spans="1:9" x14ac:dyDescent="0.25">
      <c r="A20" s="8">
        <f>IF(B20&lt;2,"n/a",(_xlfn.STDEV.S(H3:H17)))</f>
        <v>6.9687752562002307</v>
      </c>
      <c r="B20" s="8">
        <f>COUNT(H3:H17)</f>
        <v>7</v>
      </c>
      <c r="C20" s="9">
        <f>IF(B20&lt;2,"n/a",(A20/D20))</f>
        <v>0.66180201863250054</v>
      </c>
      <c r="D20" s="10">
        <f>IFERROR(ROUND(AVERAGE(H3:H17),2),"")</f>
        <v>10.53</v>
      </c>
      <c r="E20" s="15">
        <f>IFERROR(ROUND(IF(B20&lt;2,"n/a",(IF(C20&lt;=25%,"n/a",AVERAGE(I3:I17)))),2),"n/a")</f>
        <v>8.1199999999999992</v>
      </c>
      <c r="F20" s="10">
        <f>IFERROR(ROUND(MEDIAN(H3:H17),2),"")</f>
        <v>7.38</v>
      </c>
      <c r="G20" s="11" t="str">
        <f>IFERROR(INDEX(G3:G17,MATCH(H20,H3:H17,0)),"")</f>
        <v>EDYAN PEREIRA CHIERICATO LTDA</v>
      </c>
      <c r="H20" s="12">
        <f>F3</f>
        <v>5.4</v>
      </c>
    </row>
    <row r="22" spans="1:9" x14ac:dyDescent="0.25">
      <c r="G22" s="13" t="s">
        <v>20</v>
      </c>
      <c r="H22" s="14">
        <f>IF(C20&lt;=25%,D20,MIN(E20:F20))</f>
        <v>7.38</v>
      </c>
    </row>
    <row r="23" spans="1:9" x14ac:dyDescent="0.25">
      <c r="G23" s="13" t="s">
        <v>6</v>
      </c>
      <c r="H23" s="14">
        <f>ROUND(H22,2)*D3</f>
        <v>804.42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7" sqref="G7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2" t="s">
        <v>8</v>
      </c>
      <c r="B1" s="32"/>
      <c r="C1" s="32"/>
      <c r="D1" s="32"/>
      <c r="E1" s="32"/>
      <c r="F1" s="32"/>
      <c r="G1" s="32"/>
      <c r="H1" s="32"/>
      <c r="I1" s="32"/>
    </row>
    <row r="2" spans="1:9" s="4" customFormat="1" ht="36" x14ac:dyDescent="0.25">
      <c r="A2" s="26" t="s">
        <v>1</v>
      </c>
      <c r="B2" s="26" t="s">
        <v>2</v>
      </c>
      <c r="C2" s="26" t="s">
        <v>3</v>
      </c>
      <c r="D2" s="26" t="s">
        <v>4</v>
      </c>
      <c r="E2" s="26" t="s">
        <v>9</v>
      </c>
      <c r="F2" s="26" t="s">
        <v>10</v>
      </c>
      <c r="G2" s="26" t="s">
        <v>11</v>
      </c>
      <c r="H2" s="26" t="s">
        <v>12</v>
      </c>
      <c r="I2" s="26" t="s">
        <v>13</v>
      </c>
    </row>
    <row r="3" spans="1:9" x14ac:dyDescent="0.25">
      <c r="A3" s="37">
        <v>32</v>
      </c>
      <c r="B3" s="33" t="s">
        <v>80</v>
      </c>
      <c r="C3" s="35" t="s">
        <v>7</v>
      </c>
      <c r="D3" s="35">
        <v>134</v>
      </c>
      <c r="E3" s="36">
        <f>IF(C20&lt;=25%,D20,MIN(E20:F20))</f>
        <v>2.73</v>
      </c>
      <c r="F3" s="36">
        <f>MIN(H3:H17)</f>
        <v>2.2000000000000002</v>
      </c>
      <c r="G3" s="5" t="s">
        <v>201</v>
      </c>
      <c r="H3" s="16">
        <v>3.76</v>
      </c>
      <c r="I3" s="17" t="str">
        <f>IF(H3="","",(IF($C$20&lt;25%,"n/a",IF(H3&lt;=($D$20+$A$20),H3,"Descartado"))))</f>
        <v>Descartado</v>
      </c>
    </row>
    <row r="4" spans="1:9" x14ac:dyDescent="0.25">
      <c r="A4" s="37"/>
      <c r="B4" s="34"/>
      <c r="C4" s="35"/>
      <c r="D4" s="35"/>
      <c r="E4" s="36"/>
      <c r="F4" s="36"/>
      <c r="G4" s="5" t="s">
        <v>167</v>
      </c>
      <c r="H4" s="16">
        <v>2.4900000000000002</v>
      </c>
      <c r="I4" s="17">
        <f t="shared" ref="I4:I17" si="0">IF(H4="","",(IF($C$20&lt;25%,"n/a",IF(H4&lt;=($D$20+$A$20),H4,"Descartado"))))</f>
        <v>2.4900000000000002</v>
      </c>
    </row>
    <row r="5" spans="1:9" x14ac:dyDescent="0.25">
      <c r="A5" s="37"/>
      <c r="B5" s="34"/>
      <c r="C5" s="35"/>
      <c r="D5" s="35"/>
      <c r="E5" s="36"/>
      <c r="F5" s="36"/>
      <c r="G5" s="5" t="s">
        <v>154</v>
      </c>
      <c r="H5" s="16">
        <v>2.2000000000000002</v>
      </c>
      <c r="I5" s="17">
        <f t="shared" si="0"/>
        <v>2.2000000000000002</v>
      </c>
    </row>
    <row r="6" spans="1:9" x14ac:dyDescent="0.25">
      <c r="A6" s="37"/>
      <c r="B6" s="34"/>
      <c r="C6" s="35"/>
      <c r="D6" s="35"/>
      <c r="E6" s="36"/>
      <c r="F6" s="36"/>
      <c r="G6" s="5" t="s">
        <v>202</v>
      </c>
      <c r="H6" s="16">
        <v>3.5</v>
      </c>
      <c r="I6" s="17">
        <f t="shared" si="0"/>
        <v>3.5</v>
      </c>
    </row>
    <row r="7" spans="1:9" x14ac:dyDescent="0.25">
      <c r="A7" s="37"/>
      <c r="B7" s="34"/>
      <c r="C7" s="35"/>
      <c r="D7" s="35"/>
      <c r="E7" s="36"/>
      <c r="F7" s="36"/>
      <c r="G7" s="5"/>
      <c r="H7" s="16"/>
      <c r="I7" s="17" t="str">
        <f t="shared" si="0"/>
        <v/>
      </c>
    </row>
    <row r="8" spans="1:9" x14ac:dyDescent="0.25">
      <c r="A8" s="37"/>
      <c r="B8" s="34"/>
      <c r="C8" s="35"/>
      <c r="D8" s="35"/>
      <c r="E8" s="36"/>
      <c r="F8" s="36"/>
      <c r="G8" s="5"/>
      <c r="H8" s="16"/>
      <c r="I8" s="17" t="str">
        <f t="shared" si="0"/>
        <v/>
      </c>
    </row>
    <row r="9" spans="1:9" x14ac:dyDescent="0.25">
      <c r="A9" s="37"/>
      <c r="B9" s="34"/>
      <c r="C9" s="35"/>
      <c r="D9" s="35"/>
      <c r="E9" s="36"/>
      <c r="F9" s="36"/>
      <c r="G9" s="5"/>
      <c r="H9" s="16"/>
      <c r="I9" s="17" t="str">
        <f t="shared" si="0"/>
        <v/>
      </c>
    </row>
    <row r="10" spans="1:9" x14ac:dyDescent="0.25">
      <c r="A10" s="37"/>
      <c r="B10" s="34"/>
      <c r="C10" s="35"/>
      <c r="D10" s="35"/>
      <c r="E10" s="36"/>
      <c r="F10" s="36"/>
      <c r="G10" s="5"/>
      <c r="H10" s="16"/>
      <c r="I10" s="17" t="str">
        <f t="shared" si="0"/>
        <v/>
      </c>
    </row>
    <row r="11" spans="1:9" x14ac:dyDescent="0.25">
      <c r="A11" s="37"/>
      <c r="B11" s="34"/>
      <c r="C11" s="35"/>
      <c r="D11" s="35"/>
      <c r="E11" s="36"/>
      <c r="F11" s="36"/>
      <c r="G11" s="5"/>
      <c r="H11" s="16"/>
      <c r="I11" s="17" t="str">
        <f t="shared" si="0"/>
        <v/>
      </c>
    </row>
    <row r="12" spans="1:9" x14ac:dyDescent="0.25">
      <c r="A12" s="37"/>
      <c r="B12" s="34"/>
      <c r="C12" s="35"/>
      <c r="D12" s="35"/>
      <c r="E12" s="36"/>
      <c r="F12" s="36"/>
      <c r="G12" s="5"/>
      <c r="H12" s="16"/>
      <c r="I12" s="17" t="str">
        <f t="shared" si="0"/>
        <v/>
      </c>
    </row>
    <row r="13" spans="1:9" x14ac:dyDescent="0.25">
      <c r="A13" s="37"/>
      <c r="B13" s="34"/>
      <c r="C13" s="35"/>
      <c r="D13" s="35"/>
      <c r="E13" s="36"/>
      <c r="F13" s="36"/>
      <c r="G13" s="5"/>
      <c r="H13" s="16"/>
      <c r="I13" s="17" t="str">
        <f t="shared" si="0"/>
        <v/>
      </c>
    </row>
    <row r="14" spans="1:9" x14ac:dyDescent="0.25">
      <c r="A14" s="37"/>
      <c r="B14" s="34"/>
      <c r="C14" s="35"/>
      <c r="D14" s="35"/>
      <c r="E14" s="36"/>
      <c r="F14" s="36"/>
      <c r="G14" s="5"/>
      <c r="H14" s="16"/>
      <c r="I14" s="17" t="str">
        <f t="shared" si="0"/>
        <v/>
      </c>
    </row>
    <row r="15" spans="1:9" x14ac:dyDescent="0.25">
      <c r="A15" s="37"/>
      <c r="B15" s="34"/>
      <c r="C15" s="35"/>
      <c r="D15" s="35"/>
      <c r="E15" s="36"/>
      <c r="F15" s="36"/>
      <c r="G15" s="5"/>
      <c r="H15" s="16"/>
      <c r="I15" s="17" t="str">
        <f t="shared" si="0"/>
        <v/>
      </c>
    </row>
    <row r="16" spans="1:9" x14ac:dyDescent="0.25">
      <c r="A16" s="37"/>
      <c r="B16" s="34"/>
      <c r="C16" s="35"/>
      <c r="D16" s="35"/>
      <c r="E16" s="36"/>
      <c r="F16" s="36"/>
      <c r="G16" s="5"/>
      <c r="H16" s="16"/>
      <c r="I16" s="17" t="str">
        <f t="shared" si="0"/>
        <v/>
      </c>
    </row>
    <row r="17" spans="1:9" x14ac:dyDescent="0.25">
      <c r="A17" s="37"/>
      <c r="B17" s="34"/>
      <c r="C17" s="35"/>
      <c r="D17" s="35"/>
      <c r="E17" s="36"/>
      <c r="F17" s="36"/>
      <c r="G17" s="5"/>
      <c r="H17" s="16"/>
      <c r="I17" s="17" t="str">
        <f t="shared" si="0"/>
        <v/>
      </c>
    </row>
    <row r="19" spans="1:9" s="4" customFormat="1" ht="24" x14ac:dyDescent="0.25">
      <c r="A19" s="26" t="s">
        <v>14</v>
      </c>
      <c r="B19" s="26" t="s">
        <v>15</v>
      </c>
      <c r="C19" s="26" t="s">
        <v>25</v>
      </c>
      <c r="D19" s="26" t="s">
        <v>16</v>
      </c>
      <c r="E19" s="26" t="s">
        <v>17</v>
      </c>
      <c r="F19" s="26" t="s">
        <v>18</v>
      </c>
      <c r="G19" s="31" t="s">
        <v>19</v>
      </c>
      <c r="H19" s="31"/>
    </row>
    <row r="20" spans="1:9" x14ac:dyDescent="0.25">
      <c r="A20" s="8">
        <f>IF(B20&lt;2,"n/a",(_xlfn.STDEV.S(H3:H17)))</f>
        <v>0.75874347882974835</v>
      </c>
      <c r="B20" s="8">
        <f>COUNT(H3:H17)</f>
        <v>4</v>
      </c>
      <c r="C20" s="9">
        <f>IF(B20&lt;2,"n/a",(A20/D20))</f>
        <v>0.25376036081262487</v>
      </c>
      <c r="D20" s="10">
        <f>IFERROR(ROUND(AVERAGE(H3:H17),2),"")</f>
        <v>2.99</v>
      </c>
      <c r="E20" s="15">
        <f>IFERROR(ROUND(IF(B20&lt;2,"n/a",(IF(C20&lt;=25%,"n/a",AVERAGE(I3:I17)))),2),"n/a")</f>
        <v>2.73</v>
      </c>
      <c r="F20" s="10">
        <f>IFERROR(ROUND(MEDIAN(H3:H17),2),"")</f>
        <v>3</v>
      </c>
      <c r="G20" s="11" t="str">
        <f>IFERROR(INDEX(G3:G17,MATCH(H20,H3:H17,0)),"")</f>
        <v>MACROMMERCE LTDA</v>
      </c>
      <c r="H20" s="12">
        <f>F3</f>
        <v>2.2000000000000002</v>
      </c>
    </row>
    <row r="22" spans="1:9" x14ac:dyDescent="0.25">
      <c r="G22" s="13" t="s">
        <v>20</v>
      </c>
      <c r="H22" s="14">
        <f>IF(C20&lt;=25%,D20,MIN(E20:F20))</f>
        <v>2.73</v>
      </c>
    </row>
    <row r="23" spans="1:9" x14ac:dyDescent="0.25">
      <c r="G23" s="13" t="s">
        <v>6</v>
      </c>
      <c r="H23" s="14">
        <f>ROUND(H22,2)*D3</f>
        <v>365.82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16" sqref="G16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2" t="s">
        <v>8</v>
      </c>
      <c r="B1" s="32"/>
      <c r="C1" s="32"/>
      <c r="D1" s="32"/>
      <c r="E1" s="32"/>
      <c r="F1" s="32"/>
      <c r="G1" s="32"/>
      <c r="H1" s="32"/>
      <c r="I1" s="32"/>
    </row>
    <row r="2" spans="1:9" s="4" customFormat="1" ht="36" x14ac:dyDescent="0.25">
      <c r="A2" s="26" t="s">
        <v>1</v>
      </c>
      <c r="B2" s="26" t="s">
        <v>2</v>
      </c>
      <c r="C2" s="26" t="s">
        <v>3</v>
      </c>
      <c r="D2" s="26" t="s">
        <v>4</v>
      </c>
      <c r="E2" s="26" t="s">
        <v>9</v>
      </c>
      <c r="F2" s="26" t="s">
        <v>10</v>
      </c>
      <c r="G2" s="26" t="s">
        <v>11</v>
      </c>
      <c r="H2" s="26" t="s">
        <v>12</v>
      </c>
      <c r="I2" s="26" t="s">
        <v>13</v>
      </c>
    </row>
    <row r="3" spans="1:9" x14ac:dyDescent="0.25">
      <c r="A3" s="37">
        <v>33</v>
      </c>
      <c r="B3" s="33" t="s">
        <v>81</v>
      </c>
      <c r="C3" s="35" t="s">
        <v>7</v>
      </c>
      <c r="D3" s="35">
        <v>40</v>
      </c>
      <c r="E3" s="36">
        <f>IF(C20&lt;=25%,D20,MIN(E20:F20))</f>
        <v>27.91</v>
      </c>
      <c r="F3" s="36">
        <f>MIN(H3:H17)</f>
        <v>5.9</v>
      </c>
      <c r="G3" s="5" t="s">
        <v>203</v>
      </c>
      <c r="H3" s="16">
        <v>32.99</v>
      </c>
      <c r="I3" s="17">
        <f>IF(H3="","",(IF($C$20&lt;25%,"n/a",IF(H3&lt;=($D$20+$A$20),H3,"Descartado"))))</f>
        <v>32.99</v>
      </c>
    </row>
    <row r="4" spans="1:9" x14ac:dyDescent="0.25">
      <c r="A4" s="37"/>
      <c r="B4" s="34"/>
      <c r="C4" s="35"/>
      <c r="D4" s="35"/>
      <c r="E4" s="36"/>
      <c r="F4" s="36"/>
      <c r="G4" s="5" t="s">
        <v>116</v>
      </c>
      <c r="H4" s="16">
        <v>24.04</v>
      </c>
      <c r="I4" s="17">
        <f t="shared" ref="I4:I17" si="0">IF(H4="","",(IF($C$20&lt;25%,"n/a",IF(H4&lt;=($D$20+$A$20),H4,"Descartado"))))</f>
        <v>24.04</v>
      </c>
    </row>
    <row r="5" spans="1:9" x14ac:dyDescent="0.25">
      <c r="A5" s="37"/>
      <c r="B5" s="34"/>
      <c r="C5" s="35"/>
      <c r="D5" s="35"/>
      <c r="E5" s="36"/>
      <c r="F5" s="36"/>
      <c r="G5" s="5" t="s">
        <v>204</v>
      </c>
      <c r="H5" s="16">
        <v>28.571400000000001</v>
      </c>
      <c r="I5" s="17">
        <f t="shared" si="0"/>
        <v>28.571400000000001</v>
      </c>
    </row>
    <row r="6" spans="1:9" x14ac:dyDescent="0.25">
      <c r="A6" s="37"/>
      <c r="B6" s="34"/>
      <c r="C6" s="35"/>
      <c r="D6" s="35"/>
      <c r="E6" s="36"/>
      <c r="F6" s="36"/>
      <c r="G6" s="5" t="s">
        <v>103</v>
      </c>
      <c r="H6" s="16">
        <v>36.229999999999997</v>
      </c>
      <c r="I6" s="17">
        <f t="shared" si="0"/>
        <v>36.229999999999997</v>
      </c>
    </row>
    <row r="7" spans="1:9" x14ac:dyDescent="0.25">
      <c r="A7" s="37"/>
      <c r="B7" s="34"/>
      <c r="C7" s="35"/>
      <c r="D7" s="35"/>
      <c r="E7" s="36"/>
      <c r="F7" s="36"/>
      <c r="G7" s="5" t="s">
        <v>102</v>
      </c>
      <c r="H7" s="16">
        <v>31.9</v>
      </c>
      <c r="I7" s="17">
        <f t="shared" si="0"/>
        <v>31.9</v>
      </c>
    </row>
    <row r="8" spans="1:9" x14ac:dyDescent="0.25">
      <c r="A8" s="37"/>
      <c r="B8" s="34"/>
      <c r="C8" s="35"/>
      <c r="D8" s="35"/>
      <c r="E8" s="36"/>
      <c r="F8" s="36"/>
      <c r="G8" s="5" t="s">
        <v>88</v>
      </c>
      <c r="H8" s="16">
        <v>88.74</v>
      </c>
      <c r="I8" s="17" t="str">
        <f t="shared" si="0"/>
        <v>Descartado</v>
      </c>
    </row>
    <row r="9" spans="1:9" x14ac:dyDescent="0.25">
      <c r="A9" s="37"/>
      <c r="B9" s="34"/>
      <c r="C9" s="35"/>
      <c r="D9" s="35"/>
      <c r="E9" s="36"/>
      <c r="F9" s="36"/>
      <c r="G9" s="5" t="s">
        <v>205</v>
      </c>
      <c r="H9" s="16">
        <v>31.83</v>
      </c>
      <c r="I9" s="17">
        <f t="shared" si="0"/>
        <v>31.83</v>
      </c>
    </row>
    <row r="10" spans="1:9" x14ac:dyDescent="0.25">
      <c r="A10" s="37"/>
      <c r="B10" s="34"/>
      <c r="C10" s="35"/>
      <c r="D10" s="35"/>
      <c r="E10" s="36"/>
      <c r="F10" s="36"/>
      <c r="G10" s="5" t="s">
        <v>89</v>
      </c>
      <c r="H10" s="16">
        <v>5.9</v>
      </c>
      <c r="I10" s="17">
        <f t="shared" si="0"/>
        <v>5.9</v>
      </c>
    </row>
    <row r="11" spans="1:9" x14ac:dyDescent="0.25">
      <c r="A11" s="37"/>
      <c r="B11" s="34"/>
      <c r="C11" s="35"/>
      <c r="D11" s="35"/>
      <c r="E11" s="36"/>
      <c r="F11" s="36"/>
      <c r="G11" s="5" t="s">
        <v>108</v>
      </c>
      <c r="H11" s="16">
        <v>26</v>
      </c>
      <c r="I11" s="17">
        <f t="shared" si="0"/>
        <v>26</v>
      </c>
    </row>
    <row r="12" spans="1:9" x14ac:dyDescent="0.25">
      <c r="A12" s="37"/>
      <c r="B12" s="34"/>
      <c r="C12" s="35"/>
      <c r="D12" s="35"/>
      <c r="E12" s="36"/>
      <c r="F12" s="36"/>
      <c r="G12" s="5" t="s">
        <v>90</v>
      </c>
      <c r="H12" s="16">
        <v>30</v>
      </c>
      <c r="I12" s="17">
        <f t="shared" si="0"/>
        <v>30</v>
      </c>
    </row>
    <row r="13" spans="1:9" x14ac:dyDescent="0.25">
      <c r="A13" s="37"/>
      <c r="B13" s="34"/>
      <c r="C13" s="35"/>
      <c r="D13" s="35"/>
      <c r="E13" s="36"/>
      <c r="F13" s="36"/>
      <c r="G13" s="5" t="s">
        <v>206</v>
      </c>
      <c r="H13" s="16">
        <v>70</v>
      </c>
      <c r="I13" s="17" t="str">
        <f t="shared" si="0"/>
        <v>Descartado</v>
      </c>
    </row>
    <row r="14" spans="1:9" x14ac:dyDescent="0.25">
      <c r="A14" s="37"/>
      <c r="B14" s="34"/>
      <c r="C14" s="35"/>
      <c r="D14" s="35"/>
      <c r="E14" s="36"/>
      <c r="F14" s="36"/>
      <c r="G14" s="5" t="s">
        <v>207</v>
      </c>
      <c r="H14" s="16">
        <v>52.5</v>
      </c>
      <c r="I14" s="17">
        <f t="shared" si="0"/>
        <v>52.5</v>
      </c>
    </row>
    <row r="15" spans="1:9" x14ac:dyDescent="0.25">
      <c r="A15" s="37"/>
      <c r="B15" s="34"/>
      <c r="C15" s="35"/>
      <c r="D15" s="35"/>
      <c r="E15" s="36"/>
      <c r="F15" s="36"/>
      <c r="G15" s="5" t="s">
        <v>182</v>
      </c>
      <c r="H15" s="16">
        <v>7</v>
      </c>
      <c r="I15" s="17">
        <f t="shared" si="0"/>
        <v>7</v>
      </c>
    </row>
    <row r="16" spans="1:9" x14ac:dyDescent="0.25">
      <c r="A16" s="37"/>
      <c r="B16" s="34"/>
      <c r="C16" s="35"/>
      <c r="D16" s="35"/>
      <c r="E16" s="36"/>
      <c r="F16" s="36"/>
      <c r="G16" s="5"/>
      <c r="H16" s="16"/>
      <c r="I16" s="17" t="str">
        <f t="shared" si="0"/>
        <v/>
      </c>
    </row>
    <row r="17" spans="1:9" x14ac:dyDescent="0.25">
      <c r="A17" s="37"/>
      <c r="B17" s="34"/>
      <c r="C17" s="35"/>
      <c r="D17" s="35"/>
      <c r="E17" s="36"/>
      <c r="F17" s="36"/>
      <c r="G17" s="5"/>
      <c r="H17" s="16"/>
      <c r="I17" s="17" t="str">
        <f t="shared" si="0"/>
        <v/>
      </c>
    </row>
    <row r="19" spans="1:9" s="4" customFormat="1" ht="24" x14ac:dyDescent="0.25">
      <c r="A19" s="26" t="s">
        <v>14</v>
      </c>
      <c r="B19" s="26" t="s">
        <v>15</v>
      </c>
      <c r="C19" s="26" t="s">
        <v>25</v>
      </c>
      <c r="D19" s="26" t="s">
        <v>16</v>
      </c>
      <c r="E19" s="26" t="s">
        <v>17</v>
      </c>
      <c r="F19" s="26" t="s">
        <v>18</v>
      </c>
      <c r="G19" s="31" t="s">
        <v>19</v>
      </c>
      <c r="H19" s="31"/>
    </row>
    <row r="20" spans="1:9" x14ac:dyDescent="0.25">
      <c r="A20" s="8">
        <f>IF(B20&lt;2,"n/a",(_xlfn.STDEV.S(H3:H17)))</f>
        <v>22.974440091322002</v>
      </c>
      <c r="B20" s="8">
        <f>COUNT(H3:H17)</f>
        <v>13</v>
      </c>
      <c r="C20" s="9">
        <f>IF(B20&lt;2,"n/a",(A20/D20))</f>
        <v>0.64138582052825244</v>
      </c>
      <c r="D20" s="10">
        <f>IFERROR(ROUND(AVERAGE(H3:H17),2),"")</f>
        <v>35.82</v>
      </c>
      <c r="E20" s="15">
        <f>IFERROR(ROUND(IF(B20&lt;2,"n/a",(IF(C20&lt;=25%,"n/a",AVERAGE(I3:I17)))),2),"n/a")</f>
        <v>27.91</v>
      </c>
      <c r="F20" s="10">
        <f>IFERROR(ROUND(MEDIAN(H3:H17),2),"")</f>
        <v>31.83</v>
      </c>
      <c r="G20" s="11" t="str">
        <f>IFERROR(INDEX(G3:G17,MATCH(H20,H3:H17,0)),"")</f>
        <v>TRI-CAMPEAO - COMERCIO DE MATERIAIS DE CONSTRUCAO LTDA</v>
      </c>
      <c r="H20" s="12">
        <f>F3</f>
        <v>5.9</v>
      </c>
    </row>
    <row r="22" spans="1:9" x14ac:dyDescent="0.25">
      <c r="G22" s="13" t="s">
        <v>20</v>
      </c>
      <c r="H22" s="14">
        <f>IF(C20&lt;=25%,D20,MIN(E20:F20))</f>
        <v>27.91</v>
      </c>
    </row>
    <row r="23" spans="1:9" x14ac:dyDescent="0.25">
      <c r="G23" s="13" t="s">
        <v>6</v>
      </c>
      <c r="H23" s="14">
        <f>ROUND(H22,2)*D3</f>
        <v>1116.4000000000001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H11" sqref="H11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2" t="s">
        <v>8</v>
      </c>
      <c r="B1" s="32"/>
      <c r="C1" s="32"/>
      <c r="D1" s="32"/>
      <c r="E1" s="32"/>
      <c r="F1" s="32"/>
      <c r="G1" s="32"/>
      <c r="H1" s="32"/>
      <c r="I1" s="32"/>
    </row>
    <row r="2" spans="1:9" s="4" customFormat="1" ht="36" x14ac:dyDescent="0.25">
      <c r="A2" s="26" t="s">
        <v>1</v>
      </c>
      <c r="B2" s="26" t="s">
        <v>2</v>
      </c>
      <c r="C2" s="26" t="s">
        <v>3</v>
      </c>
      <c r="D2" s="26" t="s">
        <v>4</v>
      </c>
      <c r="E2" s="26" t="s">
        <v>9</v>
      </c>
      <c r="F2" s="26" t="s">
        <v>10</v>
      </c>
      <c r="G2" s="26" t="s">
        <v>11</v>
      </c>
      <c r="H2" s="26" t="s">
        <v>12</v>
      </c>
      <c r="I2" s="26" t="s">
        <v>13</v>
      </c>
    </row>
    <row r="3" spans="1:9" x14ac:dyDescent="0.25">
      <c r="A3" s="37">
        <v>34</v>
      </c>
      <c r="B3" s="33" t="s">
        <v>82</v>
      </c>
      <c r="C3" s="35" t="s">
        <v>7</v>
      </c>
      <c r="D3" s="35">
        <v>40</v>
      </c>
      <c r="E3" s="36">
        <f>IF(C20&lt;=25%,D20,MIN(E20:F20))</f>
        <v>34.04</v>
      </c>
      <c r="F3" s="36">
        <f>MIN(H3:H17)</f>
        <v>27.5</v>
      </c>
      <c r="G3" s="5" t="s">
        <v>208</v>
      </c>
      <c r="H3" s="16">
        <v>33.81</v>
      </c>
      <c r="I3" s="17">
        <f>IF(H3="","",(IF($C$20&lt;25%,"n/a",IF(H3&lt;=($D$20+$A$20),H3,"Descartado"))))</f>
        <v>33.81</v>
      </c>
    </row>
    <row r="4" spans="1:9" x14ac:dyDescent="0.25">
      <c r="A4" s="37"/>
      <c r="B4" s="34"/>
      <c r="C4" s="35"/>
      <c r="D4" s="35"/>
      <c r="E4" s="36"/>
      <c r="F4" s="36"/>
      <c r="G4" s="5" t="s">
        <v>188</v>
      </c>
      <c r="H4" s="16">
        <v>42</v>
      </c>
      <c r="I4" s="17">
        <f t="shared" ref="I4:I17" si="0">IF(H4="","",(IF($C$20&lt;25%,"n/a",IF(H4&lt;=($D$20+$A$20),H4,"Descartado"))))</f>
        <v>42</v>
      </c>
    </row>
    <row r="5" spans="1:9" x14ac:dyDescent="0.25">
      <c r="A5" s="37"/>
      <c r="B5" s="34"/>
      <c r="C5" s="35"/>
      <c r="D5" s="35"/>
      <c r="E5" s="36"/>
      <c r="F5" s="36"/>
      <c r="G5" s="5" t="s">
        <v>146</v>
      </c>
      <c r="H5" s="16">
        <v>30.57</v>
      </c>
      <c r="I5" s="17">
        <f t="shared" si="0"/>
        <v>30.57</v>
      </c>
    </row>
    <row r="6" spans="1:9" x14ac:dyDescent="0.25">
      <c r="A6" s="37"/>
      <c r="B6" s="34"/>
      <c r="C6" s="35"/>
      <c r="D6" s="35"/>
      <c r="E6" s="36"/>
      <c r="F6" s="36"/>
      <c r="G6" s="5" t="s">
        <v>209</v>
      </c>
      <c r="H6" s="16">
        <v>35</v>
      </c>
      <c r="I6" s="17">
        <f t="shared" si="0"/>
        <v>35</v>
      </c>
    </row>
    <row r="7" spans="1:9" x14ac:dyDescent="0.25">
      <c r="A7" s="37"/>
      <c r="B7" s="34"/>
      <c r="C7" s="35"/>
      <c r="D7" s="35"/>
      <c r="E7" s="36"/>
      <c r="F7" s="36"/>
      <c r="G7" s="5" t="s">
        <v>162</v>
      </c>
      <c r="H7" s="16">
        <v>27.5</v>
      </c>
      <c r="I7" s="17">
        <f t="shared" si="0"/>
        <v>27.5</v>
      </c>
    </row>
    <row r="8" spans="1:9" x14ac:dyDescent="0.25">
      <c r="A8" s="37"/>
      <c r="B8" s="34"/>
      <c r="C8" s="35"/>
      <c r="D8" s="35"/>
      <c r="E8" s="36"/>
      <c r="F8" s="36"/>
      <c r="G8" s="5" t="s">
        <v>210</v>
      </c>
      <c r="H8" s="16">
        <v>39.39</v>
      </c>
      <c r="I8" s="17">
        <f t="shared" si="0"/>
        <v>39.39</v>
      </c>
    </row>
    <row r="9" spans="1:9" x14ac:dyDescent="0.25">
      <c r="A9" s="37"/>
      <c r="B9" s="34"/>
      <c r="C9" s="35"/>
      <c r="D9" s="35"/>
      <c r="E9" s="36"/>
      <c r="F9" s="36"/>
      <c r="G9" s="5" t="s">
        <v>211</v>
      </c>
      <c r="H9" s="16">
        <v>30</v>
      </c>
      <c r="I9" s="17">
        <f t="shared" si="0"/>
        <v>30</v>
      </c>
    </row>
    <row r="10" spans="1:9" x14ac:dyDescent="0.25">
      <c r="A10" s="37"/>
      <c r="B10" s="34"/>
      <c r="C10" s="35"/>
      <c r="D10" s="35"/>
      <c r="E10" s="36"/>
      <c r="F10" s="36"/>
      <c r="G10" s="5" t="s">
        <v>88</v>
      </c>
      <c r="H10" s="16">
        <v>163.26</v>
      </c>
      <c r="I10" s="17" t="str">
        <f t="shared" si="0"/>
        <v>Descartado</v>
      </c>
    </row>
    <row r="11" spans="1:9" x14ac:dyDescent="0.25">
      <c r="A11" s="37"/>
      <c r="B11" s="34"/>
      <c r="C11" s="35"/>
      <c r="D11" s="35"/>
      <c r="E11" s="36"/>
      <c r="F11" s="36"/>
      <c r="G11" s="5"/>
      <c r="H11" s="16"/>
      <c r="I11" s="17" t="str">
        <f t="shared" si="0"/>
        <v/>
      </c>
    </row>
    <row r="12" spans="1:9" x14ac:dyDescent="0.25">
      <c r="A12" s="37"/>
      <c r="B12" s="34"/>
      <c r="C12" s="35"/>
      <c r="D12" s="35"/>
      <c r="E12" s="36"/>
      <c r="F12" s="36"/>
      <c r="G12" s="5"/>
      <c r="H12" s="16"/>
      <c r="I12" s="17" t="str">
        <f t="shared" si="0"/>
        <v/>
      </c>
    </row>
    <row r="13" spans="1:9" x14ac:dyDescent="0.25">
      <c r="A13" s="37"/>
      <c r="B13" s="34"/>
      <c r="C13" s="35"/>
      <c r="D13" s="35"/>
      <c r="E13" s="36"/>
      <c r="F13" s="36"/>
      <c r="G13" s="5"/>
      <c r="H13" s="16"/>
      <c r="I13" s="17" t="str">
        <f t="shared" si="0"/>
        <v/>
      </c>
    </row>
    <row r="14" spans="1:9" x14ac:dyDescent="0.25">
      <c r="A14" s="37"/>
      <c r="B14" s="34"/>
      <c r="C14" s="35"/>
      <c r="D14" s="35"/>
      <c r="E14" s="36"/>
      <c r="F14" s="36"/>
      <c r="G14" s="5"/>
      <c r="H14" s="16"/>
      <c r="I14" s="17" t="str">
        <f t="shared" si="0"/>
        <v/>
      </c>
    </row>
    <row r="15" spans="1:9" x14ac:dyDescent="0.25">
      <c r="A15" s="37"/>
      <c r="B15" s="34"/>
      <c r="C15" s="35"/>
      <c r="D15" s="35"/>
      <c r="E15" s="36"/>
      <c r="F15" s="36"/>
      <c r="G15" s="5"/>
      <c r="H15" s="16"/>
      <c r="I15" s="17" t="str">
        <f t="shared" si="0"/>
        <v/>
      </c>
    </row>
    <row r="16" spans="1:9" x14ac:dyDescent="0.25">
      <c r="A16" s="37"/>
      <c r="B16" s="34"/>
      <c r="C16" s="35"/>
      <c r="D16" s="35"/>
      <c r="E16" s="36"/>
      <c r="F16" s="36"/>
      <c r="G16" s="5"/>
      <c r="H16" s="16"/>
      <c r="I16" s="17" t="str">
        <f t="shared" si="0"/>
        <v/>
      </c>
    </row>
    <row r="17" spans="1:9" x14ac:dyDescent="0.25">
      <c r="A17" s="37"/>
      <c r="B17" s="34"/>
      <c r="C17" s="35"/>
      <c r="D17" s="35"/>
      <c r="E17" s="36"/>
      <c r="F17" s="36"/>
      <c r="G17" s="5"/>
      <c r="H17" s="16"/>
      <c r="I17" s="17" t="str">
        <f t="shared" si="0"/>
        <v/>
      </c>
    </row>
    <row r="19" spans="1:9" s="4" customFormat="1" ht="24" x14ac:dyDescent="0.25">
      <c r="A19" s="26" t="s">
        <v>14</v>
      </c>
      <c r="B19" s="26" t="s">
        <v>15</v>
      </c>
      <c r="C19" s="26" t="s">
        <v>25</v>
      </c>
      <c r="D19" s="26" t="s">
        <v>16</v>
      </c>
      <c r="E19" s="26" t="s">
        <v>17</v>
      </c>
      <c r="F19" s="26" t="s">
        <v>18</v>
      </c>
      <c r="G19" s="31" t="s">
        <v>19</v>
      </c>
      <c r="H19" s="31"/>
    </row>
    <row r="20" spans="1:9" x14ac:dyDescent="0.25">
      <c r="A20" s="8">
        <f>IF(B20&lt;2,"n/a",(_xlfn.STDEV.S(H3:H17)))</f>
        <v>45.94250768623759</v>
      </c>
      <c r="B20" s="8">
        <f>COUNT(H3:H17)</f>
        <v>8</v>
      </c>
      <c r="C20" s="9">
        <f>IF(B20&lt;2,"n/a",(A20/D20))</f>
        <v>0.91537174110853936</v>
      </c>
      <c r="D20" s="10">
        <f>IFERROR(ROUND(AVERAGE(H3:H17),2),"")</f>
        <v>50.19</v>
      </c>
      <c r="E20" s="15">
        <f>IFERROR(ROUND(IF(B20&lt;2,"n/a",(IF(C20&lt;=25%,"n/a",AVERAGE(I3:I17)))),2),"n/a")</f>
        <v>34.04</v>
      </c>
      <c r="F20" s="10">
        <f>IFERROR(ROUND(MEDIAN(H3:H17),2),"")</f>
        <v>34.409999999999997</v>
      </c>
      <c r="G20" s="11" t="str">
        <f>IFERROR(INDEX(G3:G17,MATCH(H20,H3:H17,0)),"")</f>
        <v>V. F. GERMANO SILVA LTDA</v>
      </c>
      <c r="H20" s="12">
        <f>F3</f>
        <v>27.5</v>
      </c>
    </row>
    <row r="22" spans="1:9" x14ac:dyDescent="0.25">
      <c r="G22" s="13" t="s">
        <v>20</v>
      </c>
      <c r="H22" s="14">
        <f>IF(C20&lt;=25%,D20,MIN(E20:F20))</f>
        <v>34.04</v>
      </c>
    </row>
    <row r="23" spans="1:9" x14ac:dyDescent="0.25">
      <c r="G23" s="13" t="s">
        <v>6</v>
      </c>
      <c r="H23" s="14">
        <f>ROUND(H22,2)*D3</f>
        <v>1361.6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10" sqref="G10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2" t="s">
        <v>8</v>
      </c>
      <c r="B1" s="32"/>
      <c r="C1" s="32"/>
      <c r="D1" s="32"/>
      <c r="E1" s="32"/>
      <c r="F1" s="32"/>
      <c r="G1" s="32"/>
      <c r="H1" s="32"/>
      <c r="I1" s="32"/>
    </row>
    <row r="2" spans="1:9" s="4" customFormat="1" ht="36" x14ac:dyDescent="0.25">
      <c r="A2" s="26" t="s">
        <v>1</v>
      </c>
      <c r="B2" s="26" t="s">
        <v>2</v>
      </c>
      <c r="C2" s="26" t="s">
        <v>3</v>
      </c>
      <c r="D2" s="26" t="s">
        <v>4</v>
      </c>
      <c r="E2" s="26" t="s">
        <v>9</v>
      </c>
      <c r="F2" s="26" t="s">
        <v>10</v>
      </c>
      <c r="G2" s="26" t="s">
        <v>11</v>
      </c>
      <c r="H2" s="26" t="s">
        <v>12</v>
      </c>
      <c r="I2" s="26" t="s">
        <v>13</v>
      </c>
    </row>
    <row r="3" spans="1:9" x14ac:dyDescent="0.25">
      <c r="A3" s="37">
        <v>35</v>
      </c>
      <c r="B3" s="33" t="s">
        <v>83</v>
      </c>
      <c r="C3" s="35" t="s">
        <v>49</v>
      </c>
      <c r="D3" s="35">
        <v>400</v>
      </c>
      <c r="E3" s="36">
        <f>IF(C20&lt;=25%,D20,MIN(E20:F20))</f>
        <v>39.270000000000003</v>
      </c>
      <c r="F3" s="36">
        <f>MIN(H3:H17)</f>
        <v>31</v>
      </c>
      <c r="G3" s="5" t="s">
        <v>212</v>
      </c>
      <c r="H3" s="16">
        <f>6.6*5</f>
        <v>33</v>
      </c>
      <c r="I3" s="17" t="str">
        <f>IF(H3="","",(IF($C$20&lt;25%,"n/a",IF(H3&lt;=($D$20+$A$20),H3,"Descartado"))))</f>
        <v>n/a</v>
      </c>
    </row>
    <row r="4" spans="1:9" x14ac:dyDescent="0.25">
      <c r="A4" s="37"/>
      <c r="B4" s="34"/>
      <c r="C4" s="35"/>
      <c r="D4" s="35"/>
      <c r="E4" s="36"/>
      <c r="F4" s="36"/>
      <c r="G4" s="5" t="s">
        <v>152</v>
      </c>
      <c r="H4" s="16">
        <f>8*5</f>
        <v>40</v>
      </c>
      <c r="I4" s="17" t="str">
        <f t="shared" ref="I4:I17" si="0">IF(H4="","",(IF($C$20&lt;25%,"n/a",IF(H4&lt;=($D$20+$A$20),H4,"Descartado"))))</f>
        <v>n/a</v>
      </c>
    </row>
    <row r="5" spans="1:9" x14ac:dyDescent="0.25">
      <c r="A5" s="37"/>
      <c r="B5" s="34"/>
      <c r="C5" s="35"/>
      <c r="D5" s="35"/>
      <c r="E5" s="36"/>
      <c r="F5" s="36"/>
      <c r="G5" s="5" t="s">
        <v>184</v>
      </c>
      <c r="H5" s="16">
        <f>6.2*5</f>
        <v>31</v>
      </c>
      <c r="I5" s="17" t="str">
        <f t="shared" si="0"/>
        <v>n/a</v>
      </c>
    </row>
    <row r="6" spans="1:9" x14ac:dyDescent="0.25">
      <c r="A6" s="37"/>
      <c r="B6" s="34"/>
      <c r="C6" s="35"/>
      <c r="D6" s="35"/>
      <c r="E6" s="36"/>
      <c r="F6" s="36"/>
      <c r="G6" s="5" t="s">
        <v>213</v>
      </c>
      <c r="H6" s="16">
        <f>10*5</f>
        <v>50</v>
      </c>
      <c r="I6" s="17" t="str">
        <f t="shared" si="0"/>
        <v>n/a</v>
      </c>
    </row>
    <row r="7" spans="1:9" x14ac:dyDescent="0.25">
      <c r="A7" s="37"/>
      <c r="B7" s="34"/>
      <c r="C7" s="35"/>
      <c r="D7" s="35"/>
      <c r="E7" s="36"/>
      <c r="F7" s="36"/>
      <c r="G7" s="5" t="s">
        <v>214</v>
      </c>
      <c r="H7" s="16">
        <f>6.42*5</f>
        <v>32.1</v>
      </c>
      <c r="I7" s="17" t="str">
        <f t="shared" si="0"/>
        <v>n/a</v>
      </c>
    </row>
    <row r="8" spans="1:9" x14ac:dyDescent="0.25">
      <c r="A8" s="37"/>
      <c r="B8" s="34"/>
      <c r="C8" s="35"/>
      <c r="D8" s="35"/>
      <c r="E8" s="36"/>
      <c r="F8" s="36"/>
      <c r="G8" s="5" t="s">
        <v>215</v>
      </c>
      <c r="H8" s="16">
        <f>9.7711*5</f>
        <v>48.855500000000006</v>
      </c>
      <c r="I8" s="17" t="str">
        <f t="shared" si="0"/>
        <v>n/a</v>
      </c>
    </row>
    <row r="9" spans="1:9" x14ac:dyDescent="0.25">
      <c r="A9" s="37"/>
      <c r="B9" s="34"/>
      <c r="C9" s="35"/>
      <c r="D9" s="35"/>
      <c r="E9" s="36"/>
      <c r="F9" s="36"/>
      <c r="G9" s="5" t="s">
        <v>216</v>
      </c>
      <c r="H9" s="16">
        <f>7.99*5</f>
        <v>39.950000000000003</v>
      </c>
      <c r="I9" s="17" t="str">
        <f t="shared" si="0"/>
        <v>n/a</v>
      </c>
    </row>
    <row r="10" spans="1:9" x14ac:dyDescent="0.25">
      <c r="A10" s="37"/>
      <c r="B10" s="34"/>
      <c r="C10" s="35"/>
      <c r="D10" s="35"/>
      <c r="E10" s="36"/>
      <c r="F10" s="36"/>
      <c r="G10" s="5"/>
      <c r="H10" s="16"/>
      <c r="I10" s="17" t="str">
        <f t="shared" si="0"/>
        <v/>
      </c>
    </row>
    <row r="11" spans="1:9" x14ac:dyDescent="0.25">
      <c r="A11" s="37"/>
      <c r="B11" s="34"/>
      <c r="C11" s="35"/>
      <c r="D11" s="35"/>
      <c r="E11" s="36"/>
      <c r="F11" s="36"/>
      <c r="G11" s="5"/>
      <c r="H11" s="16"/>
      <c r="I11" s="17" t="str">
        <f t="shared" si="0"/>
        <v/>
      </c>
    </row>
    <row r="12" spans="1:9" x14ac:dyDescent="0.25">
      <c r="A12" s="37"/>
      <c r="B12" s="34"/>
      <c r="C12" s="35"/>
      <c r="D12" s="35"/>
      <c r="E12" s="36"/>
      <c r="F12" s="36"/>
      <c r="G12" s="5"/>
      <c r="H12" s="16"/>
      <c r="I12" s="17" t="str">
        <f t="shared" si="0"/>
        <v/>
      </c>
    </row>
    <row r="13" spans="1:9" x14ac:dyDescent="0.25">
      <c r="A13" s="37"/>
      <c r="B13" s="34"/>
      <c r="C13" s="35"/>
      <c r="D13" s="35"/>
      <c r="E13" s="36"/>
      <c r="F13" s="36"/>
      <c r="G13" s="5"/>
      <c r="H13" s="16"/>
      <c r="I13" s="17" t="str">
        <f t="shared" si="0"/>
        <v/>
      </c>
    </row>
    <row r="14" spans="1:9" x14ac:dyDescent="0.25">
      <c r="A14" s="37"/>
      <c r="B14" s="34"/>
      <c r="C14" s="35"/>
      <c r="D14" s="35"/>
      <c r="E14" s="36"/>
      <c r="F14" s="36"/>
      <c r="G14" s="5"/>
      <c r="H14" s="16"/>
      <c r="I14" s="17" t="str">
        <f t="shared" si="0"/>
        <v/>
      </c>
    </row>
    <row r="15" spans="1:9" x14ac:dyDescent="0.25">
      <c r="A15" s="37"/>
      <c r="B15" s="34"/>
      <c r="C15" s="35"/>
      <c r="D15" s="35"/>
      <c r="E15" s="36"/>
      <c r="F15" s="36"/>
      <c r="G15" s="5"/>
      <c r="H15" s="16"/>
      <c r="I15" s="17" t="str">
        <f t="shared" si="0"/>
        <v/>
      </c>
    </row>
    <row r="16" spans="1:9" x14ac:dyDescent="0.25">
      <c r="A16" s="37"/>
      <c r="B16" s="34"/>
      <c r="C16" s="35"/>
      <c r="D16" s="35"/>
      <c r="E16" s="36"/>
      <c r="F16" s="36"/>
      <c r="G16" s="5"/>
      <c r="H16" s="16"/>
      <c r="I16" s="17" t="str">
        <f t="shared" si="0"/>
        <v/>
      </c>
    </row>
    <row r="17" spans="1:9" x14ac:dyDescent="0.25">
      <c r="A17" s="37"/>
      <c r="B17" s="34"/>
      <c r="C17" s="35"/>
      <c r="D17" s="35"/>
      <c r="E17" s="36"/>
      <c r="F17" s="36"/>
      <c r="G17" s="5"/>
      <c r="H17" s="16"/>
      <c r="I17" s="17" t="str">
        <f t="shared" si="0"/>
        <v/>
      </c>
    </row>
    <row r="19" spans="1:9" s="4" customFormat="1" ht="24" x14ac:dyDescent="0.25">
      <c r="A19" s="26" t="s">
        <v>14</v>
      </c>
      <c r="B19" s="26" t="s">
        <v>15</v>
      </c>
      <c r="C19" s="26" t="s">
        <v>25</v>
      </c>
      <c r="D19" s="26" t="s">
        <v>16</v>
      </c>
      <c r="E19" s="26" t="s">
        <v>17</v>
      </c>
      <c r="F19" s="26" t="s">
        <v>18</v>
      </c>
      <c r="G19" s="31" t="s">
        <v>19</v>
      </c>
      <c r="H19" s="31"/>
    </row>
    <row r="20" spans="1:9" x14ac:dyDescent="0.25">
      <c r="A20" s="8">
        <f>IF(B20&lt;2,"n/a",(_xlfn.STDEV.S(H3:H17)))</f>
        <v>7.8222404711243199</v>
      </c>
      <c r="B20" s="8">
        <f>COUNT(H3:H17)</f>
        <v>7</v>
      </c>
      <c r="C20" s="9">
        <f>IF(B20&lt;2,"n/a",(A20/D20))</f>
        <v>0.19919125212947084</v>
      </c>
      <c r="D20" s="10">
        <f>IFERROR(ROUND(AVERAGE(H3:H17),2),"")</f>
        <v>39.270000000000003</v>
      </c>
      <c r="E20" s="15" t="str">
        <f>IFERROR(ROUND(IF(B20&lt;2,"n/a",(IF(C20&lt;=25%,"n/a",AVERAGE(I3:I17)))),2),"n/a")</f>
        <v>n/a</v>
      </c>
      <c r="F20" s="10">
        <f>IFERROR(ROUND(MEDIAN(H3:H17),2),"")</f>
        <v>39.950000000000003</v>
      </c>
      <c r="G20" s="11" t="str">
        <f>IFERROR(INDEX(G3:G17,MATCH(H20,H3:H17,0)),"")</f>
        <v>HYDROLUZ LTDA</v>
      </c>
      <c r="H20" s="12">
        <f>F3</f>
        <v>31</v>
      </c>
    </row>
    <row r="22" spans="1:9" x14ac:dyDescent="0.25">
      <c r="G22" s="13" t="s">
        <v>20</v>
      </c>
      <c r="H22" s="14">
        <f>IF(C20&lt;=25%,D20,MIN(E20:F20))</f>
        <v>39.270000000000003</v>
      </c>
    </row>
    <row r="23" spans="1:9" x14ac:dyDescent="0.25">
      <c r="G23" s="13" t="s">
        <v>6</v>
      </c>
      <c r="H23" s="14">
        <f>ROUND(H22,2)*D3</f>
        <v>15708.000000000002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F27" sqref="F27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2" t="s">
        <v>8</v>
      </c>
      <c r="B1" s="32"/>
      <c r="C1" s="32"/>
      <c r="D1" s="32"/>
      <c r="E1" s="32"/>
      <c r="F1" s="32"/>
      <c r="G1" s="32"/>
      <c r="H1" s="32"/>
      <c r="I1" s="32"/>
    </row>
    <row r="2" spans="1:9" s="4" customFormat="1" ht="36" x14ac:dyDescent="0.25">
      <c r="A2" s="26" t="s">
        <v>1</v>
      </c>
      <c r="B2" s="26" t="s">
        <v>2</v>
      </c>
      <c r="C2" s="26" t="s">
        <v>3</v>
      </c>
      <c r="D2" s="26" t="s">
        <v>4</v>
      </c>
      <c r="E2" s="26" t="s">
        <v>9</v>
      </c>
      <c r="F2" s="26" t="s">
        <v>10</v>
      </c>
      <c r="G2" s="26" t="s">
        <v>11</v>
      </c>
      <c r="H2" s="26" t="s">
        <v>12</v>
      </c>
      <c r="I2" s="26" t="s">
        <v>13</v>
      </c>
    </row>
    <row r="3" spans="1:9" x14ac:dyDescent="0.25">
      <c r="A3" s="37">
        <v>38</v>
      </c>
      <c r="B3" s="33" t="s">
        <v>34</v>
      </c>
      <c r="C3" s="35" t="s">
        <v>7</v>
      </c>
      <c r="D3" s="35">
        <v>2</v>
      </c>
      <c r="E3" s="36">
        <f>IF(C20&lt;=25%,D20,MIN(E20:F20))</f>
        <v>33782.480000000003</v>
      </c>
      <c r="F3" s="36">
        <f>MIN(H3:H17)</f>
        <v>28990</v>
      </c>
      <c r="G3" s="5" t="s">
        <v>38</v>
      </c>
      <c r="H3" s="16">
        <v>37050</v>
      </c>
      <c r="I3" s="17" t="str">
        <f>IF(H3="","",(IF($C$20&lt;25%,"n/a",IF(H3&lt;=($D$20+$A$20),H3,"Descartado"))))</f>
        <v>n/a</v>
      </c>
    </row>
    <row r="4" spans="1:9" x14ac:dyDescent="0.25">
      <c r="A4" s="37"/>
      <c r="B4" s="34"/>
      <c r="C4" s="35"/>
      <c r="D4" s="35"/>
      <c r="E4" s="36"/>
      <c r="F4" s="36"/>
      <c r="G4" s="5" t="s">
        <v>39</v>
      </c>
      <c r="H4" s="16">
        <v>28990</v>
      </c>
      <c r="I4" s="17" t="str">
        <f t="shared" ref="I4:I17" si="0">IF(H4="","",(IF($C$20&lt;25%,"n/a",IF(H4&lt;=($D$20+$A$20),H4,"Descartado"))))</f>
        <v>n/a</v>
      </c>
    </row>
    <row r="5" spans="1:9" x14ac:dyDescent="0.25">
      <c r="A5" s="37"/>
      <c r="B5" s="34"/>
      <c r="C5" s="35"/>
      <c r="D5" s="35"/>
      <c r="E5" s="36"/>
      <c r="F5" s="36"/>
      <c r="G5" s="5" t="s">
        <v>40</v>
      </c>
      <c r="H5" s="16">
        <v>34999</v>
      </c>
      <c r="I5" s="17" t="str">
        <f t="shared" si="0"/>
        <v>n/a</v>
      </c>
    </row>
    <row r="6" spans="1:9" x14ac:dyDescent="0.25">
      <c r="A6" s="37"/>
      <c r="B6" s="34"/>
      <c r="C6" s="35"/>
      <c r="D6" s="35"/>
      <c r="E6" s="36"/>
      <c r="F6" s="36"/>
      <c r="G6" s="5" t="s">
        <v>41</v>
      </c>
      <c r="H6" s="16">
        <v>34090.92</v>
      </c>
      <c r="I6" s="17" t="str">
        <f t="shared" si="0"/>
        <v>n/a</v>
      </c>
    </row>
    <row r="7" spans="1:9" x14ac:dyDescent="0.25">
      <c r="A7" s="37"/>
      <c r="B7" s="34"/>
      <c r="C7" s="35"/>
      <c r="D7" s="35"/>
      <c r="E7" s="36"/>
      <c r="F7" s="36"/>
      <c r="G7" s="5"/>
      <c r="H7" s="16"/>
      <c r="I7" s="17" t="str">
        <f t="shared" si="0"/>
        <v/>
      </c>
    </row>
    <row r="8" spans="1:9" x14ac:dyDescent="0.25">
      <c r="A8" s="37"/>
      <c r="B8" s="34"/>
      <c r="C8" s="35"/>
      <c r="D8" s="35"/>
      <c r="E8" s="36"/>
      <c r="F8" s="36"/>
      <c r="G8" s="5"/>
      <c r="H8" s="16"/>
      <c r="I8" s="17" t="str">
        <f t="shared" si="0"/>
        <v/>
      </c>
    </row>
    <row r="9" spans="1:9" x14ac:dyDescent="0.25">
      <c r="A9" s="37"/>
      <c r="B9" s="34"/>
      <c r="C9" s="35"/>
      <c r="D9" s="35"/>
      <c r="E9" s="36"/>
      <c r="F9" s="36"/>
      <c r="G9" s="5"/>
      <c r="H9" s="16"/>
      <c r="I9" s="17" t="str">
        <f t="shared" si="0"/>
        <v/>
      </c>
    </row>
    <row r="10" spans="1:9" x14ac:dyDescent="0.25">
      <c r="A10" s="37"/>
      <c r="B10" s="34"/>
      <c r="C10" s="35"/>
      <c r="D10" s="35"/>
      <c r="E10" s="36"/>
      <c r="F10" s="36"/>
      <c r="G10" s="5"/>
      <c r="H10" s="16"/>
      <c r="I10" s="17" t="str">
        <f t="shared" si="0"/>
        <v/>
      </c>
    </row>
    <row r="11" spans="1:9" x14ac:dyDescent="0.25">
      <c r="A11" s="37"/>
      <c r="B11" s="34"/>
      <c r="C11" s="35"/>
      <c r="D11" s="35"/>
      <c r="E11" s="36"/>
      <c r="F11" s="36"/>
      <c r="G11" s="5"/>
      <c r="H11" s="16"/>
      <c r="I11" s="17" t="str">
        <f t="shared" si="0"/>
        <v/>
      </c>
    </row>
    <row r="12" spans="1:9" x14ac:dyDescent="0.25">
      <c r="A12" s="37"/>
      <c r="B12" s="34"/>
      <c r="C12" s="35"/>
      <c r="D12" s="35"/>
      <c r="E12" s="36"/>
      <c r="F12" s="36"/>
      <c r="G12" s="5"/>
      <c r="H12" s="16"/>
      <c r="I12" s="17" t="str">
        <f t="shared" si="0"/>
        <v/>
      </c>
    </row>
    <row r="13" spans="1:9" x14ac:dyDescent="0.25">
      <c r="A13" s="37"/>
      <c r="B13" s="34"/>
      <c r="C13" s="35"/>
      <c r="D13" s="35"/>
      <c r="E13" s="36"/>
      <c r="F13" s="36"/>
      <c r="G13" s="5"/>
      <c r="H13" s="16"/>
      <c r="I13" s="17" t="str">
        <f t="shared" si="0"/>
        <v/>
      </c>
    </row>
    <row r="14" spans="1:9" x14ac:dyDescent="0.25">
      <c r="A14" s="37"/>
      <c r="B14" s="34"/>
      <c r="C14" s="35"/>
      <c r="D14" s="35"/>
      <c r="E14" s="36"/>
      <c r="F14" s="36"/>
      <c r="G14" s="5"/>
      <c r="H14" s="16"/>
      <c r="I14" s="17" t="str">
        <f t="shared" si="0"/>
        <v/>
      </c>
    </row>
    <row r="15" spans="1:9" x14ac:dyDescent="0.25">
      <c r="A15" s="37"/>
      <c r="B15" s="34"/>
      <c r="C15" s="35"/>
      <c r="D15" s="35"/>
      <c r="E15" s="36"/>
      <c r="F15" s="36"/>
      <c r="G15" s="5"/>
      <c r="H15" s="16"/>
      <c r="I15" s="17" t="str">
        <f t="shared" si="0"/>
        <v/>
      </c>
    </row>
    <row r="16" spans="1:9" x14ac:dyDescent="0.25">
      <c r="A16" s="37"/>
      <c r="B16" s="34"/>
      <c r="C16" s="35"/>
      <c r="D16" s="35"/>
      <c r="E16" s="36"/>
      <c r="F16" s="36"/>
      <c r="G16" s="5"/>
      <c r="H16" s="16"/>
      <c r="I16" s="17" t="str">
        <f t="shared" si="0"/>
        <v/>
      </c>
    </row>
    <row r="17" spans="1:9" x14ac:dyDescent="0.25">
      <c r="A17" s="37"/>
      <c r="B17" s="34"/>
      <c r="C17" s="35"/>
      <c r="D17" s="35"/>
      <c r="E17" s="36"/>
      <c r="F17" s="36"/>
      <c r="G17" s="5"/>
      <c r="H17" s="16"/>
      <c r="I17" s="17" t="str">
        <f t="shared" si="0"/>
        <v/>
      </c>
    </row>
    <row r="19" spans="1:9" s="4" customFormat="1" ht="24" x14ac:dyDescent="0.25">
      <c r="A19" s="26" t="s">
        <v>14</v>
      </c>
      <c r="B19" s="26" t="s">
        <v>15</v>
      </c>
      <c r="C19" s="26" t="s">
        <v>25</v>
      </c>
      <c r="D19" s="26" t="s">
        <v>16</v>
      </c>
      <c r="E19" s="26" t="s">
        <v>17</v>
      </c>
      <c r="F19" s="26" t="s">
        <v>18</v>
      </c>
      <c r="G19" s="31" t="s">
        <v>19</v>
      </c>
      <c r="H19" s="31"/>
    </row>
    <row r="20" spans="1:9" x14ac:dyDescent="0.25">
      <c r="A20" s="8">
        <f>IF(B20&lt;2,"n/a",(_xlfn.STDEV.S(H3:H17)))</f>
        <v>3426.3492546635302</v>
      </c>
      <c r="B20" s="8">
        <f>COUNT(H3:H17)</f>
        <v>4</v>
      </c>
      <c r="C20" s="9">
        <f>IF(B20&lt;2,"n/a",(A20/D20))</f>
        <v>0.10142385208734024</v>
      </c>
      <c r="D20" s="10">
        <f>IFERROR(ROUND(AVERAGE(H3:H17),2),"")</f>
        <v>33782.480000000003</v>
      </c>
      <c r="E20" s="15" t="str">
        <f>IFERROR(ROUND(IF(B20&lt;2,"n/a",(IF(C20&lt;=25%,"n/a",AVERAGE(I3:I17)))),2),"n/a")</f>
        <v>n/a</v>
      </c>
      <c r="F20" s="10">
        <f>IFERROR(ROUND(MEDIAN(H3:H17),2),"")</f>
        <v>34544.959999999999</v>
      </c>
      <c r="G20" s="11" t="str">
        <f>IFERROR(INDEX(G3:G17,MATCH(H20,H3:H17,0)),"")</f>
        <v>HTCLICK</v>
      </c>
      <c r="H20" s="12">
        <f>F3</f>
        <v>28990</v>
      </c>
    </row>
    <row r="22" spans="1:9" x14ac:dyDescent="0.25">
      <c r="G22" s="13" t="s">
        <v>20</v>
      </c>
      <c r="H22" s="14">
        <f>IF(C20&lt;=25%,D20,MIN(E20:F20))</f>
        <v>33782.480000000003</v>
      </c>
    </row>
    <row r="23" spans="1:9" x14ac:dyDescent="0.25">
      <c r="G23" s="13" t="s">
        <v>6</v>
      </c>
      <c r="H23" s="14">
        <f>ROUND(H22,2)*D3</f>
        <v>67564.960000000006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F27" sqref="F27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2" t="s">
        <v>8</v>
      </c>
      <c r="B1" s="32"/>
      <c r="C1" s="32"/>
      <c r="D1" s="32"/>
      <c r="E1" s="32"/>
      <c r="F1" s="32"/>
      <c r="G1" s="32"/>
      <c r="H1" s="32"/>
      <c r="I1" s="32"/>
    </row>
    <row r="2" spans="1:9" s="4" customFormat="1" ht="36" x14ac:dyDescent="0.25">
      <c r="A2" s="26" t="s">
        <v>1</v>
      </c>
      <c r="B2" s="26" t="s">
        <v>2</v>
      </c>
      <c r="C2" s="26" t="s">
        <v>3</v>
      </c>
      <c r="D2" s="26" t="s">
        <v>4</v>
      </c>
      <c r="E2" s="26" t="s">
        <v>9</v>
      </c>
      <c r="F2" s="26" t="s">
        <v>10</v>
      </c>
      <c r="G2" s="26" t="s">
        <v>11</v>
      </c>
      <c r="H2" s="26" t="s">
        <v>12</v>
      </c>
      <c r="I2" s="26" t="s">
        <v>13</v>
      </c>
    </row>
    <row r="3" spans="1:9" x14ac:dyDescent="0.25">
      <c r="A3" s="37">
        <v>39</v>
      </c>
      <c r="B3" s="33" t="s">
        <v>35</v>
      </c>
      <c r="C3" s="35" t="s">
        <v>7</v>
      </c>
      <c r="D3" s="35">
        <f>300*0.25</f>
        <v>75</v>
      </c>
      <c r="E3" s="36">
        <f>IF(C20&lt;=25%,D20,MIN(E20:F20))</f>
        <v>919.45</v>
      </c>
      <c r="F3" s="36">
        <f>MIN(H3:H17)</f>
        <v>724.14</v>
      </c>
      <c r="G3" s="5" t="s">
        <v>42</v>
      </c>
      <c r="H3" s="16">
        <v>724.14</v>
      </c>
      <c r="I3" s="17" t="str">
        <f>IF(H3="","",(IF($C$20&lt;25%,"n/a",IF(H3&lt;=($D$20+$A$20),H3,"Descartado"))))</f>
        <v>n/a</v>
      </c>
    </row>
    <row r="4" spans="1:9" x14ac:dyDescent="0.25">
      <c r="A4" s="37"/>
      <c r="B4" s="34"/>
      <c r="C4" s="35"/>
      <c r="D4" s="35"/>
      <c r="E4" s="36"/>
      <c r="F4" s="36"/>
      <c r="G4" s="5" t="s">
        <v>43</v>
      </c>
      <c r="H4" s="16">
        <v>837</v>
      </c>
      <c r="I4" s="17" t="str">
        <f t="shared" ref="I4:I17" si="0">IF(H4="","",(IF($C$20&lt;25%,"n/a",IF(H4&lt;=($D$20+$A$20),H4,"Descartado"))))</f>
        <v>n/a</v>
      </c>
    </row>
    <row r="5" spans="1:9" x14ac:dyDescent="0.25">
      <c r="A5" s="37"/>
      <c r="B5" s="34"/>
      <c r="C5" s="35"/>
      <c r="D5" s="35"/>
      <c r="E5" s="36"/>
      <c r="F5" s="36"/>
      <c r="G5" s="5" t="s">
        <v>36</v>
      </c>
      <c r="H5" s="16">
        <v>799</v>
      </c>
      <c r="I5" s="17" t="str">
        <f t="shared" si="0"/>
        <v>n/a</v>
      </c>
    </row>
    <row r="6" spans="1:9" x14ac:dyDescent="0.25">
      <c r="A6" s="37"/>
      <c r="B6" s="34"/>
      <c r="C6" s="35"/>
      <c r="D6" s="35"/>
      <c r="E6" s="36"/>
      <c r="F6" s="36"/>
      <c r="G6" s="5" t="s">
        <v>37</v>
      </c>
      <c r="H6" s="16">
        <v>1088.0999999999999</v>
      </c>
      <c r="I6" s="17" t="str">
        <f t="shared" si="0"/>
        <v>n/a</v>
      </c>
    </row>
    <row r="7" spans="1:9" x14ac:dyDescent="0.25">
      <c r="A7" s="37"/>
      <c r="B7" s="34"/>
      <c r="C7" s="35"/>
      <c r="D7" s="35"/>
      <c r="E7" s="36"/>
      <c r="F7" s="36"/>
      <c r="G7" s="5" t="s">
        <v>44</v>
      </c>
      <c r="H7" s="16">
        <v>1148.99</v>
      </c>
      <c r="I7" s="17" t="str">
        <f t="shared" si="0"/>
        <v>n/a</v>
      </c>
    </row>
    <row r="8" spans="1:9" x14ac:dyDescent="0.25">
      <c r="A8" s="37"/>
      <c r="B8" s="34"/>
      <c r="C8" s="35"/>
      <c r="D8" s="35"/>
      <c r="E8" s="36"/>
      <c r="F8" s="36"/>
      <c r="G8" s="5"/>
      <c r="H8" s="16"/>
      <c r="I8" s="17" t="str">
        <f t="shared" si="0"/>
        <v/>
      </c>
    </row>
    <row r="9" spans="1:9" x14ac:dyDescent="0.25">
      <c r="A9" s="37"/>
      <c r="B9" s="34"/>
      <c r="C9" s="35"/>
      <c r="D9" s="35"/>
      <c r="E9" s="36"/>
      <c r="F9" s="36"/>
      <c r="G9" s="5"/>
      <c r="H9" s="16"/>
      <c r="I9" s="17" t="str">
        <f t="shared" si="0"/>
        <v/>
      </c>
    </row>
    <row r="10" spans="1:9" x14ac:dyDescent="0.25">
      <c r="A10" s="37"/>
      <c r="B10" s="34"/>
      <c r="C10" s="35"/>
      <c r="D10" s="35"/>
      <c r="E10" s="36"/>
      <c r="F10" s="36"/>
      <c r="G10" s="5"/>
      <c r="H10" s="16"/>
      <c r="I10" s="17" t="str">
        <f t="shared" si="0"/>
        <v/>
      </c>
    </row>
    <row r="11" spans="1:9" x14ac:dyDescent="0.25">
      <c r="A11" s="37"/>
      <c r="B11" s="34"/>
      <c r="C11" s="35"/>
      <c r="D11" s="35"/>
      <c r="E11" s="36"/>
      <c r="F11" s="36"/>
      <c r="G11" s="5"/>
      <c r="H11" s="16"/>
      <c r="I11" s="17" t="str">
        <f t="shared" si="0"/>
        <v/>
      </c>
    </row>
    <row r="12" spans="1:9" x14ac:dyDescent="0.25">
      <c r="A12" s="37"/>
      <c r="B12" s="34"/>
      <c r="C12" s="35"/>
      <c r="D12" s="35"/>
      <c r="E12" s="36"/>
      <c r="F12" s="36"/>
      <c r="G12" s="5"/>
      <c r="H12" s="16"/>
      <c r="I12" s="17" t="str">
        <f t="shared" si="0"/>
        <v/>
      </c>
    </row>
    <row r="13" spans="1:9" x14ac:dyDescent="0.25">
      <c r="A13" s="37"/>
      <c r="B13" s="34"/>
      <c r="C13" s="35"/>
      <c r="D13" s="35"/>
      <c r="E13" s="36"/>
      <c r="F13" s="36"/>
      <c r="G13" s="5"/>
      <c r="H13" s="16"/>
      <c r="I13" s="17" t="str">
        <f t="shared" si="0"/>
        <v/>
      </c>
    </row>
    <row r="14" spans="1:9" x14ac:dyDescent="0.25">
      <c r="A14" s="37"/>
      <c r="B14" s="34"/>
      <c r="C14" s="35"/>
      <c r="D14" s="35"/>
      <c r="E14" s="36"/>
      <c r="F14" s="36"/>
      <c r="G14" s="5"/>
      <c r="H14" s="16"/>
      <c r="I14" s="17" t="str">
        <f t="shared" si="0"/>
        <v/>
      </c>
    </row>
    <row r="15" spans="1:9" x14ac:dyDescent="0.25">
      <c r="A15" s="37"/>
      <c r="B15" s="34"/>
      <c r="C15" s="35"/>
      <c r="D15" s="35"/>
      <c r="E15" s="36"/>
      <c r="F15" s="36"/>
      <c r="G15" s="5"/>
      <c r="H15" s="16"/>
      <c r="I15" s="17" t="str">
        <f t="shared" si="0"/>
        <v/>
      </c>
    </row>
    <row r="16" spans="1:9" x14ac:dyDescent="0.25">
      <c r="A16" s="37"/>
      <c r="B16" s="34"/>
      <c r="C16" s="35"/>
      <c r="D16" s="35"/>
      <c r="E16" s="36"/>
      <c r="F16" s="36"/>
      <c r="G16" s="5"/>
      <c r="H16" s="16"/>
      <c r="I16" s="17" t="str">
        <f t="shared" si="0"/>
        <v/>
      </c>
    </row>
    <row r="17" spans="1:9" x14ac:dyDescent="0.25">
      <c r="A17" s="37"/>
      <c r="B17" s="34"/>
      <c r="C17" s="35"/>
      <c r="D17" s="35"/>
      <c r="E17" s="36"/>
      <c r="F17" s="36"/>
      <c r="G17" s="5"/>
      <c r="H17" s="16"/>
      <c r="I17" s="17" t="str">
        <f t="shared" si="0"/>
        <v/>
      </c>
    </row>
    <row r="19" spans="1:9" s="4" customFormat="1" ht="24" x14ac:dyDescent="0.25">
      <c r="A19" s="26" t="s">
        <v>14</v>
      </c>
      <c r="B19" s="26" t="s">
        <v>15</v>
      </c>
      <c r="C19" s="26" t="s">
        <v>25</v>
      </c>
      <c r="D19" s="26" t="s">
        <v>16</v>
      </c>
      <c r="E19" s="26" t="s">
        <v>17</v>
      </c>
      <c r="F19" s="26" t="s">
        <v>18</v>
      </c>
      <c r="G19" s="31" t="s">
        <v>19</v>
      </c>
      <c r="H19" s="31"/>
    </row>
    <row r="20" spans="1:9" x14ac:dyDescent="0.25">
      <c r="A20" s="8">
        <f>IF(B20&lt;2,"n/a",(_xlfn.STDEV.S(H3:H17)))</f>
        <v>187.47242138512047</v>
      </c>
      <c r="B20" s="8">
        <f>COUNT(H3:H17)</f>
        <v>5</v>
      </c>
      <c r="C20" s="9">
        <f>IF(B20&lt;2,"n/a",(A20/D20))</f>
        <v>0.20389626557737828</v>
      </c>
      <c r="D20" s="10">
        <f>IFERROR(ROUND(AVERAGE(H3:H17),2),"")</f>
        <v>919.45</v>
      </c>
      <c r="E20" s="15" t="str">
        <f>IFERROR(ROUND(IF(B20&lt;2,"n/a",(IF(C20&lt;=25%,"n/a",AVERAGE(I3:I17)))),2),"n/a")</f>
        <v>n/a</v>
      </c>
      <c r="F20" s="10">
        <f>IFERROR(ROUND(MEDIAN(H3:H17),2),"")</f>
        <v>837</v>
      </c>
      <c r="G20" s="11" t="str">
        <f>IFERROR(INDEX(G3:G17,MATCH(H20,H3:H17,0)),"")</f>
        <v>TIMIX</v>
      </c>
      <c r="H20" s="12">
        <f>F3</f>
        <v>724.14</v>
      </c>
    </row>
    <row r="22" spans="1:9" x14ac:dyDescent="0.25">
      <c r="G22" s="13" t="s">
        <v>20</v>
      </c>
      <c r="H22" s="14">
        <f>IF(C20&lt;=25%,D20,MIN(E20:F20))</f>
        <v>919.45</v>
      </c>
    </row>
    <row r="23" spans="1:9" x14ac:dyDescent="0.25">
      <c r="G23" s="13" t="s">
        <v>6</v>
      </c>
      <c r="H23" s="14">
        <f>ROUND(H22,2)*D3</f>
        <v>68958.75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3" sqref="G3:H17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2" t="s">
        <v>8</v>
      </c>
      <c r="B1" s="32"/>
      <c r="C1" s="32"/>
      <c r="D1" s="32"/>
      <c r="E1" s="32"/>
      <c r="F1" s="32"/>
      <c r="G1" s="32"/>
      <c r="H1" s="32"/>
      <c r="I1" s="32"/>
    </row>
    <row r="2" spans="1:9" s="4" customFormat="1" ht="36" x14ac:dyDescent="0.25">
      <c r="A2" s="26" t="s">
        <v>1</v>
      </c>
      <c r="B2" s="26" t="s">
        <v>2</v>
      </c>
      <c r="C2" s="26" t="s">
        <v>3</v>
      </c>
      <c r="D2" s="26" t="s">
        <v>4</v>
      </c>
      <c r="E2" s="26" t="s">
        <v>9</v>
      </c>
      <c r="F2" s="26" t="s">
        <v>10</v>
      </c>
      <c r="G2" s="26" t="s">
        <v>11</v>
      </c>
      <c r="H2" s="26" t="s">
        <v>12</v>
      </c>
      <c r="I2" s="26" t="s">
        <v>13</v>
      </c>
    </row>
    <row r="3" spans="1:9" x14ac:dyDescent="0.25">
      <c r="A3" s="37">
        <v>40</v>
      </c>
      <c r="B3" s="33"/>
      <c r="C3" s="35" t="s">
        <v>7</v>
      </c>
      <c r="D3" s="35"/>
      <c r="E3" s="36">
        <f>IF(C20&lt;=25%,D20,MIN(E20:F20))</f>
        <v>0</v>
      </c>
      <c r="F3" s="36">
        <f>MIN(H3:H17)</f>
        <v>0</v>
      </c>
      <c r="G3" s="5"/>
      <c r="H3" s="16"/>
      <c r="I3" s="17" t="str">
        <f>IF(H3="","",(IF($C$20&lt;25%,"n/a",IF(H3&lt;=($D$20+$A$20),H3,"Descartado"))))</f>
        <v/>
      </c>
    </row>
    <row r="4" spans="1:9" x14ac:dyDescent="0.25">
      <c r="A4" s="37"/>
      <c r="B4" s="34"/>
      <c r="C4" s="35"/>
      <c r="D4" s="35"/>
      <c r="E4" s="36"/>
      <c r="F4" s="36"/>
      <c r="G4" s="5"/>
      <c r="H4" s="16"/>
      <c r="I4" s="17" t="str">
        <f t="shared" ref="I4:I17" si="0">IF(H4="","",(IF($C$20&lt;25%,"n/a",IF(H4&lt;=($D$20+$A$20),H4,"Descartado"))))</f>
        <v/>
      </c>
    </row>
    <row r="5" spans="1:9" x14ac:dyDescent="0.25">
      <c r="A5" s="37"/>
      <c r="B5" s="34"/>
      <c r="C5" s="35"/>
      <c r="D5" s="35"/>
      <c r="E5" s="36"/>
      <c r="F5" s="36"/>
      <c r="G5" s="5"/>
      <c r="H5" s="16"/>
      <c r="I5" s="17" t="str">
        <f t="shared" si="0"/>
        <v/>
      </c>
    </row>
    <row r="6" spans="1:9" x14ac:dyDescent="0.25">
      <c r="A6" s="37"/>
      <c r="B6" s="34"/>
      <c r="C6" s="35"/>
      <c r="D6" s="35"/>
      <c r="E6" s="36"/>
      <c r="F6" s="36"/>
      <c r="G6" s="5"/>
      <c r="H6" s="16"/>
      <c r="I6" s="17" t="str">
        <f t="shared" si="0"/>
        <v/>
      </c>
    </row>
    <row r="7" spans="1:9" x14ac:dyDescent="0.25">
      <c r="A7" s="37"/>
      <c r="B7" s="34"/>
      <c r="C7" s="35"/>
      <c r="D7" s="35"/>
      <c r="E7" s="36"/>
      <c r="F7" s="36"/>
      <c r="G7" s="5"/>
      <c r="H7" s="16"/>
      <c r="I7" s="17" t="str">
        <f t="shared" si="0"/>
        <v/>
      </c>
    </row>
    <row r="8" spans="1:9" x14ac:dyDescent="0.25">
      <c r="A8" s="37"/>
      <c r="B8" s="34"/>
      <c r="C8" s="35"/>
      <c r="D8" s="35"/>
      <c r="E8" s="36"/>
      <c r="F8" s="36"/>
      <c r="G8" s="5"/>
      <c r="H8" s="16"/>
      <c r="I8" s="17" t="str">
        <f t="shared" si="0"/>
        <v/>
      </c>
    </row>
    <row r="9" spans="1:9" x14ac:dyDescent="0.25">
      <c r="A9" s="37"/>
      <c r="B9" s="34"/>
      <c r="C9" s="35"/>
      <c r="D9" s="35"/>
      <c r="E9" s="36"/>
      <c r="F9" s="36"/>
      <c r="G9" s="5"/>
      <c r="H9" s="16"/>
      <c r="I9" s="17" t="str">
        <f t="shared" si="0"/>
        <v/>
      </c>
    </row>
    <row r="10" spans="1:9" x14ac:dyDescent="0.25">
      <c r="A10" s="37"/>
      <c r="B10" s="34"/>
      <c r="C10" s="35"/>
      <c r="D10" s="35"/>
      <c r="E10" s="36"/>
      <c r="F10" s="36"/>
      <c r="G10" s="5"/>
      <c r="H10" s="16"/>
      <c r="I10" s="17" t="str">
        <f t="shared" si="0"/>
        <v/>
      </c>
    </row>
    <row r="11" spans="1:9" x14ac:dyDescent="0.25">
      <c r="A11" s="37"/>
      <c r="B11" s="34"/>
      <c r="C11" s="35"/>
      <c r="D11" s="35"/>
      <c r="E11" s="36"/>
      <c r="F11" s="36"/>
      <c r="G11" s="5"/>
      <c r="H11" s="16"/>
      <c r="I11" s="17" t="str">
        <f t="shared" si="0"/>
        <v/>
      </c>
    </row>
    <row r="12" spans="1:9" x14ac:dyDescent="0.25">
      <c r="A12" s="37"/>
      <c r="B12" s="34"/>
      <c r="C12" s="35"/>
      <c r="D12" s="35"/>
      <c r="E12" s="36"/>
      <c r="F12" s="36"/>
      <c r="G12" s="5"/>
      <c r="H12" s="16"/>
      <c r="I12" s="17" t="str">
        <f t="shared" si="0"/>
        <v/>
      </c>
    </row>
    <row r="13" spans="1:9" x14ac:dyDescent="0.25">
      <c r="A13" s="37"/>
      <c r="B13" s="34"/>
      <c r="C13" s="35"/>
      <c r="D13" s="35"/>
      <c r="E13" s="36"/>
      <c r="F13" s="36"/>
      <c r="G13" s="5"/>
      <c r="H13" s="16"/>
      <c r="I13" s="17" t="str">
        <f t="shared" si="0"/>
        <v/>
      </c>
    </row>
    <row r="14" spans="1:9" x14ac:dyDescent="0.25">
      <c r="A14" s="37"/>
      <c r="B14" s="34"/>
      <c r="C14" s="35"/>
      <c r="D14" s="35"/>
      <c r="E14" s="36"/>
      <c r="F14" s="36"/>
      <c r="G14" s="5"/>
      <c r="H14" s="16"/>
      <c r="I14" s="17" t="str">
        <f t="shared" si="0"/>
        <v/>
      </c>
    </row>
    <row r="15" spans="1:9" x14ac:dyDescent="0.25">
      <c r="A15" s="37"/>
      <c r="B15" s="34"/>
      <c r="C15" s="35"/>
      <c r="D15" s="35"/>
      <c r="E15" s="36"/>
      <c r="F15" s="36"/>
      <c r="G15" s="5"/>
      <c r="H15" s="16"/>
      <c r="I15" s="17" t="str">
        <f t="shared" si="0"/>
        <v/>
      </c>
    </row>
    <row r="16" spans="1:9" x14ac:dyDescent="0.25">
      <c r="A16" s="37"/>
      <c r="B16" s="34"/>
      <c r="C16" s="35"/>
      <c r="D16" s="35"/>
      <c r="E16" s="36"/>
      <c r="F16" s="36"/>
      <c r="G16" s="5"/>
      <c r="H16" s="16"/>
      <c r="I16" s="17" t="str">
        <f t="shared" si="0"/>
        <v/>
      </c>
    </row>
    <row r="17" spans="1:9" x14ac:dyDescent="0.25">
      <c r="A17" s="37"/>
      <c r="B17" s="34"/>
      <c r="C17" s="35"/>
      <c r="D17" s="35"/>
      <c r="E17" s="36"/>
      <c r="F17" s="36"/>
      <c r="G17" s="5"/>
      <c r="H17" s="16"/>
      <c r="I17" s="17" t="str">
        <f t="shared" si="0"/>
        <v/>
      </c>
    </row>
    <row r="19" spans="1:9" s="4" customFormat="1" ht="24" x14ac:dyDescent="0.25">
      <c r="A19" s="26" t="s">
        <v>14</v>
      </c>
      <c r="B19" s="26" t="s">
        <v>15</v>
      </c>
      <c r="C19" s="26" t="s">
        <v>25</v>
      </c>
      <c r="D19" s="26" t="s">
        <v>16</v>
      </c>
      <c r="E19" s="26" t="s">
        <v>17</v>
      </c>
      <c r="F19" s="26" t="s">
        <v>18</v>
      </c>
      <c r="G19" s="31" t="s">
        <v>19</v>
      </c>
      <c r="H19" s="31"/>
    </row>
    <row r="20" spans="1:9" x14ac:dyDescent="0.25">
      <c r="A20" s="8" t="str">
        <f>IF(B20&lt;2,"n/a",(_xlfn.STDEV.S(H3:H17)))</f>
        <v>n/a</v>
      </c>
      <c r="B20" s="8">
        <f>COUNT(H3:H17)</f>
        <v>0</v>
      </c>
      <c r="C20" s="9" t="str">
        <f>IF(B20&lt;2,"n/a",(A20/D20))</f>
        <v>n/a</v>
      </c>
      <c r="D20" s="10" t="str">
        <f>IFERROR(ROUND(AVERAGE(H3:H17),2),"")</f>
        <v/>
      </c>
      <c r="E20" s="15" t="str">
        <f>IFERROR(ROUND(IF(B20&lt;2,"n/a",(IF(C20&lt;=25%,"n/a",AVERAGE(I3:I17)))),2),"n/a")</f>
        <v>n/a</v>
      </c>
      <c r="F20" s="10" t="str">
        <f>IFERROR(ROUND(MEDIAN(H3:H17),2),"")</f>
        <v/>
      </c>
      <c r="G20" s="11" t="str">
        <f>IFERROR(INDEX(G3:G17,MATCH(H20,H3:H17,0)),"")</f>
        <v/>
      </c>
      <c r="H20" s="12">
        <f>F3</f>
        <v>0</v>
      </c>
    </row>
    <row r="22" spans="1:9" x14ac:dyDescent="0.25">
      <c r="G22" s="13" t="s">
        <v>20</v>
      </c>
      <c r="H22" s="14">
        <f>IF(C20&lt;=25%,D20,MIN(E20:F20))</f>
        <v>0</v>
      </c>
    </row>
    <row r="23" spans="1:9" x14ac:dyDescent="0.25">
      <c r="G23" s="13" t="s">
        <v>6</v>
      </c>
      <c r="H23" s="14">
        <f>ROUND(H22,2)*D3</f>
        <v>0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3" sqref="G3:H17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2" t="s">
        <v>8</v>
      </c>
      <c r="B1" s="32"/>
      <c r="C1" s="32"/>
      <c r="D1" s="32"/>
      <c r="E1" s="32"/>
      <c r="F1" s="32"/>
      <c r="G1" s="32"/>
      <c r="H1" s="32"/>
      <c r="I1" s="32"/>
    </row>
    <row r="2" spans="1:9" s="4" customFormat="1" ht="36" x14ac:dyDescent="0.25">
      <c r="A2" s="26" t="s">
        <v>1</v>
      </c>
      <c r="B2" s="26" t="s">
        <v>2</v>
      </c>
      <c r="C2" s="26" t="s">
        <v>3</v>
      </c>
      <c r="D2" s="26" t="s">
        <v>4</v>
      </c>
      <c r="E2" s="26" t="s">
        <v>9</v>
      </c>
      <c r="F2" s="26" t="s">
        <v>10</v>
      </c>
      <c r="G2" s="26" t="s">
        <v>11</v>
      </c>
      <c r="H2" s="26" t="s">
        <v>12</v>
      </c>
      <c r="I2" s="26" t="s">
        <v>13</v>
      </c>
    </row>
    <row r="3" spans="1:9" x14ac:dyDescent="0.25">
      <c r="A3" s="37">
        <v>41</v>
      </c>
      <c r="B3" s="33"/>
      <c r="C3" s="35" t="s">
        <v>7</v>
      </c>
      <c r="D3" s="35"/>
      <c r="E3" s="36">
        <f>IF(C20&lt;=25%,D20,MIN(E20:F20))</f>
        <v>0</v>
      </c>
      <c r="F3" s="36">
        <f>MIN(H3:H17)</f>
        <v>0</v>
      </c>
      <c r="G3" s="5"/>
      <c r="H3" s="16"/>
      <c r="I3" s="17" t="str">
        <f>IF(H3="","",(IF($C$20&lt;25%,"n/a",IF(H3&lt;=($D$20+$A$20),H3,"Descartado"))))</f>
        <v/>
      </c>
    </row>
    <row r="4" spans="1:9" x14ac:dyDescent="0.25">
      <c r="A4" s="37"/>
      <c r="B4" s="34"/>
      <c r="C4" s="35"/>
      <c r="D4" s="35"/>
      <c r="E4" s="36"/>
      <c r="F4" s="36"/>
      <c r="G4" s="5"/>
      <c r="H4" s="16"/>
      <c r="I4" s="17" t="str">
        <f t="shared" ref="I4:I17" si="0">IF(H4="","",(IF($C$20&lt;25%,"n/a",IF(H4&lt;=($D$20+$A$20),H4,"Descartado"))))</f>
        <v/>
      </c>
    </row>
    <row r="5" spans="1:9" x14ac:dyDescent="0.25">
      <c r="A5" s="37"/>
      <c r="B5" s="34"/>
      <c r="C5" s="35"/>
      <c r="D5" s="35"/>
      <c r="E5" s="36"/>
      <c r="F5" s="36"/>
      <c r="G5" s="5"/>
      <c r="H5" s="16"/>
      <c r="I5" s="17" t="str">
        <f t="shared" si="0"/>
        <v/>
      </c>
    </row>
    <row r="6" spans="1:9" x14ac:dyDescent="0.25">
      <c r="A6" s="37"/>
      <c r="B6" s="34"/>
      <c r="C6" s="35"/>
      <c r="D6" s="35"/>
      <c r="E6" s="36"/>
      <c r="F6" s="36"/>
      <c r="G6" s="5"/>
      <c r="H6" s="16"/>
      <c r="I6" s="17" t="str">
        <f t="shared" si="0"/>
        <v/>
      </c>
    </row>
    <row r="7" spans="1:9" x14ac:dyDescent="0.25">
      <c r="A7" s="37"/>
      <c r="B7" s="34"/>
      <c r="C7" s="35"/>
      <c r="D7" s="35"/>
      <c r="E7" s="36"/>
      <c r="F7" s="36"/>
      <c r="G7" s="5"/>
      <c r="H7" s="16"/>
      <c r="I7" s="17" t="str">
        <f t="shared" si="0"/>
        <v/>
      </c>
    </row>
    <row r="8" spans="1:9" x14ac:dyDescent="0.25">
      <c r="A8" s="37"/>
      <c r="B8" s="34"/>
      <c r="C8" s="35"/>
      <c r="D8" s="35"/>
      <c r="E8" s="36"/>
      <c r="F8" s="36"/>
      <c r="G8" s="5"/>
      <c r="H8" s="16"/>
      <c r="I8" s="17" t="str">
        <f t="shared" si="0"/>
        <v/>
      </c>
    </row>
    <row r="9" spans="1:9" x14ac:dyDescent="0.25">
      <c r="A9" s="37"/>
      <c r="B9" s="34"/>
      <c r="C9" s="35"/>
      <c r="D9" s="35"/>
      <c r="E9" s="36"/>
      <c r="F9" s="36"/>
      <c r="G9" s="5"/>
      <c r="H9" s="16"/>
      <c r="I9" s="17" t="str">
        <f t="shared" si="0"/>
        <v/>
      </c>
    </row>
    <row r="10" spans="1:9" x14ac:dyDescent="0.25">
      <c r="A10" s="37"/>
      <c r="B10" s="34"/>
      <c r="C10" s="35"/>
      <c r="D10" s="35"/>
      <c r="E10" s="36"/>
      <c r="F10" s="36"/>
      <c r="G10" s="5"/>
      <c r="H10" s="16"/>
      <c r="I10" s="17" t="str">
        <f t="shared" si="0"/>
        <v/>
      </c>
    </row>
    <row r="11" spans="1:9" x14ac:dyDescent="0.25">
      <c r="A11" s="37"/>
      <c r="B11" s="34"/>
      <c r="C11" s="35"/>
      <c r="D11" s="35"/>
      <c r="E11" s="36"/>
      <c r="F11" s="36"/>
      <c r="G11" s="5"/>
      <c r="H11" s="16"/>
      <c r="I11" s="17" t="str">
        <f t="shared" si="0"/>
        <v/>
      </c>
    </row>
    <row r="12" spans="1:9" x14ac:dyDescent="0.25">
      <c r="A12" s="37"/>
      <c r="B12" s="34"/>
      <c r="C12" s="35"/>
      <c r="D12" s="35"/>
      <c r="E12" s="36"/>
      <c r="F12" s="36"/>
      <c r="G12" s="5"/>
      <c r="H12" s="16"/>
      <c r="I12" s="17" t="str">
        <f t="shared" si="0"/>
        <v/>
      </c>
    </row>
    <row r="13" spans="1:9" x14ac:dyDescent="0.25">
      <c r="A13" s="37"/>
      <c r="B13" s="34"/>
      <c r="C13" s="35"/>
      <c r="D13" s="35"/>
      <c r="E13" s="36"/>
      <c r="F13" s="36"/>
      <c r="G13" s="5"/>
      <c r="H13" s="16"/>
      <c r="I13" s="17" t="str">
        <f t="shared" si="0"/>
        <v/>
      </c>
    </row>
    <row r="14" spans="1:9" x14ac:dyDescent="0.25">
      <c r="A14" s="37"/>
      <c r="B14" s="34"/>
      <c r="C14" s="35"/>
      <c r="D14" s="35"/>
      <c r="E14" s="36"/>
      <c r="F14" s="36"/>
      <c r="G14" s="5"/>
      <c r="H14" s="16"/>
      <c r="I14" s="17" t="str">
        <f t="shared" si="0"/>
        <v/>
      </c>
    </row>
    <row r="15" spans="1:9" x14ac:dyDescent="0.25">
      <c r="A15" s="37"/>
      <c r="B15" s="34"/>
      <c r="C15" s="35"/>
      <c r="D15" s="35"/>
      <c r="E15" s="36"/>
      <c r="F15" s="36"/>
      <c r="G15" s="5"/>
      <c r="H15" s="16"/>
      <c r="I15" s="17" t="str">
        <f t="shared" si="0"/>
        <v/>
      </c>
    </row>
    <row r="16" spans="1:9" x14ac:dyDescent="0.25">
      <c r="A16" s="37"/>
      <c r="B16" s="34"/>
      <c r="C16" s="35"/>
      <c r="D16" s="35"/>
      <c r="E16" s="36"/>
      <c r="F16" s="36"/>
      <c r="G16" s="5"/>
      <c r="H16" s="16"/>
      <c r="I16" s="17" t="str">
        <f t="shared" si="0"/>
        <v/>
      </c>
    </row>
    <row r="17" spans="1:9" x14ac:dyDescent="0.25">
      <c r="A17" s="37"/>
      <c r="B17" s="34"/>
      <c r="C17" s="35"/>
      <c r="D17" s="35"/>
      <c r="E17" s="36"/>
      <c r="F17" s="36"/>
      <c r="G17" s="5"/>
      <c r="H17" s="16"/>
      <c r="I17" s="17" t="str">
        <f t="shared" si="0"/>
        <v/>
      </c>
    </row>
    <row r="19" spans="1:9" s="4" customFormat="1" ht="24" x14ac:dyDescent="0.25">
      <c r="A19" s="26" t="s">
        <v>14</v>
      </c>
      <c r="B19" s="26" t="s">
        <v>15</v>
      </c>
      <c r="C19" s="26" t="s">
        <v>25</v>
      </c>
      <c r="D19" s="26" t="s">
        <v>16</v>
      </c>
      <c r="E19" s="26" t="s">
        <v>17</v>
      </c>
      <c r="F19" s="26" t="s">
        <v>18</v>
      </c>
      <c r="G19" s="31" t="s">
        <v>19</v>
      </c>
      <c r="H19" s="31"/>
    </row>
    <row r="20" spans="1:9" x14ac:dyDescent="0.25">
      <c r="A20" s="8" t="str">
        <f>IF(B20&lt;2,"n/a",(_xlfn.STDEV.S(H3:H17)))</f>
        <v>n/a</v>
      </c>
      <c r="B20" s="8">
        <f>COUNT(H3:H17)</f>
        <v>0</v>
      </c>
      <c r="C20" s="9" t="str">
        <f>IF(B20&lt;2,"n/a",(A20/D20))</f>
        <v>n/a</v>
      </c>
      <c r="D20" s="10" t="str">
        <f>IFERROR(ROUND(AVERAGE(H3:H17),2),"")</f>
        <v/>
      </c>
      <c r="E20" s="15" t="str">
        <f>IFERROR(ROUND(IF(B20&lt;2,"n/a",(IF(C20&lt;=25%,"n/a",AVERAGE(I3:I17)))),2),"n/a")</f>
        <v>n/a</v>
      </c>
      <c r="F20" s="10" t="str">
        <f>IFERROR(ROUND(MEDIAN(H3:H17),2),"")</f>
        <v/>
      </c>
      <c r="G20" s="11" t="str">
        <f>IFERROR(INDEX(G3:G17,MATCH(H20,H3:H17,0)),"")</f>
        <v/>
      </c>
      <c r="H20" s="12">
        <f>F3</f>
        <v>0</v>
      </c>
    </row>
    <row r="22" spans="1:9" x14ac:dyDescent="0.25">
      <c r="G22" s="13" t="s">
        <v>20</v>
      </c>
      <c r="H22" s="14">
        <f>IF(C20&lt;=25%,D20,MIN(E20:F20))</f>
        <v>0</v>
      </c>
    </row>
    <row r="23" spans="1:9" x14ac:dyDescent="0.25">
      <c r="G23" s="13" t="s">
        <v>6</v>
      </c>
      <c r="H23" s="14">
        <f>ROUND(H22,2)*D3</f>
        <v>0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7" sqref="G7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2" t="s">
        <v>8</v>
      </c>
      <c r="B1" s="32"/>
      <c r="C1" s="32"/>
      <c r="D1" s="32"/>
      <c r="E1" s="32"/>
      <c r="F1" s="32"/>
      <c r="G1" s="32"/>
      <c r="H1" s="32"/>
      <c r="I1" s="32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9</v>
      </c>
      <c r="F2" s="6" t="s">
        <v>10</v>
      </c>
      <c r="G2" s="6" t="s">
        <v>11</v>
      </c>
      <c r="H2" s="6" t="s">
        <v>12</v>
      </c>
      <c r="I2" s="6" t="s">
        <v>13</v>
      </c>
    </row>
    <row r="3" spans="1:9" x14ac:dyDescent="0.25">
      <c r="A3" s="37">
        <v>4</v>
      </c>
      <c r="B3" s="33" t="s">
        <v>52</v>
      </c>
      <c r="C3" s="35" t="s">
        <v>49</v>
      </c>
      <c r="D3" s="35">
        <v>850</v>
      </c>
      <c r="E3" s="36">
        <f>IF(C20&lt;=25%,D20,MIN(E20:F20))</f>
        <v>5.29</v>
      </c>
      <c r="F3" s="36">
        <f>MIN(H3:H17)</f>
        <v>3.61</v>
      </c>
      <c r="G3" s="5" t="s">
        <v>96</v>
      </c>
      <c r="H3" s="16">
        <v>10</v>
      </c>
      <c r="I3" s="17" t="str">
        <f>IF(H3="","",(IF($C$20&lt;25%,"n/a",IF(H3&lt;=($D$20+$A$20),H3,"Descartado"))))</f>
        <v>Descartado</v>
      </c>
    </row>
    <row r="4" spans="1:9" x14ac:dyDescent="0.25">
      <c r="A4" s="37"/>
      <c r="B4" s="34"/>
      <c r="C4" s="35"/>
      <c r="D4" s="35"/>
      <c r="E4" s="36"/>
      <c r="F4" s="36"/>
      <c r="G4" s="5" t="s">
        <v>97</v>
      </c>
      <c r="H4" s="16">
        <v>7.41</v>
      </c>
      <c r="I4" s="17">
        <f t="shared" ref="I4:I17" si="0">IF(H4="","",(IF($C$20&lt;25%,"n/a",IF(H4&lt;=($D$20+$A$20),H4,"Descartado"))))</f>
        <v>7.41</v>
      </c>
    </row>
    <row r="5" spans="1:9" x14ac:dyDescent="0.25">
      <c r="A5" s="37"/>
      <c r="B5" s="34"/>
      <c r="C5" s="35"/>
      <c r="D5" s="35"/>
      <c r="E5" s="36"/>
      <c r="F5" s="36"/>
      <c r="G5" s="5" t="s">
        <v>98</v>
      </c>
      <c r="H5" s="16">
        <v>4.84</v>
      </c>
      <c r="I5" s="17">
        <f t="shared" si="0"/>
        <v>4.84</v>
      </c>
    </row>
    <row r="6" spans="1:9" x14ac:dyDescent="0.25">
      <c r="A6" s="37"/>
      <c r="B6" s="34"/>
      <c r="C6" s="35"/>
      <c r="D6" s="35"/>
      <c r="E6" s="36"/>
      <c r="F6" s="36"/>
      <c r="G6" s="5" t="s">
        <v>99</v>
      </c>
      <c r="H6" s="16">
        <v>3.61</v>
      </c>
      <c r="I6" s="17">
        <f t="shared" si="0"/>
        <v>3.61</v>
      </c>
    </row>
    <row r="7" spans="1:9" x14ac:dyDescent="0.25">
      <c r="A7" s="37"/>
      <c r="B7" s="34"/>
      <c r="C7" s="35"/>
      <c r="D7" s="35"/>
      <c r="E7" s="36"/>
      <c r="F7" s="36"/>
      <c r="G7" s="5"/>
      <c r="H7" s="16"/>
      <c r="I7" s="17" t="str">
        <f t="shared" si="0"/>
        <v/>
      </c>
    </row>
    <row r="8" spans="1:9" x14ac:dyDescent="0.25">
      <c r="A8" s="37"/>
      <c r="B8" s="34"/>
      <c r="C8" s="35"/>
      <c r="D8" s="35"/>
      <c r="E8" s="36"/>
      <c r="F8" s="36"/>
      <c r="G8" s="5"/>
      <c r="H8" s="16"/>
      <c r="I8" s="17" t="str">
        <f t="shared" si="0"/>
        <v/>
      </c>
    </row>
    <row r="9" spans="1:9" x14ac:dyDescent="0.25">
      <c r="A9" s="37"/>
      <c r="B9" s="34"/>
      <c r="C9" s="35"/>
      <c r="D9" s="35"/>
      <c r="E9" s="36"/>
      <c r="F9" s="36"/>
      <c r="G9" s="5"/>
      <c r="H9" s="16"/>
      <c r="I9" s="17" t="str">
        <f t="shared" si="0"/>
        <v/>
      </c>
    </row>
    <row r="10" spans="1:9" x14ac:dyDescent="0.25">
      <c r="A10" s="37"/>
      <c r="B10" s="34"/>
      <c r="C10" s="35"/>
      <c r="D10" s="35"/>
      <c r="E10" s="36"/>
      <c r="F10" s="36"/>
      <c r="G10" s="5"/>
      <c r="H10" s="16"/>
      <c r="I10" s="17" t="str">
        <f t="shared" si="0"/>
        <v/>
      </c>
    </row>
    <row r="11" spans="1:9" x14ac:dyDescent="0.25">
      <c r="A11" s="37"/>
      <c r="B11" s="34"/>
      <c r="C11" s="35"/>
      <c r="D11" s="35"/>
      <c r="E11" s="36"/>
      <c r="F11" s="36"/>
      <c r="G11" s="5"/>
      <c r="H11" s="16"/>
      <c r="I11" s="17" t="str">
        <f t="shared" si="0"/>
        <v/>
      </c>
    </row>
    <row r="12" spans="1:9" x14ac:dyDescent="0.25">
      <c r="A12" s="37"/>
      <c r="B12" s="34"/>
      <c r="C12" s="35"/>
      <c r="D12" s="35"/>
      <c r="E12" s="36"/>
      <c r="F12" s="36"/>
      <c r="G12" s="5"/>
      <c r="H12" s="16"/>
      <c r="I12" s="17" t="str">
        <f t="shared" si="0"/>
        <v/>
      </c>
    </row>
    <row r="13" spans="1:9" x14ac:dyDescent="0.25">
      <c r="A13" s="37"/>
      <c r="B13" s="34"/>
      <c r="C13" s="35"/>
      <c r="D13" s="35"/>
      <c r="E13" s="36"/>
      <c r="F13" s="36"/>
      <c r="G13" s="5"/>
      <c r="H13" s="16"/>
      <c r="I13" s="17" t="str">
        <f t="shared" si="0"/>
        <v/>
      </c>
    </row>
    <row r="14" spans="1:9" x14ac:dyDescent="0.25">
      <c r="A14" s="37"/>
      <c r="B14" s="34"/>
      <c r="C14" s="35"/>
      <c r="D14" s="35"/>
      <c r="E14" s="36"/>
      <c r="F14" s="36"/>
      <c r="G14" s="5"/>
      <c r="H14" s="16"/>
      <c r="I14" s="17" t="str">
        <f t="shared" si="0"/>
        <v/>
      </c>
    </row>
    <row r="15" spans="1:9" x14ac:dyDescent="0.25">
      <c r="A15" s="37"/>
      <c r="B15" s="34"/>
      <c r="C15" s="35"/>
      <c r="D15" s="35"/>
      <c r="E15" s="36"/>
      <c r="F15" s="36"/>
      <c r="G15" s="5"/>
      <c r="H15" s="16"/>
      <c r="I15" s="17" t="str">
        <f t="shared" si="0"/>
        <v/>
      </c>
    </row>
    <row r="16" spans="1:9" x14ac:dyDescent="0.25">
      <c r="A16" s="37"/>
      <c r="B16" s="34"/>
      <c r="C16" s="35"/>
      <c r="D16" s="35"/>
      <c r="E16" s="36"/>
      <c r="F16" s="36"/>
      <c r="G16" s="5"/>
      <c r="H16" s="16"/>
      <c r="I16" s="17" t="str">
        <f t="shared" si="0"/>
        <v/>
      </c>
    </row>
    <row r="17" spans="1:9" x14ac:dyDescent="0.25">
      <c r="A17" s="37"/>
      <c r="B17" s="34"/>
      <c r="C17" s="35"/>
      <c r="D17" s="35"/>
      <c r="E17" s="36"/>
      <c r="F17" s="36"/>
      <c r="G17" s="5"/>
      <c r="H17" s="16"/>
      <c r="I17" s="17" t="str">
        <f t="shared" si="0"/>
        <v/>
      </c>
    </row>
    <row r="19" spans="1:9" s="4" customFormat="1" ht="24" x14ac:dyDescent="0.25">
      <c r="A19" s="6" t="s">
        <v>14</v>
      </c>
      <c r="B19" s="6" t="s">
        <v>15</v>
      </c>
      <c r="C19" s="6" t="s">
        <v>25</v>
      </c>
      <c r="D19" s="6" t="s">
        <v>16</v>
      </c>
      <c r="E19" s="6" t="s">
        <v>17</v>
      </c>
      <c r="F19" s="6" t="s">
        <v>18</v>
      </c>
      <c r="G19" s="31" t="s">
        <v>19</v>
      </c>
      <c r="H19" s="31"/>
    </row>
    <row r="20" spans="1:9" x14ac:dyDescent="0.25">
      <c r="A20" s="8">
        <f>IF(B20&lt;2,"n/a",(_xlfn.STDEV.S(H3:H17)))</f>
        <v>2.8390667480705685</v>
      </c>
      <c r="B20" s="8">
        <f>COUNT(H3:H17)</f>
        <v>4</v>
      </c>
      <c r="C20" s="9">
        <f>IF(B20&lt;2,"n/a",(A20/D20))</f>
        <v>0.4388047524065794</v>
      </c>
      <c r="D20" s="10">
        <f>IFERROR(ROUND(AVERAGE(H3:H17),2),"")</f>
        <v>6.47</v>
      </c>
      <c r="E20" s="15">
        <f>IFERROR(ROUND(IF(B20&lt;2,"n/a",(IF(C20&lt;=25%,"n/a",AVERAGE(I3:I17)))),2),"n/a")</f>
        <v>5.29</v>
      </c>
      <c r="F20" s="10">
        <f>IFERROR(ROUND(MEDIAN(H3:H17),2),"")</f>
        <v>6.13</v>
      </c>
      <c r="G20" s="11" t="str">
        <f>IFERROR(INDEX(G3:G17,MATCH(H20,H3:H17,0)),"")</f>
        <v>TCJM DISTRIBUIDORA E IMPORTADORA LTDA</v>
      </c>
      <c r="H20" s="12">
        <f>F3</f>
        <v>3.61</v>
      </c>
    </row>
    <row r="22" spans="1:9" x14ac:dyDescent="0.25">
      <c r="G22" s="13" t="s">
        <v>20</v>
      </c>
      <c r="H22" s="14">
        <f>IF(C20&lt;=25%,D20,MIN(E20:F20))</f>
        <v>5.29</v>
      </c>
    </row>
    <row r="23" spans="1:9" x14ac:dyDescent="0.25">
      <c r="G23" s="13" t="s">
        <v>6</v>
      </c>
      <c r="H23" s="14">
        <f>ROUND(H22,2)*D3</f>
        <v>4496.5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9"/>
  <sheetViews>
    <sheetView tabSelected="1" view="pageBreakPreview" topLeftCell="A28" zoomScaleNormal="100" zoomScaleSheetLayoutView="100" workbookViewId="0">
      <selection activeCell="H39" sqref="H39"/>
    </sheetView>
  </sheetViews>
  <sheetFormatPr defaultRowHeight="15" x14ac:dyDescent="0.25"/>
  <cols>
    <col min="1" max="2" width="6.7109375" style="1" customWidth="1"/>
    <col min="3" max="3" width="36.7109375" style="4" customWidth="1"/>
    <col min="4" max="6" width="12.7109375" style="1" customWidth="1"/>
    <col min="7" max="7" width="9.28515625" style="1" bestFit="1" customWidth="1"/>
    <col min="8" max="11" width="15.7109375" style="1" customWidth="1"/>
    <col min="12" max="16384" width="9.140625" style="1"/>
  </cols>
  <sheetData>
    <row r="1" spans="1:11" ht="15.75" x14ac:dyDescent="0.25">
      <c r="A1" s="38" t="s">
        <v>0</v>
      </c>
      <c r="B1" s="38"/>
      <c r="C1" s="38"/>
      <c r="D1" s="38"/>
      <c r="E1" s="38"/>
      <c r="F1" s="38"/>
      <c r="G1" s="38"/>
      <c r="H1" s="38"/>
      <c r="I1" s="38"/>
      <c r="J1" s="38"/>
      <c r="K1" s="38"/>
    </row>
    <row r="2" spans="1:11" ht="48" x14ac:dyDescent="0.25">
      <c r="A2" s="6" t="s">
        <v>29</v>
      </c>
      <c r="B2" s="6" t="s">
        <v>1</v>
      </c>
      <c r="C2" s="6" t="s">
        <v>2</v>
      </c>
      <c r="D2" s="6" t="s">
        <v>3</v>
      </c>
      <c r="E2" s="27" t="s">
        <v>46</v>
      </c>
      <c r="F2" s="27" t="s">
        <v>47</v>
      </c>
      <c r="G2" s="6" t="s">
        <v>45</v>
      </c>
      <c r="H2" s="6" t="s">
        <v>5</v>
      </c>
      <c r="I2" s="6" t="s">
        <v>30</v>
      </c>
      <c r="J2" s="28" t="s">
        <v>84</v>
      </c>
      <c r="K2" s="28" t="s">
        <v>85</v>
      </c>
    </row>
    <row r="3" spans="1:11" ht="60" x14ac:dyDescent="0.25">
      <c r="A3" s="23" t="s">
        <v>33</v>
      </c>
      <c r="B3" s="23">
        <f>Item1!A3</f>
        <v>1</v>
      </c>
      <c r="C3" s="25" t="str">
        <f>Item1!B3</f>
        <v>Cabo de cobre, flexivel, classe 4 ou 5, isolacao em pvc/a, antichama bwf-b, 1 condutor, 450/750 v, secao nominal 1,5 mm²</v>
      </c>
      <c r="D3" s="23" t="str">
        <f>Item1!C3</f>
        <v>metro</v>
      </c>
      <c r="E3" s="30">
        <f>G3-F3</f>
        <v>200</v>
      </c>
      <c r="F3" s="30">
        <v>0</v>
      </c>
      <c r="G3" s="23">
        <f>Item1!D3</f>
        <v>200</v>
      </c>
      <c r="H3" s="24">
        <f>Item1!E3</f>
        <v>1.44</v>
      </c>
      <c r="I3" s="24">
        <f>ROUND((G3*H3),2)</f>
        <v>288</v>
      </c>
      <c r="J3" s="24">
        <f>ROUND((E3*H3),2)</f>
        <v>288</v>
      </c>
      <c r="K3" s="24">
        <f>ROUND((F3*H3),2)</f>
        <v>0</v>
      </c>
    </row>
    <row r="4" spans="1:11" ht="60" x14ac:dyDescent="0.25">
      <c r="A4" s="23" t="s">
        <v>33</v>
      </c>
      <c r="B4" s="23">
        <f>Item2!A3</f>
        <v>2</v>
      </c>
      <c r="C4" s="25" t="str">
        <f>Item2!B3</f>
        <v>Cabo de cobre, flexivel, classe 4 ou 5, isolacao em pvc/a, antichama bwf-b, 1 condutor, 450/750 v, secao nominal 2,5 mm²</v>
      </c>
      <c r="D4" s="23" t="str">
        <f>Item2!C3</f>
        <v>metro</v>
      </c>
      <c r="E4" s="30">
        <f t="shared" ref="E4:E37" si="0">G4-F4</f>
        <v>1000</v>
      </c>
      <c r="F4" s="30">
        <v>800</v>
      </c>
      <c r="G4" s="23">
        <f>Item2!D3</f>
        <v>1800</v>
      </c>
      <c r="H4" s="24">
        <f>Item2!E3</f>
        <v>2.1800000000000002</v>
      </c>
      <c r="I4" s="24">
        <f t="shared" ref="I4:I29" si="1">ROUND((G4*H4),2)</f>
        <v>3924</v>
      </c>
      <c r="J4" s="24">
        <f t="shared" ref="J4:J37" si="2">ROUND((E4*H4),2)</f>
        <v>2180</v>
      </c>
      <c r="K4" s="24">
        <f t="shared" ref="K4:K37" si="3">ROUND((F4*H4),2)</f>
        <v>1744</v>
      </c>
    </row>
    <row r="5" spans="1:11" x14ac:dyDescent="0.25">
      <c r="A5" s="23" t="s">
        <v>33</v>
      </c>
      <c r="B5" s="23">
        <f>Item3!A3</f>
        <v>3</v>
      </c>
      <c r="C5" s="25" t="str">
        <f>Item3!B3</f>
        <v>Cabo gsette 0,6/1kv 2 condutores 1,5mm²</v>
      </c>
      <c r="D5" s="23" t="str">
        <f>Item3!C3</f>
        <v>metro</v>
      </c>
      <c r="E5" s="30">
        <f t="shared" si="0"/>
        <v>850</v>
      </c>
      <c r="F5" s="30">
        <v>0</v>
      </c>
      <c r="G5" s="23">
        <f>Item3!D3</f>
        <v>850</v>
      </c>
      <c r="H5" s="24">
        <f>Item3!E3</f>
        <v>4.8099999999999996</v>
      </c>
      <c r="I5" s="24">
        <f t="shared" si="1"/>
        <v>4088.5</v>
      </c>
      <c r="J5" s="24">
        <f t="shared" si="2"/>
        <v>4088.5</v>
      </c>
      <c r="K5" s="24">
        <f t="shared" si="3"/>
        <v>0</v>
      </c>
    </row>
    <row r="6" spans="1:11" x14ac:dyDescent="0.25">
      <c r="A6" s="23" t="s">
        <v>33</v>
      </c>
      <c r="B6" s="23">
        <f>Item4!A3</f>
        <v>4</v>
      </c>
      <c r="C6" s="25" t="str">
        <f>Item4!B3</f>
        <v>Cabo gsette 0,6/1kv 2 condutores 2,5mm²</v>
      </c>
      <c r="D6" s="23" t="str">
        <f>Item4!C3</f>
        <v>metro</v>
      </c>
      <c r="E6" s="30">
        <f t="shared" si="0"/>
        <v>850</v>
      </c>
      <c r="F6" s="30">
        <v>0</v>
      </c>
      <c r="G6" s="23">
        <f>Item4!D3</f>
        <v>850</v>
      </c>
      <c r="H6" s="24">
        <f>Item4!E3</f>
        <v>5.29</v>
      </c>
      <c r="I6" s="24">
        <f t="shared" si="1"/>
        <v>4496.5</v>
      </c>
      <c r="J6" s="24">
        <f t="shared" si="2"/>
        <v>4496.5</v>
      </c>
      <c r="K6" s="24">
        <f t="shared" si="3"/>
        <v>0</v>
      </c>
    </row>
    <row r="7" spans="1:11" ht="60" x14ac:dyDescent="0.25">
      <c r="A7" s="23" t="s">
        <v>33</v>
      </c>
      <c r="B7" s="23">
        <f>Item5!A3</f>
        <v>5</v>
      </c>
      <c r="C7" s="25" t="str">
        <f>Item5!B3</f>
        <v>Cabo multipolar de cobre, flexivel, classe 4 ou 5, isolacao em hepr, cobertura em pvc-st2, antichama bwf-b, 0,6/1 kv, 3 condutores de 1,5 mm²</v>
      </c>
      <c r="D7" s="23" t="str">
        <f>Item5!C3</f>
        <v>metro</v>
      </c>
      <c r="E7" s="30">
        <f t="shared" si="0"/>
        <v>150</v>
      </c>
      <c r="F7" s="30">
        <v>0</v>
      </c>
      <c r="G7" s="23">
        <f>Item5!D3</f>
        <v>150</v>
      </c>
      <c r="H7" s="24">
        <f>Item5!E3</f>
        <v>4.9400000000000004</v>
      </c>
      <c r="I7" s="24">
        <f t="shared" si="1"/>
        <v>741</v>
      </c>
      <c r="J7" s="24">
        <f t="shared" si="2"/>
        <v>741</v>
      </c>
      <c r="K7" s="24">
        <f t="shared" si="3"/>
        <v>0</v>
      </c>
    </row>
    <row r="8" spans="1:11" ht="30" x14ac:dyDescent="0.25">
      <c r="A8" s="23" t="s">
        <v>33</v>
      </c>
      <c r="B8" s="23">
        <f>Item6!A3</f>
        <v>6</v>
      </c>
      <c r="C8" s="25" t="str">
        <f>Item6!B3</f>
        <v>Cabo pp cordplast 2 condutores 450/750v 2,50mm²</v>
      </c>
      <c r="D8" s="23" t="str">
        <f>Item6!C3</f>
        <v>metro</v>
      </c>
      <c r="E8" s="30">
        <f t="shared" si="0"/>
        <v>300</v>
      </c>
      <c r="F8" s="30">
        <v>400</v>
      </c>
      <c r="G8" s="23">
        <f>Item6!D3</f>
        <v>700</v>
      </c>
      <c r="H8" s="24">
        <f>Item6!E3</f>
        <v>5.29</v>
      </c>
      <c r="I8" s="24">
        <f t="shared" si="1"/>
        <v>3703</v>
      </c>
      <c r="J8" s="24">
        <f t="shared" si="2"/>
        <v>1587</v>
      </c>
      <c r="K8" s="24">
        <f t="shared" si="3"/>
        <v>2116</v>
      </c>
    </row>
    <row r="9" spans="1:11" ht="30" x14ac:dyDescent="0.25">
      <c r="A9" s="23" t="s">
        <v>33</v>
      </c>
      <c r="B9" s="23">
        <f>Item7!A3</f>
        <v>7</v>
      </c>
      <c r="C9" s="25" t="str">
        <f>Item7!B3</f>
        <v>Caixa de sobrepor com suporte e placa p/ 1 modulos</v>
      </c>
      <c r="D9" s="23" t="str">
        <f>Item7!C3</f>
        <v>unidade</v>
      </c>
      <c r="E9" s="30">
        <f t="shared" si="0"/>
        <v>10</v>
      </c>
      <c r="F9" s="30">
        <v>0</v>
      </c>
      <c r="G9" s="23">
        <f>Item7!D3</f>
        <v>10</v>
      </c>
      <c r="H9" s="24">
        <f>Item7!E3</f>
        <v>6.35</v>
      </c>
      <c r="I9" s="24">
        <f t="shared" si="1"/>
        <v>63.5</v>
      </c>
      <c r="J9" s="24">
        <f t="shared" si="2"/>
        <v>63.5</v>
      </c>
      <c r="K9" s="24">
        <f t="shared" si="3"/>
        <v>0</v>
      </c>
    </row>
    <row r="10" spans="1:11" ht="30" x14ac:dyDescent="0.25">
      <c r="A10" s="23" t="s">
        <v>33</v>
      </c>
      <c r="B10" s="23">
        <f>Item8!A3</f>
        <v>8</v>
      </c>
      <c r="C10" s="25" t="str">
        <f>Item8!B3</f>
        <v>Caixa de sobrepor com suporte e placa p/ 3 modulos</v>
      </c>
      <c r="D10" s="23" t="str">
        <f>Item8!C3</f>
        <v>unidade</v>
      </c>
      <c r="E10" s="30">
        <f t="shared" si="0"/>
        <v>30</v>
      </c>
      <c r="F10" s="30">
        <v>0</v>
      </c>
      <c r="G10" s="23">
        <f>Item8!D3</f>
        <v>30</v>
      </c>
      <c r="H10" s="24">
        <f>Item8!E3</f>
        <v>5.82</v>
      </c>
      <c r="I10" s="24">
        <f t="shared" si="1"/>
        <v>174.6</v>
      </c>
      <c r="J10" s="24">
        <f t="shared" si="2"/>
        <v>174.6</v>
      </c>
      <c r="K10" s="24">
        <f t="shared" si="3"/>
        <v>0</v>
      </c>
    </row>
    <row r="11" spans="1:11" ht="30" x14ac:dyDescent="0.25">
      <c r="A11" s="23" t="s">
        <v>33</v>
      </c>
      <c r="B11" s="23">
        <f>Item9!A3</f>
        <v>9</v>
      </c>
      <c r="C11" s="25" t="str">
        <f>Item9!B3</f>
        <v>Disjuntor tipo DIN/IEC, monopolar de 6 ate 32a</v>
      </c>
      <c r="D11" s="23" t="str">
        <f>Item9!C3</f>
        <v>unidade</v>
      </c>
      <c r="E11" s="30">
        <f t="shared" si="0"/>
        <v>5</v>
      </c>
      <c r="F11" s="30">
        <v>134</v>
      </c>
      <c r="G11" s="23">
        <f>Item9!D3</f>
        <v>139</v>
      </c>
      <c r="H11" s="24">
        <f>Item9!E3</f>
        <v>6.18</v>
      </c>
      <c r="I11" s="24">
        <f t="shared" si="1"/>
        <v>859.02</v>
      </c>
      <c r="J11" s="24">
        <f t="shared" si="2"/>
        <v>30.9</v>
      </c>
      <c r="K11" s="24">
        <f t="shared" si="3"/>
        <v>828.12</v>
      </c>
    </row>
    <row r="12" spans="1:11" ht="45" x14ac:dyDescent="0.25">
      <c r="A12" s="23" t="s">
        <v>33</v>
      </c>
      <c r="B12" s="23">
        <f>Item10!A3</f>
        <v>10</v>
      </c>
      <c r="C12" s="25" t="str">
        <f>Item10!B3</f>
        <v>disjuntor tripolar 100 a, padrão din (linha branca), corrente de interrupção 65ka, ref.: siemens 3vf22 ou similar.</v>
      </c>
      <c r="D12" s="23" t="str">
        <f>Item10!C3</f>
        <v>unidade</v>
      </c>
      <c r="E12" s="30">
        <f t="shared" si="0"/>
        <v>5</v>
      </c>
      <c r="F12" s="30">
        <v>0</v>
      </c>
      <c r="G12" s="23">
        <f>Item10!D3</f>
        <v>5</v>
      </c>
      <c r="H12" s="24">
        <f>Item10!E3</f>
        <v>531.94000000000005</v>
      </c>
      <c r="I12" s="24">
        <f t="shared" si="1"/>
        <v>2659.7</v>
      </c>
      <c r="J12" s="24">
        <f t="shared" si="2"/>
        <v>2659.7</v>
      </c>
      <c r="K12" s="24">
        <f t="shared" si="3"/>
        <v>0</v>
      </c>
    </row>
    <row r="13" spans="1:11" x14ac:dyDescent="0.25">
      <c r="A13" s="23" t="s">
        <v>33</v>
      </c>
      <c r="B13" s="23">
        <f>Item11!A3</f>
        <v>11</v>
      </c>
      <c r="C13" s="25" t="str">
        <f>Item11!B3</f>
        <v>Fita adesiva silver tape 48mm x 50m</v>
      </c>
      <c r="D13" s="23" t="str">
        <f>Item11!C3</f>
        <v>unidade</v>
      </c>
      <c r="E13" s="30">
        <f t="shared" si="0"/>
        <v>26</v>
      </c>
      <c r="F13" s="30">
        <v>0</v>
      </c>
      <c r="G13" s="23">
        <f>Item11!D3</f>
        <v>26</v>
      </c>
      <c r="H13" s="24">
        <f>Item11!E3</f>
        <v>32.79</v>
      </c>
      <c r="I13" s="24">
        <f t="shared" si="1"/>
        <v>852.54</v>
      </c>
      <c r="J13" s="24">
        <f t="shared" si="2"/>
        <v>852.54</v>
      </c>
      <c r="K13" s="24">
        <f t="shared" si="3"/>
        <v>0</v>
      </c>
    </row>
    <row r="14" spans="1:11" ht="30" x14ac:dyDescent="0.25">
      <c r="A14" s="23" t="s">
        <v>33</v>
      </c>
      <c r="B14" s="23">
        <f>Item12!A3</f>
        <v>12</v>
      </c>
      <c r="C14" s="25" t="str">
        <f>Item12!B3</f>
        <v>Fita isolante adesiva antichama, uso ate 750 v, em rolo de 19 mm x 20 m</v>
      </c>
      <c r="D14" s="23" t="str">
        <f>Item12!C3</f>
        <v>unidade</v>
      </c>
      <c r="E14" s="30">
        <f t="shared" si="0"/>
        <v>80</v>
      </c>
      <c r="F14" s="30">
        <v>28</v>
      </c>
      <c r="G14" s="23">
        <f>Item12!D3</f>
        <v>108</v>
      </c>
      <c r="H14" s="24">
        <f>Item12!E3</f>
        <v>7.4</v>
      </c>
      <c r="I14" s="24">
        <f t="shared" si="1"/>
        <v>799.2</v>
      </c>
      <c r="J14" s="24">
        <f t="shared" si="2"/>
        <v>592</v>
      </c>
      <c r="K14" s="24">
        <f t="shared" si="3"/>
        <v>207.2</v>
      </c>
    </row>
    <row r="15" spans="1:11" x14ac:dyDescent="0.25">
      <c r="A15" s="23" t="s">
        <v>33</v>
      </c>
      <c r="B15" s="23">
        <f>Item13!A3</f>
        <v>13</v>
      </c>
      <c r="C15" s="25" t="str">
        <f>Item13!B3</f>
        <v>Grampo para fixar fio elétrico</v>
      </c>
      <c r="D15" s="23" t="str">
        <f>Item13!C3</f>
        <v>unidade</v>
      </c>
      <c r="E15" s="30">
        <f t="shared" si="0"/>
        <v>20</v>
      </c>
      <c r="F15" s="30">
        <v>0</v>
      </c>
      <c r="G15" s="23">
        <f>Item13!D3</f>
        <v>20</v>
      </c>
      <c r="H15" s="24">
        <f>Item13!E3</f>
        <v>1</v>
      </c>
      <c r="I15" s="24">
        <f t="shared" si="1"/>
        <v>20</v>
      </c>
      <c r="J15" s="24">
        <f t="shared" si="2"/>
        <v>20</v>
      </c>
      <c r="K15" s="24">
        <f t="shared" si="3"/>
        <v>0</v>
      </c>
    </row>
    <row r="16" spans="1:11" ht="45" x14ac:dyDescent="0.25">
      <c r="A16" s="23" t="s">
        <v>33</v>
      </c>
      <c r="B16" s="23">
        <f>Item14!A3</f>
        <v>14</v>
      </c>
      <c r="C16" s="25" t="str">
        <f>Item14!B3</f>
        <v>interruptor simples + tomada 2p+t 10a, 250v, conjunto montado para embutir 4" x 2" (placa + suporte + modulos)</v>
      </c>
      <c r="D16" s="23" t="str">
        <f>Item14!C3</f>
        <v>unidade</v>
      </c>
      <c r="E16" s="30">
        <f t="shared" si="0"/>
        <v>5</v>
      </c>
      <c r="F16" s="30">
        <v>0</v>
      </c>
      <c r="G16" s="23">
        <f>Item14!D3</f>
        <v>5</v>
      </c>
      <c r="H16" s="24">
        <f>Item14!E3</f>
        <v>3.71</v>
      </c>
      <c r="I16" s="24">
        <f t="shared" si="1"/>
        <v>18.55</v>
      </c>
      <c r="J16" s="24">
        <f t="shared" si="2"/>
        <v>18.55</v>
      </c>
      <c r="K16" s="24">
        <f t="shared" si="3"/>
        <v>0</v>
      </c>
    </row>
    <row r="17" spans="1:11" ht="45" x14ac:dyDescent="0.25">
      <c r="A17" s="23" t="s">
        <v>33</v>
      </c>
      <c r="B17" s="23">
        <f>Item15!A3</f>
        <v>15</v>
      </c>
      <c r="C17" s="25" t="str">
        <f>Item15!B3</f>
        <v>Interruptor simples 10a, 250v, conjunto montado para embutir 4" x 2" (placa + un suporte + modulo)</v>
      </c>
      <c r="D17" s="23" t="str">
        <f>Item15!C3</f>
        <v>unidade</v>
      </c>
      <c r="E17" s="30">
        <f t="shared" si="0"/>
        <v>184</v>
      </c>
      <c r="F17" s="30">
        <v>0</v>
      </c>
      <c r="G17" s="23">
        <f>Item15!D3</f>
        <v>184</v>
      </c>
      <c r="H17" s="24">
        <f>Item15!E3</f>
        <v>5.87</v>
      </c>
      <c r="I17" s="24">
        <f t="shared" si="1"/>
        <v>1080.08</v>
      </c>
      <c r="J17" s="24">
        <f t="shared" si="2"/>
        <v>1080.08</v>
      </c>
      <c r="K17" s="24">
        <f t="shared" si="3"/>
        <v>0</v>
      </c>
    </row>
    <row r="18" spans="1:11" ht="45" x14ac:dyDescent="0.25">
      <c r="A18" s="23" t="s">
        <v>33</v>
      </c>
      <c r="B18" s="23">
        <f>Item16!A3</f>
        <v>16</v>
      </c>
      <c r="C18" s="25" t="str">
        <f>Item16!B3</f>
        <v>Interruptores simples (2 modulos) 10a, 250v, conjunto montado para embutir 4"x 2" (placa + suporte + modulos)</v>
      </c>
      <c r="D18" s="23" t="str">
        <f>Item16!C3</f>
        <v>unidade</v>
      </c>
      <c r="E18" s="30">
        <f t="shared" si="0"/>
        <v>79</v>
      </c>
      <c r="F18" s="30">
        <v>0</v>
      </c>
      <c r="G18" s="23">
        <f>Item16!D3</f>
        <v>79</v>
      </c>
      <c r="H18" s="24">
        <f>Item16!E3</f>
        <v>7.93</v>
      </c>
      <c r="I18" s="24">
        <f t="shared" si="1"/>
        <v>626.47</v>
      </c>
      <c r="J18" s="24">
        <f t="shared" si="2"/>
        <v>626.47</v>
      </c>
      <c r="K18" s="24">
        <f t="shared" si="3"/>
        <v>0</v>
      </c>
    </row>
    <row r="19" spans="1:11" ht="45" x14ac:dyDescent="0.25">
      <c r="A19" s="23" t="s">
        <v>33</v>
      </c>
      <c r="B19" s="23">
        <f>Item17!A3</f>
        <v>17</v>
      </c>
      <c r="C19" s="25" t="str">
        <f>Item17!B3</f>
        <v>Interruptores simples (3 modulos) 10a, 250v, conjunto montado para embutir 4"x 2" (placa + suporte + modulos)</v>
      </c>
      <c r="D19" s="23" t="str">
        <f>Item17!C3</f>
        <v>unidade</v>
      </c>
      <c r="E19" s="30">
        <f t="shared" si="0"/>
        <v>89</v>
      </c>
      <c r="F19" s="30">
        <v>0</v>
      </c>
      <c r="G19" s="23">
        <f>Item17!D3</f>
        <v>89</v>
      </c>
      <c r="H19" s="24">
        <f>Item17!E3</f>
        <v>15.42</v>
      </c>
      <c r="I19" s="24">
        <f t="shared" si="1"/>
        <v>1372.38</v>
      </c>
      <c r="J19" s="24">
        <f t="shared" si="2"/>
        <v>1372.38</v>
      </c>
      <c r="K19" s="24">
        <f t="shared" si="3"/>
        <v>0</v>
      </c>
    </row>
    <row r="20" spans="1:11" x14ac:dyDescent="0.25">
      <c r="A20" s="23" t="s">
        <v>33</v>
      </c>
      <c r="B20" s="23">
        <f>Item18!A3</f>
        <v>18</v>
      </c>
      <c r="C20" s="25" t="str">
        <f>Item18!B3</f>
        <v>Lampada de led ultra 30w e-27</v>
      </c>
      <c r="D20" s="23" t="str">
        <f>Item18!C3</f>
        <v>unidade</v>
      </c>
      <c r="E20" s="30">
        <f t="shared" si="0"/>
        <v>30</v>
      </c>
      <c r="F20" s="30">
        <v>0</v>
      </c>
      <c r="G20" s="23">
        <f>Item18!D3</f>
        <v>30</v>
      </c>
      <c r="H20" s="24">
        <f>Item18!E3</f>
        <v>9.2799999999999994</v>
      </c>
      <c r="I20" s="24">
        <f t="shared" si="1"/>
        <v>278.39999999999998</v>
      </c>
      <c r="J20" s="24">
        <f t="shared" si="2"/>
        <v>278.39999999999998</v>
      </c>
      <c r="K20" s="24">
        <f t="shared" si="3"/>
        <v>0</v>
      </c>
    </row>
    <row r="21" spans="1:11" ht="30" x14ac:dyDescent="0.25">
      <c r="A21" s="23" t="s">
        <v>33</v>
      </c>
      <c r="B21" s="23">
        <f>Item19!A3</f>
        <v>19</v>
      </c>
      <c r="C21" s="25" t="str">
        <f>Item19!B3</f>
        <v>Lampada led 10 w bivolt branca, formato tradicional (base e27)</v>
      </c>
      <c r="D21" s="23" t="str">
        <f>Item19!C3</f>
        <v>unidade</v>
      </c>
      <c r="E21" s="30">
        <f t="shared" si="0"/>
        <v>180</v>
      </c>
      <c r="F21" s="30">
        <v>0</v>
      </c>
      <c r="G21" s="23">
        <f>Item19!D3</f>
        <v>180</v>
      </c>
      <c r="H21" s="24">
        <f>Item19!E3</f>
        <v>5.13</v>
      </c>
      <c r="I21" s="24">
        <f t="shared" si="1"/>
        <v>923.4</v>
      </c>
      <c r="J21" s="24">
        <f t="shared" si="2"/>
        <v>923.4</v>
      </c>
      <c r="K21" s="24">
        <f t="shared" si="3"/>
        <v>0</v>
      </c>
    </row>
    <row r="22" spans="1:11" ht="30" x14ac:dyDescent="0.25">
      <c r="A22" s="23" t="s">
        <v>33</v>
      </c>
      <c r="B22" s="23">
        <f>Item20!A3</f>
        <v>20</v>
      </c>
      <c r="C22" s="25" t="str">
        <f>Item20!B3</f>
        <v>Lâmpada led 12w de potência, luz branca autovolt, e27, marca glight ou similar</v>
      </c>
      <c r="D22" s="23" t="str">
        <f>Item20!C3</f>
        <v>unidade</v>
      </c>
      <c r="E22" s="30">
        <f t="shared" si="0"/>
        <v>30</v>
      </c>
      <c r="F22" s="30">
        <v>0</v>
      </c>
      <c r="G22" s="23">
        <f>Item20!D3</f>
        <v>30</v>
      </c>
      <c r="H22" s="24">
        <f>Item20!E3</f>
        <v>4.4000000000000004</v>
      </c>
      <c r="I22" s="24">
        <f t="shared" si="1"/>
        <v>132</v>
      </c>
      <c r="J22" s="24">
        <f t="shared" si="2"/>
        <v>132</v>
      </c>
      <c r="K22" s="24">
        <f t="shared" si="3"/>
        <v>0</v>
      </c>
    </row>
    <row r="23" spans="1:11" ht="30" x14ac:dyDescent="0.25">
      <c r="A23" s="23" t="s">
        <v>33</v>
      </c>
      <c r="B23" s="23">
        <f>Item21!A3</f>
        <v>21</v>
      </c>
      <c r="C23" s="25" t="str">
        <f>Item21!B3</f>
        <v>Lâmpada led 15w de potência, luz branca autovolt, marca glight ou similar</v>
      </c>
      <c r="D23" s="23" t="str">
        <f>Item21!C3</f>
        <v>unidade</v>
      </c>
      <c r="E23" s="30">
        <f t="shared" si="0"/>
        <v>720</v>
      </c>
      <c r="F23" s="30">
        <v>0</v>
      </c>
      <c r="G23" s="23">
        <f>Item21!D3</f>
        <v>720</v>
      </c>
      <c r="H23" s="24">
        <f>Item21!E3</f>
        <v>5.22</v>
      </c>
      <c r="I23" s="24">
        <f t="shared" si="1"/>
        <v>3758.4</v>
      </c>
      <c r="J23" s="24">
        <f t="shared" si="2"/>
        <v>3758.4</v>
      </c>
      <c r="K23" s="24">
        <f t="shared" si="3"/>
        <v>0</v>
      </c>
    </row>
    <row r="24" spans="1:11" ht="30" x14ac:dyDescent="0.25">
      <c r="A24" s="23" t="s">
        <v>33</v>
      </c>
      <c r="B24" s="23">
        <f>Item22!A3</f>
        <v>22</v>
      </c>
      <c r="C24" s="25" t="str">
        <f>Item22!B3</f>
        <v>Lampada led tubular bivolt 18/20 w, base g13</v>
      </c>
      <c r="D24" s="23" t="str">
        <f>Item22!C3</f>
        <v>unidade</v>
      </c>
      <c r="E24" s="30">
        <f t="shared" si="0"/>
        <v>384</v>
      </c>
      <c r="F24" s="30">
        <v>0</v>
      </c>
      <c r="G24" s="23">
        <f>Item22!D3</f>
        <v>384</v>
      </c>
      <c r="H24" s="24">
        <f>Item22!E3</f>
        <v>5.93</v>
      </c>
      <c r="I24" s="24">
        <f t="shared" si="1"/>
        <v>2277.12</v>
      </c>
      <c r="J24" s="24">
        <f t="shared" si="2"/>
        <v>2277.12</v>
      </c>
      <c r="K24" s="24">
        <f t="shared" si="3"/>
        <v>0</v>
      </c>
    </row>
    <row r="25" spans="1:11" ht="45" x14ac:dyDescent="0.25">
      <c r="A25" s="23" t="s">
        <v>33</v>
      </c>
      <c r="B25" s="23">
        <f>Item23!A3</f>
        <v>23</v>
      </c>
      <c r="C25" s="25" t="str">
        <f>Item23!B3</f>
        <v>Luminária (calha) p/ lampada fluorescente 2 x 40w/tubular LED 18w a 20w</v>
      </c>
      <c r="D25" s="23" t="str">
        <f>Item23!C3</f>
        <v>unidade</v>
      </c>
      <c r="E25" s="30">
        <f t="shared" si="0"/>
        <v>5</v>
      </c>
      <c r="F25" s="30">
        <v>0</v>
      </c>
      <c r="G25" s="23">
        <f>Item23!D3</f>
        <v>5</v>
      </c>
      <c r="H25" s="24">
        <f>Item23!E3</f>
        <v>24.87</v>
      </c>
      <c r="I25" s="24">
        <f t="shared" si="1"/>
        <v>124.35</v>
      </c>
      <c r="J25" s="24">
        <f t="shared" si="2"/>
        <v>124.35</v>
      </c>
      <c r="K25" s="24">
        <f t="shared" si="3"/>
        <v>0</v>
      </c>
    </row>
    <row r="26" spans="1:11" x14ac:dyDescent="0.25">
      <c r="A26" s="23" t="s">
        <v>33</v>
      </c>
      <c r="B26" s="23">
        <f>Item24!A3</f>
        <v>24</v>
      </c>
      <c r="C26" s="25" t="str">
        <f>Item24!B3</f>
        <v>Plafon de sobrepor e27 100w 250v</v>
      </c>
      <c r="D26" s="23" t="str">
        <f>Item24!C3</f>
        <v>unidade</v>
      </c>
      <c r="E26" s="30">
        <f t="shared" si="0"/>
        <v>180</v>
      </c>
      <c r="F26" s="30">
        <v>134</v>
      </c>
      <c r="G26" s="23">
        <f>Item24!D3</f>
        <v>314</v>
      </c>
      <c r="H26" s="24">
        <f>Item24!E3</f>
        <v>2.62</v>
      </c>
      <c r="I26" s="24">
        <f t="shared" si="1"/>
        <v>822.68</v>
      </c>
      <c r="J26" s="24">
        <f t="shared" si="2"/>
        <v>471.6</v>
      </c>
      <c r="K26" s="24">
        <f t="shared" si="3"/>
        <v>351.08</v>
      </c>
    </row>
    <row r="27" spans="1:11" x14ac:dyDescent="0.25">
      <c r="A27" s="23" t="s">
        <v>33</v>
      </c>
      <c r="B27" s="23">
        <f>Item25!A3</f>
        <v>25</v>
      </c>
      <c r="C27" s="25" t="str">
        <f>Item25!B3</f>
        <v>Plug femea 2p + t</v>
      </c>
      <c r="D27" s="23" t="str">
        <f>Item25!C3</f>
        <v>unidade</v>
      </c>
      <c r="E27" s="30">
        <f t="shared" si="0"/>
        <v>560</v>
      </c>
      <c r="F27" s="30">
        <v>134</v>
      </c>
      <c r="G27" s="23">
        <f>Item25!D3</f>
        <v>694</v>
      </c>
      <c r="H27" s="24">
        <f>Item25!E3</f>
        <v>3.67</v>
      </c>
      <c r="I27" s="24">
        <f t="shared" si="1"/>
        <v>2546.98</v>
      </c>
      <c r="J27" s="24">
        <f t="shared" si="2"/>
        <v>2055.1999999999998</v>
      </c>
      <c r="K27" s="24">
        <f t="shared" si="3"/>
        <v>491.78</v>
      </c>
    </row>
    <row r="28" spans="1:11" ht="30" x14ac:dyDescent="0.25">
      <c r="A28" s="23" t="s">
        <v>33</v>
      </c>
      <c r="B28" s="23">
        <f>Item26!A3</f>
        <v>26</v>
      </c>
      <c r="C28" s="25" t="str">
        <f>Item26!B3</f>
        <v>Plugue para tomada, tipo macho, 2p+t 10a</v>
      </c>
      <c r="D28" s="23" t="str">
        <f>Item26!C3</f>
        <v>unidade</v>
      </c>
      <c r="E28" s="30">
        <f t="shared" si="0"/>
        <v>610</v>
      </c>
      <c r="F28" s="30">
        <v>134</v>
      </c>
      <c r="G28" s="23">
        <f>Item26!D3</f>
        <v>744</v>
      </c>
      <c r="H28" s="24">
        <f>Item26!E3</f>
        <v>4.29</v>
      </c>
      <c r="I28" s="24">
        <f t="shared" si="1"/>
        <v>3191.76</v>
      </c>
      <c r="J28" s="24">
        <f t="shared" si="2"/>
        <v>2616.9</v>
      </c>
      <c r="K28" s="24">
        <f t="shared" si="3"/>
        <v>574.86</v>
      </c>
    </row>
    <row r="29" spans="1:11" ht="30" x14ac:dyDescent="0.25">
      <c r="A29" s="23" t="s">
        <v>33</v>
      </c>
      <c r="B29" s="23">
        <f>Item27!A3</f>
        <v>27</v>
      </c>
      <c r="C29" s="25" t="str">
        <f>Item27!B3</f>
        <v>Soquete de pvc / termoplastico base e27, com rabicho, para lampadas</v>
      </c>
      <c r="D29" s="23" t="str">
        <f>Item27!C3</f>
        <v>unidade</v>
      </c>
      <c r="E29" s="30">
        <f t="shared" si="0"/>
        <v>30</v>
      </c>
      <c r="F29" s="30">
        <v>0</v>
      </c>
      <c r="G29" s="23">
        <f>Item27!D3</f>
        <v>30</v>
      </c>
      <c r="H29" s="24">
        <f>Item27!E3</f>
        <v>2.2999999999999998</v>
      </c>
      <c r="I29" s="24">
        <f t="shared" si="1"/>
        <v>69</v>
      </c>
      <c r="J29" s="24">
        <f t="shared" si="2"/>
        <v>69</v>
      </c>
      <c r="K29" s="24">
        <f t="shared" si="3"/>
        <v>0</v>
      </c>
    </row>
    <row r="30" spans="1:11" ht="30" x14ac:dyDescent="0.25">
      <c r="A30" s="23" t="s">
        <v>33</v>
      </c>
      <c r="B30" s="23">
        <f>Item28!A3</f>
        <v>28</v>
      </c>
      <c r="C30" s="25" t="str">
        <f>Item28!B3</f>
        <v>Suporte/soquete plastico para lampada fluorescente</v>
      </c>
      <c r="D30" s="23" t="str">
        <f>Item28!C3</f>
        <v>unidade</v>
      </c>
      <c r="E30" s="30">
        <f t="shared" si="0"/>
        <v>80</v>
      </c>
      <c r="F30" s="30">
        <v>0</v>
      </c>
      <c r="G30" s="23">
        <f>Item28!D3</f>
        <v>80</v>
      </c>
      <c r="H30" s="24">
        <f>Item28!E3</f>
        <v>2.77</v>
      </c>
      <c r="I30" s="24">
        <f t="shared" ref="I30:I37" si="4">ROUND((G30*H30),2)</f>
        <v>221.6</v>
      </c>
      <c r="J30" s="24">
        <f t="shared" si="2"/>
        <v>221.6</v>
      </c>
      <c r="K30" s="24">
        <f t="shared" si="3"/>
        <v>0</v>
      </c>
    </row>
    <row r="31" spans="1:11" x14ac:dyDescent="0.25">
      <c r="A31" s="23" t="s">
        <v>33</v>
      </c>
      <c r="B31" s="23">
        <f>Item29!A3</f>
        <v>29</v>
      </c>
      <c r="C31" s="25" t="str">
        <f>Item29!B3</f>
        <v>Tomada 2p+t 10a, 250v (apenas modulo)</v>
      </c>
      <c r="D31" s="23" t="str">
        <f>Item29!C3</f>
        <v>unidade</v>
      </c>
      <c r="E31" s="30">
        <f t="shared" si="0"/>
        <v>90</v>
      </c>
      <c r="F31" s="30">
        <v>0</v>
      </c>
      <c r="G31" s="23">
        <f>Item29!D3</f>
        <v>90</v>
      </c>
      <c r="H31" s="24">
        <f>Item29!E3</f>
        <v>5.04</v>
      </c>
      <c r="I31" s="24">
        <f t="shared" si="4"/>
        <v>453.6</v>
      </c>
      <c r="J31" s="24">
        <f t="shared" si="2"/>
        <v>453.6</v>
      </c>
      <c r="K31" s="24">
        <f t="shared" si="3"/>
        <v>0</v>
      </c>
    </row>
    <row r="32" spans="1:11" ht="45" x14ac:dyDescent="0.25">
      <c r="A32" s="23" t="s">
        <v>33</v>
      </c>
      <c r="B32" s="23">
        <f>Item30!A3</f>
        <v>30</v>
      </c>
      <c r="C32" s="25" t="str">
        <f>Item30!B3</f>
        <v>Tomada 2p+t 10a, 250v, conjunto montado para embutir 4" x 2" (placa + suporte +modulo)</v>
      </c>
      <c r="D32" s="23" t="str">
        <f>Item30!C3</f>
        <v>unidade</v>
      </c>
      <c r="E32" s="30">
        <f t="shared" si="0"/>
        <v>480</v>
      </c>
      <c r="F32" s="30">
        <v>134</v>
      </c>
      <c r="G32" s="23">
        <f>Item30!D3</f>
        <v>614</v>
      </c>
      <c r="H32" s="24">
        <f>Item30!E3</f>
        <v>7.01</v>
      </c>
      <c r="I32" s="24">
        <f t="shared" si="4"/>
        <v>4304.1400000000003</v>
      </c>
      <c r="J32" s="24">
        <f t="shared" si="2"/>
        <v>3364.8</v>
      </c>
      <c r="K32" s="24">
        <f t="shared" si="3"/>
        <v>939.34</v>
      </c>
    </row>
    <row r="33" spans="1:11" ht="45" x14ac:dyDescent="0.25">
      <c r="A33" s="23" t="s">
        <v>33</v>
      </c>
      <c r="B33" s="23">
        <f>Item31!A3</f>
        <v>31</v>
      </c>
      <c r="C33" s="25" t="str">
        <f>Item31!B3</f>
        <v>Tomadas (2 modulos) 2p+t 10a, 250v, conjunto montado para embutir 4" x 2" (placa+ suporte + modulos)</v>
      </c>
      <c r="D33" s="23" t="str">
        <f>Item31!C3</f>
        <v>unidade</v>
      </c>
      <c r="E33" s="30">
        <f t="shared" si="0"/>
        <v>40</v>
      </c>
      <c r="F33" s="30">
        <v>69</v>
      </c>
      <c r="G33" s="23">
        <f>Item31!D3</f>
        <v>109</v>
      </c>
      <c r="H33" s="24">
        <f>Item31!E3</f>
        <v>7.38</v>
      </c>
      <c r="I33" s="24">
        <f t="shared" si="4"/>
        <v>804.42</v>
      </c>
      <c r="J33" s="24">
        <f t="shared" si="2"/>
        <v>295.2</v>
      </c>
      <c r="K33" s="24">
        <f t="shared" si="3"/>
        <v>509.22</v>
      </c>
    </row>
    <row r="34" spans="1:11" x14ac:dyDescent="0.25">
      <c r="A34" s="23" t="s">
        <v>33</v>
      </c>
      <c r="B34" s="23">
        <f>Item32!A3</f>
        <v>32</v>
      </c>
      <c r="C34" s="25" t="str">
        <f>Item32!B3</f>
        <v>Lampada de led bulbo 9w a60</v>
      </c>
      <c r="D34" s="23" t="str">
        <f>Item32!C3</f>
        <v>unidade</v>
      </c>
      <c r="E34" s="30">
        <f t="shared" si="0"/>
        <v>0</v>
      </c>
      <c r="F34" s="30">
        <v>134</v>
      </c>
      <c r="G34" s="23">
        <f>Item32!D3</f>
        <v>134</v>
      </c>
      <c r="H34" s="24">
        <f>Item32!E3</f>
        <v>2.73</v>
      </c>
      <c r="I34" s="24">
        <f t="shared" si="4"/>
        <v>365.82</v>
      </c>
      <c r="J34" s="24">
        <f t="shared" si="2"/>
        <v>0</v>
      </c>
      <c r="K34" s="24">
        <f t="shared" si="3"/>
        <v>365.82</v>
      </c>
    </row>
    <row r="35" spans="1:11" ht="30" x14ac:dyDescent="0.25">
      <c r="A35" s="23" t="s">
        <v>33</v>
      </c>
      <c r="B35" s="23">
        <f>Item33!A3</f>
        <v>33</v>
      </c>
      <c r="C35" s="25" t="str">
        <f>Item33!B3</f>
        <v>Disjuntor tipo DIN/IEC, tripolar de 10 ate 50a</v>
      </c>
      <c r="D35" s="23" t="str">
        <f>Item33!C3</f>
        <v>unidade</v>
      </c>
      <c r="E35" s="30">
        <f t="shared" si="0"/>
        <v>0</v>
      </c>
      <c r="F35" s="30">
        <v>40</v>
      </c>
      <c r="G35" s="23">
        <f>Item33!D3</f>
        <v>40</v>
      </c>
      <c r="H35" s="24">
        <f>Item33!E3</f>
        <v>27.91</v>
      </c>
      <c r="I35" s="24">
        <f t="shared" si="4"/>
        <v>1116.4000000000001</v>
      </c>
      <c r="J35" s="24">
        <f t="shared" si="2"/>
        <v>0</v>
      </c>
      <c r="K35" s="24">
        <f t="shared" si="3"/>
        <v>1116.4000000000001</v>
      </c>
    </row>
    <row r="36" spans="1:11" ht="45" x14ac:dyDescent="0.25">
      <c r="A36" s="23" t="s">
        <v>33</v>
      </c>
      <c r="B36" s="23">
        <f>Item34!A3</f>
        <v>34</v>
      </c>
      <c r="C36" s="25" t="str">
        <f>Item34!B3</f>
        <v>Refletor Slim LED 100W de potência, branco Frio, 6500k, Autovolt, marca G-light ou similar</v>
      </c>
      <c r="D36" s="23" t="str">
        <f>Item34!C3</f>
        <v>unidade</v>
      </c>
      <c r="E36" s="30">
        <f t="shared" si="0"/>
        <v>0</v>
      </c>
      <c r="F36" s="30">
        <v>40</v>
      </c>
      <c r="G36" s="23">
        <f>Item34!D3</f>
        <v>40</v>
      </c>
      <c r="H36" s="24">
        <f>Item34!E3</f>
        <v>34.04</v>
      </c>
      <c r="I36" s="24">
        <f t="shared" si="4"/>
        <v>1361.6</v>
      </c>
      <c r="J36" s="24">
        <f t="shared" si="2"/>
        <v>0</v>
      </c>
      <c r="K36" s="24">
        <f t="shared" si="3"/>
        <v>1361.6</v>
      </c>
    </row>
    <row r="37" spans="1:11" ht="45" x14ac:dyDescent="0.25">
      <c r="A37" s="23" t="s">
        <v>33</v>
      </c>
      <c r="B37" s="23">
        <f>Item35!A3</f>
        <v>35</v>
      </c>
      <c r="C37" s="25" t="str">
        <f>Item35!B3</f>
        <v>Canaleta plastica 20 x 10mm, sem divisória (ref. 308 02, Pial Legrand ou similar)</v>
      </c>
      <c r="D37" s="23" t="str">
        <f>Item35!C3</f>
        <v>metro</v>
      </c>
      <c r="E37" s="30">
        <f t="shared" si="0"/>
        <v>0</v>
      </c>
      <c r="F37" s="30">
        <v>400</v>
      </c>
      <c r="G37" s="23">
        <f>Item35!D3</f>
        <v>400</v>
      </c>
      <c r="H37" s="24">
        <f>Item35!E3</f>
        <v>39.270000000000003</v>
      </c>
      <c r="I37" s="24">
        <f t="shared" si="4"/>
        <v>15708</v>
      </c>
      <c r="J37" s="24">
        <f t="shared" si="2"/>
        <v>0</v>
      </c>
      <c r="K37" s="24">
        <f t="shared" si="3"/>
        <v>15708</v>
      </c>
    </row>
    <row r="38" spans="1:11" ht="15.75" thickBot="1" x14ac:dyDescent="0.3">
      <c r="A38" s="39"/>
      <c r="B38" s="39"/>
      <c r="C38" s="40"/>
      <c r="D38" s="39"/>
      <c r="E38" s="41"/>
      <c r="F38" s="41"/>
      <c r="G38" s="39"/>
      <c r="H38" s="42"/>
      <c r="I38" s="42"/>
      <c r="J38" s="42"/>
      <c r="K38" s="42"/>
    </row>
    <row r="39" spans="1:11" s="4" customFormat="1" ht="30" thickTop="1" thickBot="1" x14ac:dyDescent="0.3">
      <c r="E39" s="48" t="s">
        <v>229</v>
      </c>
      <c r="F39" s="49" t="s">
        <v>230</v>
      </c>
    </row>
    <row r="40" spans="1:11" ht="16.5" thickTop="1" thickBot="1" x14ac:dyDescent="0.3">
      <c r="A40" s="43"/>
      <c r="B40" s="44"/>
      <c r="C40" s="22" t="s">
        <v>231</v>
      </c>
      <c r="D40" s="45">
        <f>SUM(I:I)</f>
        <v>64226.710000000006</v>
      </c>
      <c r="E40" s="46">
        <v>0.13100000000000001</v>
      </c>
      <c r="F40" s="50"/>
    </row>
    <row r="41" spans="1:11" ht="16.5" thickTop="1" thickBot="1" x14ac:dyDescent="0.3">
      <c r="A41" s="43"/>
      <c r="B41" s="44"/>
      <c r="C41" s="22" t="s">
        <v>86</v>
      </c>
      <c r="D41" s="45">
        <f>SUM(J:J)</f>
        <v>37913.29</v>
      </c>
      <c r="E41" s="47">
        <f>D41*E40</f>
        <v>4966.6409899999999</v>
      </c>
      <c r="F41" s="47">
        <f>D41+E41</f>
        <v>42879.930990000001</v>
      </c>
    </row>
    <row r="42" spans="1:11" ht="16.5" thickTop="1" thickBot="1" x14ac:dyDescent="0.3">
      <c r="A42" s="43"/>
      <c r="B42" s="44"/>
      <c r="C42" s="22" t="s">
        <v>87</v>
      </c>
      <c r="D42" s="45">
        <f>SUM(K:K)</f>
        <v>26313.42</v>
      </c>
      <c r="E42" s="47">
        <f>D42*E40</f>
        <v>3447.0580199999999</v>
      </c>
      <c r="F42" s="47">
        <f>D42+E42</f>
        <v>29760.478019999999</v>
      </c>
    </row>
    <row r="43" spans="1:11" ht="15.75" thickTop="1" x14ac:dyDescent="0.25">
      <c r="H43" s="3"/>
    </row>
    <row r="44" spans="1:11" x14ac:dyDescent="0.25">
      <c r="D44" s="21" t="s">
        <v>32</v>
      </c>
      <c r="E44" s="21"/>
      <c r="F44" s="21"/>
      <c r="G44" s="13">
        <f>MAX(A:A)</f>
        <v>0</v>
      </c>
    </row>
    <row r="46" spans="1:11" x14ac:dyDescent="0.25">
      <c r="D46" s="18" t="s">
        <v>31</v>
      </c>
      <c r="E46" s="29"/>
      <c r="F46" s="29"/>
      <c r="G46" s="19">
        <v>1</v>
      </c>
      <c r="H46" s="20">
        <f>SUMIF(A:A,G46,I:I)</f>
        <v>0</v>
      </c>
    </row>
    <row r="47" spans="1:11" x14ac:dyDescent="0.25">
      <c r="D47" s="18" t="s">
        <v>31</v>
      </c>
      <c r="E47" s="29"/>
      <c r="F47" s="29"/>
      <c r="G47" s="19">
        <v>2</v>
      </c>
      <c r="H47" s="20">
        <f>SUMIF(A:A,G47,I:I)</f>
        <v>0</v>
      </c>
    </row>
    <row r="48" spans="1:11" x14ac:dyDescent="0.25">
      <c r="D48" s="18" t="s">
        <v>31</v>
      </c>
      <c r="E48" s="29"/>
      <c r="F48" s="29"/>
      <c r="G48" s="19">
        <v>3</v>
      </c>
      <c r="H48" s="20">
        <f>SUMIF(A:A,G48,I:I)</f>
        <v>0</v>
      </c>
    </row>
    <row r="49" spans="4:8" x14ac:dyDescent="0.25">
      <c r="D49" s="18" t="s">
        <v>31</v>
      </c>
      <c r="E49" s="29"/>
      <c r="F49" s="29"/>
      <c r="G49" s="19">
        <v>4</v>
      </c>
      <c r="H49" s="20">
        <f>SUMIF(A:A,G49,I:I)</f>
        <v>0</v>
      </c>
    </row>
  </sheetData>
  <mergeCells count="2">
    <mergeCell ref="A1:K1"/>
    <mergeCell ref="F39:F40"/>
  </mergeCells>
  <pageMargins left="0.51181102362204722" right="0.51181102362204722" top="1.2598425196850394" bottom="0.78740157480314965" header="0.31496062992125984" footer="0.31496062992125984"/>
  <pageSetup paperSize="9" scale="57" orientation="portrait" r:id="rId1"/>
  <headerFooter>
    <oddHeader>&amp;C&amp;G</oddHeader>
    <oddFooter>&amp;L&amp;"-,Negrito"Estimativa em &amp;D&amp;Rn/a = não se aplica</oddFooter>
  </headerFooter>
  <rowBreaks count="1" manualBreakCount="1">
    <brk id="28" max="16383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4" sqref="G4:H6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2" t="s">
        <v>8</v>
      </c>
      <c r="B1" s="32"/>
      <c r="C1" s="32"/>
      <c r="D1" s="32"/>
      <c r="E1" s="32"/>
      <c r="F1" s="32"/>
      <c r="G1" s="32"/>
      <c r="H1" s="32"/>
      <c r="I1" s="32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9</v>
      </c>
      <c r="F2" s="6" t="s">
        <v>10</v>
      </c>
      <c r="G2" s="6" t="s">
        <v>11</v>
      </c>
      <c r="H2" s="6" t="s">
        <v>12</v>
      </c>
      <c r="I2" s="6" t="s">
        <v>13</v>
      </c>
    </row>
    <row r="3" spans="1:9" x14ac:dyDescent="0.25">
      <c r="A3" s="37">
        <v>5</v>
      </c>
      <c r="B3" s="33" t="s">
        <v>53</v>
      </c>
      <c r="C3" s="35" t="s">
        <v>49</v>
      </c>
      <c r="D3" s="35">
        <v>150</v>
      </c>
      <c r="E3" s="36">
        <f>IF(C20&lt;=25%,D20,MIN(E20:F20))</f>
        <v>4.9400000000000004</v>
      </c>
      <c r="F3" s="36">
        <f>MIN(H3:H17)</f>
        <v>3.88</v>
      </c>
      <c r="G3" s="5" t="s">
        <v>97</v>
      </c>
      <c r="H3" s="16">
        <v>3.88</v>
      </c>
      <c r="I3" s="17" t="str">
        <f>IF(H3="","",(IF($C$20&lt;25%,"n/a",IF(H3&lt;=($D$20+$A$20),H3,"Descartado"))))</f>
        <v>n/a</v>
      </c>
    </row>
    <row r="4" spans="1:9" x14ac:dyDescent="0.25">
      <c r="A4" s="37"/>
      <c r="B4" s="34"/>
      <c r="C4" s="35"/>
      <c r="D4" s="35"/>
      <c r="E4" s="36"/>
      <c r="F4" s="36"/>
      <c r="G4" s="5" t="s">
        <v>221</v>
      </c>
      <c r="H4" s="16">
        <v>6.11</v>
      </c>
      <c r="I4" s="17" t="str">
        <f t="shared" ref="I4:I17" si="0">IF(H4="","",(IF($C$20&lt;25%,"n/a",IF(H4&lt;=($D$20+$A$20),H4,"Descartado"))))</f>
        <v>n/a</v>
      </c>
    </row>
    <row r="5" spans="1:9" x14ac:dyDescent="0.25">
      <c r="A5" s="37"/>
      <c r="B5" s="34"/>
      <c r="C5" s="35"/>
      <c r="D5" s="35"/>
      <c r="E5" s="36"/>
      <c r="F5" s="36"/>
      <c r="G5" s="5" t="s">
        <v>220</v>
      </c>
      <c r="H5" s="16">
        <v>4.82</v>
      </c>
      <c r="I5" s="17" t="str">
        <f t="shared" si="0"/>
        <v>n/a</v>
      </c>
    </row>
    <row r="6" spans="1:9" x14ac:dyDescent="0.25">
      <c r="A6" s="37"/>
      <c r="B6" s="34"/>
      <c r="C6" s="35"/>
      <c r="D6" s="35"/>
      <c r="E6" s="36"/>
      <c r="F6" s="36"/>
      <c r="G6" s="5"/>
      <c r="H6" s="16"/>
      <c r="I6" s="17" t="str">
        <f t="shared" si="0"/>
        <v/>
      </c>
    </row>
    <row r="7" spans="1:9" x14ac:dyDescent="0.25">
      <c r="A7" s="37"/>
      <c r="B7" s="34"/>
      <c r="C7" s="35"/>
      <c r="D7" s="35"/>
      <c r="E7" s="36"/>
      <c r="F7" s="36"/>
      <c r="G7" s="5"/>
      <c r="H7" s="16"/>
      <c r="I7" s="17" t="str">
        <f t="shared" si="0"/>
        <v/>
      </c>
    </row>
    <row r="8" spans="1:9" x14ac:dyDescent="0.25">
      <c r="A8" s="37"/>
      <c r="B8" s="34"/>
      <c r="C8" s="35"/>
      <c r="D8" s="35"/>
      <c r="E8" s="36"/>
      <c r="F8" s="36"/>
      <c r="G8" s="5"/>
      <c r="H8" s="16"/>
      <c r="I8" s="17" t="str">
        <f t="shared" si="0"/>
        <v/>
      </c>
    </row>
    <row r="9" spans="1:9" x14ac:dyDescent="0.25">
      <c r="A9" s="37"/>
      <c r="B9" s="34"/>
      <c r="C9" s="35"/>
      <c r="D9" s="35"/>
      <c r="E9" s="36"/>
      <c r="F9" s="36"/>
      <c r="G9" s="5"/>
      <c r="H9" s="16"/>
      <c r="I9" s="17" t="str">
        <f t="shared" si="0"/>
        <v/>
      </c>
    </row>
    <row r="10" spans="1:9" x14ac:dyDescent="0.25">
      <c r="A10" s="37"/>
      <c r="B10" s="34"/>
      <c r="C10" s="35"/>
      <c r="D10" s="35"/>
      <c r="E10" s="36"/>
      <c r="F10" s="36"/>
      <c r="G10" s="5"/>
      <c r="H10" s="16"/>
      <c r="I10" s="17" t="str">
        <f t="shared" si="0"/>
        <v/>
      </c>
    </row>
    <row r="11" spans="1:9" x14ac:dyDescent="0.25">
      <c r="A11" s="37"/>
      <c r="B11" s="34"/>
      <c r="C11" s="35"/>
      <c r="D11" s="35"/>
      <c r="E11" s="36"/>
      <c r="F11" s="36"/>
      <c r="G11" s="5"/>
      <c r="H11" s="16"/>
      <c r="I11" s="17" t="str">
        <f t="shared" si="0"/>
        <v/>
      </c>
    </row>
    <row r="12" spans="1:9" x14ac:dyDescent="0.25">
      <c r="A12" s="37"/>
      <c r="B12" s="34"/>
      <c r="C12" s="35"/>
      <c r="D12" s="35"/>
      <c r="E12" s="36"/>
      <c r="F12" s="36"/>
      <c r="G12" s="5"/>
      <c r="H12" s="16"/>
      <c r="I12" s="17" t="str">
        <f t="shared" si="0"/>
        <v/>
      </c>
    </row>
    <row r="13" spans="1:9" x14ac:dyDescent="0.25">
      <c r="A13" s="37"/>
      <c r="B13" s="34"/>
      <c r="C13" s="35"/>
      <c r="D13" s="35"/>
      <c r="E13" s="36"/>
      <c r="F13" s="36"/>
      <c r="G13" s="5"/>
      <c r="H13" s="16"/>
      <c r="I13" s="17" t="str">
        <f t="shared" si="0"/>
        <v/>
      </c>
    </row>
    <row r="14" spans="1:9" x14ac:dyDescent="0.25">
      <c r="A14" s="37"/>
      <c r="B14" s="34"/>
      <c r="C14" s="35"/>
      <c r="D14" s="35"/>
      <c r="E14" s="36"/>
      <c r="F14" s="36"/>
      <c r="G14" s="5"/>
      <c r="H14" s="16"/>
      <c r="I14" s="17" t="str">
        <f t="shared" si="0"/>
        <v/>
      </c>
    </row>
    <row r="15" spans="1:9" x14ac:dyDescent="0.25">
      <c r="A15" s="37"/>
      <c r="B15" s="34"/>
      <c r="C15" s="35"/>
      <c r="D15" s="35"/>
      <c r="E15" s="36"/>
      <c r="F15" s="36"/>
      <c r="G15" s="5"/>
      <c r="H15" s="16"/>
      <c r="I15" s="17" t="str">
        <f t="shared" si="0"/>
        <v/>
      </c>
    </row>
    <row r="16" spans="1:9" x14ac:dyDescent="0.25">
      <c r="A16" s="37"/>
      <c r="B16" s="34"/>
      <c r="C16" s="35"/>
      <c r="D16" s="35"/>
      <c r="E16" s="36"/>
      <c r="F16" s="36"/>
      <c r="G16" s="5"/>
      <c r="H16" s="16"/>
      <c r="I16" s="17" t="str">
        <f t="shared" si="0"/>
        <v/>
      </c>
    </row>
    <row r="17" spans="1:9" x14ac:dyDescent="0.25">
      <c r="A17" s="37"/>
      <c r="B17" s="34"/>
      <c r="C17" s="35"/>
      <c r="D17" s="35"/>
      <c r="E17" s="36"/>
      <c r="F17" s="36"/>
      <c r="G17" s="5"/>
      <c r="H17" s="16"/>
      <c r="I17" s="17" t="str">
        <f t="shared" si="0"/>
        <v/>
      </c>
    </row>
    <row r="19" spans="1:9" s="4" customFormat="1" ht="24" x14ac:dyDescent="0.25">
      <c r="A19" s="6" t="s">
        <v>14</v>
      </c>
      <c r="B19" s="6" t="s">
        <v>15</v>
      </c>
      <c r="C19" s="6" t="s">
        <v>25</v>
      </c>
      <c r="D19" s="6" t="s">
        <v>16</v>
      </c>
      <c r="E19" s="6" t="s">
        <v>17</v>
      </c>
      <c r="F19" s="6" t="s">
        <v>18</v>
      </c>
      <c r="G19" s="31" t="s">
        <v>19</v>
      </c>
      <c r="H19" s="31"/>
    </row>
    <row r="20" spans="1:9" x14ac:dyDescent="0.25">
      <c r="A20" s="8">
        <f>IF(B20&lt;2,"n/a",(_xlfn.STDEV.S(H3:H17)))</f>
        <v>1.119568369209015</v>
      </c>
      <c r="B20" s="8">
        <f>COUNT(H3:H17)</f>
        <v>3</v>
      </c>
      <c r="C20" s="9">
        <f>IF(B20&lt;2,"n/a",(A20/D20))</f>
        <v>0.22663327311923379</v>
      </c>
      <c r="D20" s="10">
        <f>IFERROR(ROUND(AVERAGE(H3:H17),2),"")</f>
        <v>4.9400000000000004</v>
      </c>
      <c r="E20" s="15" t="str">
        <f>IFERROR(ROUND(IF(B20&lt;2,"n/a",(IF(C20&lt;=25%,"n/a",AVERAGE(I3:I17)))),2),"n/a")</f>
        <v>n/a</v>
      </c>
      <c r="F20" s="10">
        <f>IFERROR(ROUND(MEDIAN(H3:H17),2),"")</f>
        <v>4.82</v>
      </c>
      <c r="G20" s="11" t="str">
        <f>IFERROR(INDEX(G3:G17,MATCH(H20,H3:H17,0)),"")</f>
        <v>ALLUME SERVICOS E COMERCIO LTDA</v>
      </c>
      <c r="H20" s="12">
        <f>F3</f>
        <v>3.88</v>
      </c>
    </row>
    <row r="22" spans="1:9" x14ac:dyDescent="0.25">
      <c r="G22" s="13" t="s">
        <v>20</v>
      </c>
      <c r="H22" s="14">
        <f>IF(C20&lt;=25%,D20,MIN(E20:F20))</f>
        <v>4.9400000000000004</v>
      </c>
    </row>
    <row r="23" spans="1:9" x14ac:dyDescent="0.25">
      <c r="G23" s="13" t="s">
        <v>6</v>
      </c>
      <c r="H23" s="14">
        <f>ROUND(H22,2)*D3</f>
        <v>741.00000000000011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7" sqref="G7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2" t="s">
        <v>8</v>
      </c>
      <c r="B1" s="32"/>
      <c r="C1" s="32"/>
      <c r="D1" s="32"/>
      <c r="E1" s="32"/>
      <c r="F1" s="32"/>
      <c r="G1" s="32"/>
      <c r="H1" s="32"/>
      <c r="I1" s="32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9</v>
      </c>
      <c r="F2" s="6" t="s">
        <v>10</v>
      </c>
      <c r="G2" s="6" t="s">
        <v>11</v>
      </c>
      <c r="H2" s="6" t="s">
        <v>12</v>
      </c>
      <c r="I2" s="6" t="s">
        <v>13</v>
      </c>
    </row>
    <row r="3" spans="1:9" x14ac:dyDescent="0.25">
      <c r="A3" s="37">
        <v>6</v>
      </c>
      <c r="B3" s="33" t="s">
        <v>54</v>
      </c>
      <c r="C3" s="35" t="s">
        <v>49</v>
      </c>
      <c r="D3" s="35">
        <f>300+400</f>
        <v>700</v>
      </c>
      <c r="E3" s="36">
        <f>IF(C20&lt;=25%,D20,MIN(E20:F20))</f>
        <v>5.29</v>
      </c>
      <c r="F3" s="36">
        <f>MIN(H3:H17)</f>
        <v>3.61</v>
      </c>
      <c r="G3" s="5" t="s">
        <v>96</v>
      </c>
      <c r="H3" s="16">
        <v>10</v>
      </c>
      <c r="I3" s="17" t="str">
        <f>IF(H3="","",(IF($C$20&lt;25%,"n/a",IF(H3&lt;=($D$20+$A$20),H3,"Descartado"))))</f>
        <v>Descartado</v>
      </c>
    </row>
    <row r="4" spans="1:9" x14ac:dyDescent="0.25">
      <c r="A4" s="37"/>
      <c r="B4" s="34"/>
      <c r="C4" s="35"/>
      <c r="D4" s="35"/>
      <c r="E4" s="36"/>
      <c r="F4" s="36"/>
      <c r="G4" s="5" t="s">
        <v>97</v>
      </c>
      <c r="H4" s="16">
        <v>7.41</v>
      </c>
      <c r="I4" s="17">
        <f t="shared" ref="I4:I17" si="0">IF(H4="","",(IF($C$20&lt;25%,"n/a",IF(H4&lt;=($D$20+$A$20),H4,"Descartado"))))</f>
        <v>7.41</v>
      </c>
    </row>
    <row r="5" spans="1:9" x14ac:dyDescent="0.25">
      <c r="A5" s="37"/>
      <c r="B5" s="34"/>
      <c r="C5" s="35"/>
      <c r="D5" s="35"/>
      <c r="E5" s="36"/>
      <c r="F5" s="36"/>
      <c r="G5" s="5" t="s">
        <v>98</v>
      </c>
      <c r="H5" s="16">
        <v>4.84</v>
      </c>
      <c r="I5" s="17">
        <f t="shared" si="0"/>
        <v>4.84</v>
      </c>
    </row>
    <row r="6" spans="1:9" x14ac:dyDescent="0.25">
      <c r="A6" s="37"/>
      <c r="B6" s="34"/>
      <c r="C6" s="35"/>
      <c r="D6" s="35"/>
      <c r="E6" s="36"/>
      <c r="F6" s="36"/>
      <c r="G6" s="5" t="s">
        <v>99</v>
      </c>
      <c r="H6" s="16">
        <v>3.61</v>
      </c>
      <c r="I6" s="17">
        <f t="shared" si="0"/>
        <v>3.61</v>
      </c>
    </row>
    <row r="7" spans="1:9" x14ac:dyDescent="0.25">
      <c r="A7" s="37"/>
      <c r="B7" s="34"/>
      <c r="C7" s="35"/>
      <c r="D7" s="35"/>
      <c r="E7" s="36"/>
      <c r="F7" s="36"/>
      <c r="G7" s="5"/>
      <c r="H7" s="16"/>
      <c r="I7" s="17" t="str">
        <f t="shared" si="0"/>
        <v/>
      </c>
    </row>
    <row r="8" spans="1:9" x14ac:dyDescent="0.25">
      <c r="A8" s="37"/>
      <c r="B8" s="34"/>
      <c r="C8" s="35"/>
      <c r="D8" s="35"/>
      <c r="E8" s="36"/>
      <c r="F8" s="36"/>
      <c r="G8" s="5"/>
      <c r="H8" s="16"/>
      <c r="I8" s="17" t="str">
        <f t="shared" si="0"/>
        <v/>
      </c>
    </row>
    <row r="9" spans="1:9" x14ac:dyDescent="0.25">
      <c r="A9" s="37"/>
      <c r="B9" s="34"/>
      <c r="C9" s="35"/>
      <c r="D9" s="35"/>
      <c r="E9" s="36"/>
      <c r="F9" s="36"/>
      <c r="G9" s="5"/>
      <c r="H9" s="16"/>
      <c r="I9" s="17" t="str">
        <f t="shared" si="0"/>
        <v/>
      </c>
    </row>
    <row r="10" spans="1:9" x14ac:dyDescent="0.25">
      <c r="A10" s="37"/>
      <c r="B10" s="34"/>
      <c r="C10" s="35"/>
      <c r="D10" s="35"/>
      <c r="E10" s="36"/>
      <c r="F10" s="36"/>
      <c r="G10" s="5"/>
      <c r="H10" s="16"/>
      <c r="I10" s="17" t="str">
        <f t="shared" si="0"/>
        <v/>
      </c>
    </row>
    <row r="11" spans="1:9" x14ac:dyDescent="0.25">
      <c r="A11" s="37"/>
      <c r="B11" s="34"/>
      <c r="C11" s="35"/>
      <c r="D11" s="35"/>
      <c r="E11" s="36"/>
      <c r="F11" s="36"/>
      <c r="G11" s="5"/>
      <c r="H11" s="16"/>
      <c r="I11" s="17" t="str">
        <f t="shared" si="0"/>
        <v/>
      </c>
    </row>
    <row r="12" spans="1:9" x14ac:dyDescent="0.25">
      <c r="A12" s="37"/>
      <c r="B12" s="34"/>
      <c r="C12" s="35"/>
      <c r="D12" s="35"/>
      <c r="E12" s="36"/>
      <c r="F12" s="36"/>
      <c r="G12" s="5"/>
      <c r="H12" s="16"/>
      <c r="I12" s="17" t="str">
        <f t="shared" si="0"/>
        <v/>
      </c>
    </row>
    <row r="13" spans="1:9" x14ac:dyDescent="0.25">
      <c r="A13" s="37"/>
      <c r="B13" s="34"/>
      <c r="C13" s="35"/>
      <c r="D13" s="35"/>
      <c r="E13" s="36"/>
      <c r="F13" s="36"/>
      <c r="G13" s="5"/>
      <c r="H13" s="16"/>
      <c r="I13" s="17" t="str">
        <f t="shared" si="0"/>
        <v/>
      </c>
    </row>
    <row r="14" spans="1:9" x14ac:dyDescent="0.25">
      <c r="A14" s="37"/>
      <c r="B14" s="34"/>
      <c r="C14" s="35"/>
      <c r="D14" s="35"/>
      <c r="E14" s="36"/>
      <c r="F14" s="36"/>
      <c r="G14" s="5"/>
      <c r="H14" s="16"/>
      <c r="I14" s="17" t="str">
        <f t="shared" si="0"/>
        <v/>
      </c>
    </row>
    <row r="15" spans="1:9" x14ac:dyDescent="0.25">
      <c r="A15" s="37"/>
      <c r="B15" s="34"/>
      <c r="C15" s="35"/>
      <c r="D15" s="35"/>
      <c r="E15" s="36"/>
      <c r="F15" s="36"/>
      <c r="G15" s="5"/>
      <c r="H15" s="16"/>
      <c r="I15" s="17" t="str">
        <f t="shared" si="0"/>
        <v/>
      </c>
    </row>
    <row r="16" spans="1:9" x14ac:dyDescent="0.25">
      <c r="A16" s="37"/>
      <c r="B16" s="34"/>
      <c r="C16" s="35"/>
      <c r="D16" s="35"/>
      <c r="E16" s="36"/>
      <c r="F16" s="36"/>
      <c r="G16" s="5"/>
      <c r="H16" s="16"/>
      <c r="I16" s="17" t="str">
        <f t="shared" si="0"/>
        <v/>
      </c>
    </row>
    <row r="17" spans="1:9" x14ac:dyDescent="0.25">
      <c r="A17" s="37"/>
      <c r="B17" s="34"/>
      <c r="C17" s="35"/>
      <c r="D17" s="35"/>
      <c r="E17" s="36"/>
      <c r="F17" s="36"/>
      <c r="G17" s="5"/>
      <c r="H17" s="16"/>
      <c r="I17" s="17" t="str">
        <f t="shared" si="0"/>
        <v/>
      </c>
    </row>
    <row r="19" spans="1:9" s="4" customFormat="1" ht="24" x14ac:dyDescent="0.25">
      <c r="A19" s="6" t="s">
        <v>14</v>
      </c>
      <c r="B19" s="6" t="s">
        <v>15</v>
      </c>
      <c r="C19" s="6" t="s">
        <v>25</v>
      </c>
      <c r="D19" s="6" t="s">
        <v>16</v>
      </c>
      <c r="E19" s="6" t="s">
        <v>17</v>
      </c>
      <c r="F19" s="6" t="s">
        <v>18</v>
      </c>
      <c r="G19" s="31" t="s">
        <v>19</v>
      </c>
      <c r="H19" s="31"/>
    </row>
    <row r="20" spans="1:9" x14ac:dyDescent="0.25">
      <c r="A20" s="8">
        <f>IF(B20&lt;2,"n/a",(_xlfn.STDEV.S(H3:H17)))</f>
        <v>2.8390667480705685</v>
      </c>
      <c r="B20" s="8">
        <f>COUNT(H3:H17)</f>
        <v>4</v>
      </c>
      <c r="C20" s="9">
        <f>IF(B20&lt;2,"n/a",(A20/D20))</f>
        <v>0.4388047524065794</v>
      </c>
      <c r="D20" s="10">
        <f>IFERROR(ROUND(AVERAGE(H3:H17),2),"")</f>
        <v>6.47</v>
      </c>
      <c r="E20" s="15">
        <f>IFERROR(ROUND(IF(B20&lt;2,"n/a",(IF(C20&lt;=25%,"n/a",AVERAGE(I3:I17)))),2),"n/a")</f>
        <v>5.29</v>
      </c>
      <c r="F20" s="10">
        <f>IFERROR(ROUND(MEDIAN(H3:H17),2),"")</f>
        <v>6.13</v>
      </c>
      <c r="G20" s="11" t="str">
        <f>IFERROR(INDEX(G3:G17,MATCH(H20,H3:H17,0)),"")</f>
        <v>TCJM DISTRIBUIDORA E IMPORTADORA LTDA</v>
      </c>
      <c r="H20" s="12">
        <f>F3</f>
        <v>3.61</v>
      </c>
    </row>
    <row r="22" spans="1:9" x14ac:dyDescent="0.25">
      <c r="G22" s="13" t="s">
        <v>20</v>
      </c>
      <c r="H22" s="14">
        <f>IF(C20&lt;=25%,D20,MIN(E20:F20))</f>
        <v>5.29</v>
      </c>
    </row>
    <row r="23" spans="1:9" x14ac:dyDescent="0.25">
      <c r="G23" s="13" t="s">
        <v>6</v>
      </c>
      <c r="H23" s="14">
        <f>ROUND(H22,2)*D3</f>
        <v>3703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6" sqref="G6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2" t="s">
        <v>8</v>
      </c>
      <c r="B1" s="32"/>
      <c r="C1" s="32"/>
      <c r="D1" s="32"/>
      <c r="E1" s="32"/>
      <c r="F1" s="32"/>
      <c r="G1" s="32"/>
      <c r="H1" s="32"/>
      <c r="I1" s="32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9</v>
      </c>
      <c r="F2" s="6" t="s">
        <v>10</v>
      </c>
      <c r="G2" s="6" t="s">
        <v>11</v>
      </c>
      <c r="H2" s="6" t="s">
        <v>12</v>
      </c>
      <c r="I2" s="6" t="s">
        <v>13</v>
      </c>
    </row>
    <row r="3" spans="1:9" x14ac:dyDescent="0.25">
      <c r="A3" s="37">
        <v>7</v>
      </c>
      <c r="B3" s="33" t="s">
        <v>55</v>
      </c>
      <c r="C3" s="35" t="s">
        <v>7</v>
      </c>
      <c r="D3" s="35">
        <v>10</v>
      </c>
      <c r="E3" s="36">
        <f>IF(C20&lt;=25%,D20,MIN(E20:F20))</f>
        <v>6.35</v>
      </c>
      <c r="F3" s="36">
        <f>MIN(H3:H17)</f>
        <v>5.03</v>
      </c>
      <c r="G3" s="5" t="s">
        <v>222</v>
      </c>
      <c r="H3" s="16">
        <v>5.03</v>
      </c>
      <c r="I3" s="17" t="str">
        <f>IF(H3="","",(IF($C$20&lt;25%,"n/a",IF(H3&lt;=($D$20+$A$20),H3,"Descartado"))))</f>
        <v>n/a</v>
      </c>
    </row>
    <row r="4" spans="1:9" x14ac:dyDescent="0.25">
      <c r="A4" s="37"/>
      <c r="B4" s="34"/>
      <c r="C4" s="35"/>
      <c r="D4" s="35"/>
      <c r="E4" s="36"/>
      <c r="F4" s="36"/>
      <c r="G4" s="5" t="s">
        <v>223</v>
      </c>
      <c r="H4" s="16">
        <v>7.1</v>
      </c>
      <c r="I4" s="17" t="str">
        <f t="shared" ref="I4:I17" si="0">IF(H4="","",(IF($C$20&lt;25%,"n/a",IF(H4&lt;=($D$20+$A$20),H4,"Descartado"))))</f>
        <v>n/a</v>
      </c>
    </row>
    <row r="5" spans="1:9" x14ac:dyDescent="0.25">
      <c r="A5" s="37"/>
      <c r="B5" s="34"/>
      <c r="C5" s="35"/>
      <c r="D5" s="35"/>
      <c r="E5" s="36"/>
      <c r="F5" s="36"/>
      <c r="G5" s="5" t="s">
        <v>220</v>
      </c>
      <c r="H5" s="16">
        <v>6.91</v>
      </c>
      <c r="I5" s="17" t="str">
        <f t="shared" si="0"/>
        <v>n/a</v>
      </c>
    </row>
    <row r="6" spans="1:9" x14ac:dyDescent="0.25">
      <c r="A6" s="37"/>
      <c r="B6" s="34"/>
      <c r="C6" s="35"/>
      <c r="D6" s="35"/>
      <c r="E6" s="36"/>
      <c r="F6" s="36"/>
      <c r="G6" s="5"/>
      <c r="H6" s="16"/>
      <c r="I6" s="17" t="str">
        <f t="shared" si="0"/>
        <v/>
      </c>
    </row>
    <row r="7" spans="1:9" x14ac:dyDescent="0.25">
      <c r="A7" s="37"/>
      <c r="B7" s="34"/>
      <c r="C7" s="35"/>
      <c r="D7" s="35"/>
      <c r="E7" s="36"/>
      <c r="F7" s="36"/>
      <c r="G7" s="5"/>
      <c r="H7" s="16"/>
      <c r="I7" s="17" t="str">
        <f t="shared" si="0"/>
        <v/>
      </c>
    </row>
    <row r="8" spans="1:9" x14ac:dyDescent="0.25">
      <c r="A8" s="37"/>
      <c r="B8" s="34"/>
      <c r="C8" s="35"/>
      <c r="D8" s="35"/>
      <c r="E8" s="36"/>
      <c r="F8" s="36"/>
      <c r="G8" s="5"/>
      <c r="H8" s="16"/>
      <c r="I8" s="17" t="str">
        <f t="shared" si="0"/>
        <v/>
      </c>
    </row>
    <row r="9" spans="1:9" x14ac:dyDescent="0.25">
      <c r="A9" s="37"/>
      <c r="B9" s="34"/>
      <c r="C9" s="35"/>
      <c r="D9" s="35"/>
      <c r="E9" s="36"/>
      <c r="F9" s="36"/>
      <c r="G9" s="5"/>
      <c r="H9" s="16"/>
      <c r="I9" s="17" t="str">
        <f t="shared" si="0"/>
        <v/>
      </c>
    </row>
    <row r="10" spans="1:9" x14ac:dyDescent="0.25">
      <c r="A10" s="37"/>
      <c r="B10" s="34"/>
      <c r="C10" s="35"/>
      <c r="D10" s="35"/>
      <c r="E10" s="36"/>
      <c r="F10" s="36"/>
      <c r="G10" s="5"/>
      <c r="H10" s="16"/>
      <c r="I10" s="17" t="str">
        <f t="shared" si="0"/>
        <v/>
      </c>
    </row>
    <row r="11" spans="1:9" x14ac:dyDescent="0.25">
      <c r="A11" s="37"/>
      <c r="B11" s="34"/>
      <c r="C11" s="35"/>
      <c r="D11" s="35"/>
      <c r="E11" s="36"/>
      <c r="F11" s="36"/>
      <c r="G11" s="5"/>
      <c r="H11" s="16"/>
      <c r="I11" s="17" t="str">
        <f t="shared" si="0"/>
        <v/>
      </c>
    </row>
    <row r="12" spans="1:9" x14ac:dyDescent="0.25">
      <c r="A12" s="37"/>
      <c r="B12" s="34"/>
      <c r="C12" s="35"/>
      <c r="D12" s="35"/>
      <c r="E12" s="36"/>
      <c r="F12" s="36"/>
      <c r="G12" s="5"/>
      <c r="H12" s="16"/>
      <c r="I12" s="17" t="str">
        <f t="shared" si="0"/>
        <v/>
      </c>
    </row>
    <row r="13" spans="1:9" x14ac:dyDescent="0.25">
      <c r="A13" s="37"/>
      <c r="B13" s="34"/>
      <c r="C13" s="35"/>
      <c r="D13" s="35"/>
      <c r="E13" s="36"/>
      <c r="F13" s="36"/>
      <c r="G13" s="5"/>
      <c r="H13" s="16"/>
      <c r="I13" s="17" t="str">
        <f t="shared" si="0"/>
        <v/>
      </c>
    </row>
    <row r="14" spans="1:9" x14ac:dyDescent="0.25">
      <c r="A14" s="37"/>
      <c r="B14" s="34"/>
      <c r="C14" s="35"/>
      <c r="D14" s="35"/>
      <c r="E14" s="36"/>
      <c r="F14" s="36"/>
      <c r="G14" s="5"/>
      <c r="H14" s="16"/>
      <c r="I14" s="17" t="str">
        <f t="shared" si="0"/>
        <v/>
      </c>
    </row>
    <row r="15" spans="1:9" x14ac:dyDescent="0.25">
      <c r="A15" s="37"/>
      <c r="B15" s="34"/>
      <c r="C15" s="35"/>
      <c r="D15" s="35"/>
      <c r="E15" s="36"/>
      <c r="F15" s="36"/>
      <c r="G15" s="5"/>
      <c r="H15" s="16"/>
      <c r="I15" s="17" t="str">
        <f t="shared" si="0"/>
        <v/>
      </c>
    </row>
    <row r="16" spans="1:9" x14ac:dyDescent="0.25">
      <c r="A16" s="37"/>
      <c r="B16" s="34"/>
      <c r="C16" s="35"/>
      <c r="D16" s="35"/>
      <c r="E16" s="36"/>
      <c r="F16" s="36"/>
      <c r="G16" s="5"/>
      <c r="H16" s="16"/>
      <c r="I16" s="17" t="str">
        <f t="shared" si="0"/>
        <v/>
      </c>
    </row>
    <row r="17" spans="1:9" x14ac:dyDescent="0.25">
      <c r="A17" s="37"/>
      <c r="B17" s="34"/>
      <c r="C17" s="35"/>
      <c r="D17" s="35"/>
      <c r="E17" s="36"/>
      <c r="F17" s="36"/>
      <c r="G17" s="5"/>
      <c r="H17" s="16"/>
      <c r="I17" s="17" t="str">
        <f t="shared" si="0"/>
        <v/>
      </c>
    </row>
    <row r="19" spans="1:9" s="4" customFormat="1" ht="24" x14ac:dyDescent="0.25">
      <c r="A19" s="6" t="s">
        <v>14</v>
      </c>
      <c r="B19" s="6" t="s">
        <v>15</v>
      </c>
      <c r="C19" s="6" t="s">
        <v>25</v>
      </c>
      <c r="D19" s="6" t="s">
        <v>16</v>
      </c>
      <c r="E19" s="6" t="s">
        <v>17</v>
      </c>
      <c r="F19" s="6" t="s">
        <v>18</v>
      </c>
      <c r="G19" s="31" t="s">
        <v>19</v>
      </c>
      <c r="H19" s="31"/>
    </row>
    <row r="20" spans="1:9" x14ac:dyDescent="0.25">
      <c r="A20" s="8">
        <f>IF(B20&lt;2,"n/a",(_xlfn.STDEV.S(H3:H17)))</f>
        <v>1.1442173453209572</v>
      </c>
      <c r="B20" s="8">
        <f>COUNT(H3:H17)</f>
        <v>3</v>
      </c>
      <c r="C20" s="9">
        <f>IF(B20&lt;2,"n/a",(A20/D20))</f>
        <v>0.18019170792456021</v>
      </c>
      <c r="D20" s="10">
        <f>IFERROR(ROUND(AVERAGE(H3:H17),2),"")</f>
        <v>6.35</v>
      </c>
      <c r="E20" s="15" t="str">
        <f>IFERROR(ROUND(IF(B20&lt;2,"n/a",(IF(C20&lt;=25%,"n/a",AVERAGE(I3:I17)))),2),"n/a")</f>
        <v>n/a</v>
      </c>
      <c r="F20" s="10">
        <f>IFERROR(ROUND(MEDIAN(H3:H17),2),"")</f>
        <v>6.91</v>
      </c>
      <c r="G20" s="11" t="str">
        <f>IFERROR(INDEX(G3:G17,MATCH(H20,H3:H17,0)),"")</f>
        <v>DJ LED ELÉTRICA</v>
      </c>
      <c r="H20" s="12">
        <f>F3</f>
        <v>5.03</v>
      </c>
    </row>
    <row r="22" spans="1:9" x14ac:dyDescent="0.25">
      <c r="G22" s="13" t="s">
        <v>20</v>
      </c>
      <c r="H22" s="14">
        <f>IF(C20&lt;=25%,D20,MIN(E20:F20))</f>
        <v>6.35</v>
      </c>
    </row>
    <row r="23" spans="1:9" x14ac:dyDescent="0.25">
      <c r="G23" s="13" t="s">
        <v>6</v>
      </c>
      <c r="H23" s="14">
        <f>ROUND(H22,2)*D3</f>
        <v>63.5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8" sqref="G8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2" t="s">
        <v>8</v>
      </c>
      <c r="B1" s="32"/>
      <c r="C1" s="32"/>
      <c r="D1" s="32"/>
      <c r="E1" s="32"/>
      <c r="F1" s="32"/>
      <c r="G1" s="32"/>
      <c r="H1" s="32"/>
      <c r="I1" s="32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9</v>
      </c>
      <c r="F2" s="6" t="s">
        <v>10</v>
      </c>
      <c r="G2" s="6" t="s">
        <v>11</v>
      </c>
      <c r="H2" s="6" t="s">
        <v>12</v>
      </c>
      <c r="I2" s="6" t="s">
        <v>13</v>
      </c>
    </row>
    <row r="3" spans="1:9" x14ac:dyDescent="0.25">
      <c r="A3" s="37">
        <v>8</v>
      </c>
      <c r="B3" s="33" t="s">
        <v>56</v>
      </c>
      <c r="C3" s="35" t="s">
        <v>7</v>
      </c>
      <c r="D3" s="35">
        <v>30</v>
      </c>
      <c r="E3" s="36">
        <f>IF(C20&lt;=25%,D20,MIN(E20:F20))</f>
        <v>5.82</v>
      </c>
      <c r="F3" s="36">
        <f>MIN(H3:H17)</f>
        <v>1.38</v>
      </c>
      <c r="G3" s="5" t="s">
        <v>100</v>
      </c>
      <c r="H3" s="16">
        <v>26</v>
      </c>
      <c r="I3" s="17" t="str">
        <f>IF(H3="","",(IF($C$20&lt;25%,"n/a",IF(H3&lt;=($D$20+$A$20),H3,"Descartado"))))</f>
        <v>Descartado</v>
      </c>
    </row>
    <row r="4" spans="1:9" x14ac:dyDescent="0.25">
      <c r="A4" s="37"/>
      <c r="B4" s="34"/>
      <c r="C4" s="35"/>
      <c r="D4" s="35"/>
      <c r="E4" s="36"/>
      <c r="F4" s="36"/>
      <c r="G4" s="5" t="s">
        <v>101</v>
      </c>
      <c r="H4" s="16">
        <v>1.38</v>
      </c>
      <c r="I4" s="17">
        <f t="shared" ref="I4:I17" si="0">IF(H4="","",(IF($C$20&lt;25%,"n/a",IF(H4&lt;=($D$20+$A$20),H4,"Descartado"))))</f>
        <v>1.38</v>
      </c>
    </row>
    <row r="5" spans="1:9" x14ac:dyDescent="0.25">
      <c r="A5" s="37"/>
      <c r="B5" s="34"/>
      <c r="C5" s="35"/>
      <c r="D5" s="35"/>
      <c r="E5" s="36"/>
      <c r="F5" s="36"/>
      <c r="G5" s="5" t="s">
        <v>224</v>
      </c>
      <c r="H5" s="16">
        <v>8.8000000000000007</v>
      </c>
      <c r="I5" s="17">
        <f t="shared" si="0"/>
        <v>8.8000000000000007</v>
      </c>
    </row>
    <row r="6" spans="1:9" x14ac:dyDescent="0.25">
      <c r="A6" s="37"/>
      <c r="B6" s="34"/>
      <c r="C6" s="35"/>
      <c r="D6" s="35"/>
      <c r="E6" s="36"/>
      <c r="F6" s="36"/>
      <c r="G6" s="5" t="s">
        <v>222</v>
      </c>
      <c r="H6" s="16">
        <v>5.0999999999999996</v>
      </c>
      <c r="I6" s="17">
        <f t="shared" si="0"/>
        <v>5.0999999999999996</v>
      </c>
    </row>
    <row r="7" spans="1:9" x14ac:dyDescent="0.25">
      <c r="A7" s="37"/>
      <c r="B7" s="34"/>
      <c r="C7" s="35"/>
      <c r="D7" s="35"/>
      <c r="E7" s="36"/>
      <c r="F7" s="36"/>
      <c r="G7" s="5" t="s">
        <v>225</v>
      </c>
      <c r="H7" s="16">
        <v>8.01</v>
      </c>
      <c r="I7" s="17">
        <f t="shared" si="0"/>
        <v>8.01</v>
      </c>
    </row>
    <row r="8" spans="1:9" x14ac:dyDescent="0.25">
      <c r="A8" s="37"/>
      <c r="B8" s="34"/>
      <c r="C8" s="35"/>
      <c r="D8" s="35"/>
      <c r="E8" s="36"/>
      <c r="F8" s="36"/>
      <c r="G8" s="5"/>
      <c r="H8" s="16"/>
      <c r="I8" s="17" t="str">
        <f t="shared" si="0"/>
        <v/>
      </c>
    </row>
    <row r="9" spans="1:9" x14ac:dyDescent="0.25">
      <c r="A9" s="37"/>
      <c r="B9" s="34"/>
      <c r="C9" s="35"/>
      <c r="D9" s="35"/>
      <c r="E9" s="36"/>
      <c r="F9" s="36"/>
      <c r="G9" s="5"/>
      <c r="H9" s="16"/>
      <c r="I9" s="17" t="str">
        <f t="shared" si="0"/>
        <v/>
      </c>
    </row>
    <row r="10" spans="1:9" x14ac:dyDescent="0.25">
      <c r="A10" s="37"/>
      <c r="B10" s="34"/>
      <c r="C10" s="35"/>
      <c r="D10" s="35"/>
      <c r="E10" s="36"/>
      <c r="F10" s="36"/>
      <c r="G10" s="5"/>
      <c r="H10" s="16"/>
      <c r="I10" s="17" t="str">
        <f t="shared" si="0"/>
        <v/>
      </c>
    </row>
    <row r="11" spans="1:9" x14ac:dyDescent="0.25">
      <c r="A11" s="37"/>
      <c r="B11" s="34"/>
      <c r="C11" s="35"/>
      <c r="D11" s="35"/>
      <c r="E11" s="36"/>
      <c r="F11" s="36"/>
      <c r="G11" s="5"/>
      <c r="H11" s="16"/>
      <c r="I11" s="17" t="str">
        <f t="shared" si="0"/>
        <v/>
      </c>
    </row>
    <row r="12" spans="1:9" x14ac:dyDescent="0.25">
      <c r="A12" s="37"/>
      <c r="B12" s="34"/>
      <c r="C12" s="35"/>
      <c r="D12" s="35"/>
      <c r="E12" s="36"/>
      <c r="F12" s="36"/>
      <c r="G12" s="5"/>
      <c r="H12" s="16"/>
      <c r="I12" s="17" t="str">
        <f t="shared" si="0"/>
        <v/>
      </c>
    </row>
    <row r="13" spans="1:9" x14ac:dyDescent="0.25">
      <c r="A13" s="37"/>
      <c r="B13" s="34"/>
      <c r="C13" s="35"/>
      <c r="D13" s="35"/>
      <c r="E13" s="36"/>
      <c r="F13" s="36"/>
      <c r="G13" s="5"/>
      <c r="H13" s="16"/>
      <c r="I13" s="17" t="str">
        <f t="shared" si="0"/>
        <v/>
      </c>
    </row>
    <row r="14" spans="1:9" x14ac:dyDescent="0.25">
      <c r="A14" s="37"/>
      <c r="B14" s="34"/>
      <c r="C14" s="35"/>
      <c r="D14" s="35"/>
      <c r="E14" s="36"/>
      <c r="F14" s="36"/>
      <c r="G14" s="5"/>
      <c r="H14" s="16"/>
      <c r="I14" s="17" t="str">
        <f t="shared" si="0"/>
        <v/>
      </c>
    </row>
    <row r="15" spans="1:9" x14ac:dyDescent="0.25">
      <c r="A15" s="37"/>
      <c r="B15" s="34"/>
      <c r="C15" s="35"/>
      <c r="D15" s="35"/>
      <c r="E15" s="36"/>
      <c r="F15" s="36"/>
      <c r="G15" s="5"/>
      <c r="H15" s="16"/>
      <c r="I15" s="17" t="str">
        <f t="shared" si="0"/>
        <v/>
      </c>
    </row>
    <row r="16" spans="1:9" x14ac:dyDescent="0.25">
      <c r="A16" s="37"/>
      <c r="B16" s="34"/>
      <c r="C16" s="35"/>
      <c r="D16" s="35"/>
      <c r="E16" s="36"/>
      <c r="F16" s="36"/>
      <c r="G16" s="5"/>
      <c r="H16" s="16"/>
      <c r="I16" s="17" t="str">
        <f t="shared" si="0"/>
        <v/>
      </c>
    </row>
    <row r="17" spans="1:9" x14ac:dyDescent="0.25">
      <c r="A17" s="37"/>
      <c r="B17" s="34"/>
      <c r="C17" s="35"/>
      <c r="D17" s="35"/>
      <c r="E17" s="36"/>
      <c r="F17" s="36"/>
      <c r="G17" s="5"/>
      <c r="H17" s="16"/>
      <c r="I17" s="17" t="str">
        <f t="shared" si="0"/>
        <v/>
      </c>
    </row>
    <row r="19" spans="1:9" s="4" customFormat="1" ht="24" x14ac:dyDescent="0.25">
      <c r="A19" s="6" t="s">
        <v>14</v>
      </c>
      <c r="B19" s="6" t="s">
        <v>15</v>
      </c>
      <c r="C19" s="6" t="s">
        <v>25</v>
      </c>
      <c r="D19" s="6" t="s">
        <v>16</v>
      </c>
      <c r="E19" s="6" t="s">
        <v>17</v>
      </c>
      <c r="F19" s="6" t="s">
        <v>18</v>
      </c>
      <c r="G19" s="31" t="s">
        <v>19</v>
      </c>
      <c r="H19" s="31"/>
    </row>
    <row r="20" spans="1:9" x14ac:dyDescent="0.25">
      <c r="A20" s="8">
        <f>IF(B20&lt;2,"n/a",(_xlfn.STDEV.S(H3:H17)))</f>
        <v>9.4817414012405976</v>
      </c>
      <c r="B20" s="8">
        <f>COUNT(H3:H17)</f>
        <v>5</v>
      </c>
      <c r="C20" s="9">
        <f>IF(B20&lt;2,"n/a",(A20/D20))</f>
        <v>0.9616370589493507</v>
      </c>
      <c r="D20" s="10">
        <f>IFERROR(ROUND(AVERAGE(H3:H17),2),"")</f>
        <v>9.86</v>
      </c>
      <c r="E20" s="15">
        <f>IFERROR(ROUND(IF(B20&lt;2,"n/a",(IF(C20&lt;=25%,"n/a",AVERAGE(I3:I17)))),2),"n/a")</f>
        <v>5.82</v>
      </c>
      <c r="F20" s="10">
        <f>IFERROR(ROUND(MEDIAN(H3:H17),2),"")</f>
        <v>8.01</v>
      </c>
      <c r="G20" s="11" t="str">
        <f>IFERROR(INDEX(G3:G17,MATCH(H20,H3:H17,0)),"")</f>
        <v>DISTRIBUIDORA BOM SUCESSO LTDA</v>
      </c>
      <c r="H20" s="12">
        <f>F3</f>
        <v>1.38</v>
      </c>
    </row>
    <row r="22" spans="1:9" x14ac:dyDescent="0.25">
      <c r="G22" s="13" t="s">
        <v>20</v>
      </c>
      <c r="H22" s="14">
        <f>IF(C20&lt;=25%,D20,MIN(E20:F20))</f>
        <v>5.82</v>
      </c>
    </row>
    <row r="23" spans="1:9" x14ac:dyDescent="0.25">
      <c r="G23" s="13" t="s">
        <v>6</v>
      </c>
      <c r="H23" s="14">
        <f>ROUND(H22,2)*D3</f>
        <v>174.60000000000002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D18" sqref="D18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2" t="s">
        <v>8</v>
      </c>
      <c r="B1" s="32"/>
      <c r="C1" s="32"/>
      <c r="D1" s="32"/>
      <c r="E1" s="32"/>
      <c r="F1" s="32"/>
      <c r="G1" s="32"/>
      <c r="H1" s="32"/>
      <c r="I1" s="32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9</v>
      </c>
      <c r="F2" s="6" t="s">
        <v>10</v>
      </c>
      <c r="G2" s="6" t="s">
        <v>11</v>
      </c>
      <c r="H2" s="6" t="s">
        <v>12</v>
      </c>
      <c r="I2" s="6" t="s">
        <v>13</v>
      </c>
    </row>
    <row r="3" spans="1:9" x14ac:dyDescent="0.25">
      <c r="A3" s="37">
        <v>9</v>
      </c>
      <c r="B3" s="33" t="s">
        <v>57</v>
      </c>
      <c r="C3" s="35" t="s">
        <v>7</v>
      </c>
      <c r="D3" s="35">
        <f>5+134</f>
        <v>139</v>
      </c>
      <c r="E3" s="36">
        <f>IF(C20&lt;=25%,D20,MIN(E20:F20))</f>
        <v>6.18</v>
      </c>
      <c r="F3" s="36">
        <f>MIN(H3:H17)</f>
        <v>4</v>
      </c>
      <c r="G3" s="5" t="s">
        <v>102</v>
      </c>
      <c r="H3" s="16">
        <v>6.18</v>
      </c>
      <c r="I3" s="17">
        <f>IF(H3="","",(IF($C$20&lt;25%,"n/a",IF(H3&lt;=($D$20+$A$20),H3,"Descartado"))))</f>
        <v>6.18</v>
      </c>
    </row>
    <row r="4" spans="1:9" x14ac:dyDescent="0.25">
      <c r="A4" s="37"/>
      <c r="B4" s="34"/>
      <c r="C4" s="35"/>
      <c r="D4" s="35"/>
      <c r="E4" s="36"/>
      <c r="F4" s="36"/>
      <c r="G4" s="5" t="s">
        <v>103</v>
      </c>
      <c r="H4" s="16">
        <v>7.15</v>
      </c>
      <c r="I4" s="17">
        <f t="shared" ref="I4:I17" si="0">IF(H4="","",(IF($C$20&lt;25%,"n/a",IF(H4&lt;=($D$20+$A$20),H4,"Descartado"))))</f>
        <v>7.15</v>
      </c>
    </row>
    <row r="5" spans="1:9" x14ac:dyDescent="0.25">
      <c r="A5" s="37"/>
      <c r="B5" s="34"/>
      <c r="C5" s="35"/>
      <c r="D5" s="35"/>
      <c r="E5" s="36"/>
      <c r="F5" s="36"/>
      <c r="G5" s="5" t="s">
        <v>88</v>
      </c>
      <c r="H5" s="16">
        <v>13.9</v>
      </c>
      <c r="I5" s="17" t="str">
        <f t="shared" si="0"/>
        <v>Descartado</v>
      </c>
    </row>
    <row r="6" spans="1:9" x14ac:dyDescent="0.25">
      <c r="A6" s="37"/>
      <c r="B6" s="34"/>
      <c r="C6" s="35"/>
      <c r="D6" s="35"/>
      <c r="E6" s="36"/>
      <c r="F6" s="36"/>
      <c r="G6" s="5" t="s">
        <v>104</v>
      </c>
      <c r="H6" s="16">
        <v>4</v>
      </c>
      <c r="I6" s="17">
        <f t="shared" si="0"/>
        <v>4</v>
      </c>
    </row>
    <row r="7" spans="1:9" x14ac:dyDescent="0.25">
      <c r="A7" s="37"/>
      <c r="B7" s="34"/>
      <c r="C7" s="35"/>
      <c r="D7" s="35"/>
      <c r="E7" s="36"/>
      <c r="F7" s="36"/>
      <c r="G7" s="5" t="s">
        <v>105</v>
      </c>
      <c r="H7" s="16">
        <v>8.57</v>
      </c>
      <c r="I7" s="17">
        <f t="shared" si="0"/>
        <v>8.57</v>
      </c>
    </row>
    <row r="8" spans="1:9" x14ac:dyDescent="0.25">
      <c r="A8" s="37"/>
      <c r="B8" s="34"/>
      <c r="C8" s="35"/>
      <c r="D8" s="35"/>
      <c r="E8" s="36"/>
      <c r="F8" s="36"/>
      <c r="G8" s="5" t="s">
        <v>106</v>
      </c>
      <c r="H8" s="16">
        <v>5.98</v>
      </c>
      <c r="I8" s="17">
        <f t="shared" si="0"/>
        <v>5.98</v>
      </c>
    </row>
    <row r="9" spans="1:9" x14ac:dyDescent="0.25">
      <c r="A9" s="37"/>
      <c r="B9" s="34"/>
      <c r="C9" s="35"/>
      <c r="D9" s="35"/>
      <c r="E9" s="36"/>
      <c r="F9" s="36"/>
      <c r="G9" s="5" t="s">
        <v>90</v>
      </c>
      <c r="H9" s="16">
        <v>4.5</v>
      </c>
      <c r="I9" s="17">
        <f t="shared" si="0"/>
        <v>4.5</v>
      </c>
    </row>
    <row r="10" spans="1:9" x14ac:dyDescent="0.25">
      <c r="A10" s="37"/>
      <c r="B10" s="34"/>
      <c r="C10" s="35"/>
      <c r="D10" s="35"/>
      <c r="E10" s="36"/>
      <c r="F10" s="36"/>
      <c r="G10" s="5" t="s">
        <v>107</v>
      </c>
      <c r="H10" s="16">
        <v>6.9</v>
      </c>
      <c r="I10" s="17">
        <f t="shared" si="0"/>
        <v>6.9</v>
      </c>
    </row>
    <row r="11" spans="1:9" x14ac:dyDescent="0.25">
      <c r="A11" s="37"/>
      <c r="B11" s="34"/>
      <c r="C11" s="35"/>
      <c r="D11" s="35"/>
      <c r="E11" s="36"/>
      <c r="F11" s="36"/>
      <c r="G11" s="5"/>
      <c r="H11" s="16"/>
      <c r="I11" s="17" t="str">
        <f t="shared" si="0"/>
        <v/>
      </c>
    </row>
    <row r="12" spans="1:9" x14ac:dyDescent="0.25">
      <c r="A12" s="37"/>
      <c r="B12" s="34"/>
      <c r="C12" s="35"/>
      <c r="D12" s="35"/>
      <c r="E12" s="36"/>
      <c r="F12" s="36"/>
      <c r="G12" s="5"/>
      <c r="H12" s="16"/>
      <c r="I12" s="17" t="str">
        <f t="shared" si="0"/>
        <v/>
      </c>
    </row>
    <row r="13" spans="1:9" x14ac:dyDescent="0.25">
      <c r="A13" s="37"/>
      <c r="B13" s="34"/>
      <c r="C13" s="35"/>
      <c r="D13" s="35"/>
      <c r="E13" s="36"/>
      <c r="F13" s="36"/>
      <c r="G13" s="5"/>
      <c r="H13" s="16"/>
      <c r="I13" s="17" t="str">
        <f t="shared" si="0"/>
        <v/>
      </c>
    </row>
    <row r="14" spans="1:9" x14ac:dyDescent="0.25">
      <c r="A14" s="37"/>
      <c r="B14" s="34"/>
      <c r="C14" s="35"/>
      <c r="D14" s="35"/>
      <c r="E14" s="36"/>
      <c r="F14" s="36"/>
      <c r="G14" s="5"/>
      <c r="H14" s="16"/>
      <c r="I14" s="17" t="str">
        <f t="shared" si="0"/>
        <v/>
      </c>
    </row>
    <row r="15" spans="1:9" x14ac:dyDescent="0.25">
      <c r="A15" s="37"/>
      <c r="B15" s="34"/>
      <c r="C15" s="35"/>
      <c r="D15" s="35"/>
      <c r="E15" s="36"/>
      <c r="F15" s="36"/>
      <c r="G15" s="5"/>
      <c r="H15" s="16"/>
      <c r="I15" s="17" t="str">
        <f t="shared" si="0"/>
        <v/>
      </c>
    </row>
    <row r="16" spans="1:9" x14ac:dyDescent="0.25">
      <c r="A16" s="37"/>
      <c r="B16" s="34"/>
      <c r="C16" s="35"/>
      <c r="D16" s="35"/>
      <c r="E16" s="36"/>
      <c r="F16" s="36"/>
      <c r="G16" s="5"/>
      <c r="H16" s="16"/>
      <c r="I16" s="17" t="str">
        <f t="shared" si="0"/>
        <v/>
      </c>
    </row>
    <row r="17" spans="1:9" x14ac:dyDescent="0.25">
      <c r="A17" s="37"/>
      <c r="B17" s="34"/>
      <c r="C17" s="35"/>
      <c r="D17" s="35"/>
      <c r="E17" s="36"/>
      <c r="F17" s="36"/>
      <c r="G17" s="5"/>
      <c r="H17" s="16"/>
      <c r="I17" s="17" t="str">
        <f t="shared" si="0"/>
        <v/>
      </c>
    </row>
    <row r="19" spans="1:9" s="4" customFormat="1" ht="24" x14ac:dyDescent="0.25">
      <c r="A19" s="6" t="s">
        <v>14</v>
      </c>
      <c r="B19" s="6" t="s">
        <v>15</v>
      </c>
      <c r="C19" s="6" t="s">
        <v>25</v>
      </c>
      <c r="D19" s="6" t="s">
        <v>16</v>
      </c>
      <c r="E19" s="6" t="s">
        <v>17</v>
      </c>
      <c r="F19" s="6" t="s">
        <v>18</v>
      </c>
      <c r="G19" s="31" t="s">
        <v>19</v>
      </c>
      <c r="H19" s="31"/>
    </row>
    <row r="20" spans="1:9" x14ac:dyDescent="0.25">
      <c r="A20" s="8">
        <f>IF(B20&lt;2,"n/a",(_xlfn.STDEV.S(H3:H17)))</f>
        <v>3.0913739432722891</v>
      </c>
      <c r="B20" s="8">
        <f>COUNT(H3:H17)</f>
        <v>8</v>
      </c>
      <c r="C20" s="9">
        <f>IF(B20&lt;2,"n/a",(A20/D20))</f>
        <v>0.43235999206605441</v>
      </c>
      <c r="D20" s="10">
        <f>IFERROR(ROUND(AVERAGE(H3:H17),2),"")</f>
        <v>7.15</v>
      </c>
      <c r="E20" s="15">
        <f>IFERROR(ROUND(IF(B20&lt;2,"n/a",(IF(C20&lt;=25%,"n/a",AVERAGE(I3:I17)))),2),"n/a")</f>
        <v>6.18</v>
      </c>
      <c r="F20" s="10">
        <f>IFERROR(ROUND(MEDIAN(H3:H17),2),"")</f>
        <v>6.54</v>
      </c>
      <c r="G20" s="11" t="str">
        <f>IFERROR(INDEX(G3:G17,MATCH(H20,H3:H17,0)),"")</f>
        <v>LLG COMERCIO SERVICOS E ALIMENTOS LTDA</v>
      </c>
      <c r="H20" s="12">
        <f>F3</f>
        <v>4</v>
      </c>
    </row>
    <row r="22" spans="1:9" x14ac:dyDescent="0.25">
      <c r="G22" s="13" t="s">
        <v>20</v>
      </c>
      <c r="H22" s="14">
        <f>IF(C20&lt;=25%,D20,MIN(E20:F20))</f>
        <v>6.18</v>
      </c>
    </row>
    <row r="23" spans="1:9" x14ac:dyDescent="0.25">
      <c r="G23" s="13" t="s">
        <v>6</v>
      </c>
      <c r="H23" s="14">
        <f>ROUND(H22,2)*D3</f>
        <v>859.02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40</vt:i4>
      </vt:variant>
      <vt:variant>
        <vt:lpstr>Intervalos nomeados</vt:lpstr>
      </vt:variant>
      <vt:variant>
        <vt:i4>2</vt:i4>
      </vt:variant>
    </vt:vector>
  </HeadingPairs>
  <TitlesOfParts>
    <vt:vector size="42" baseType="lpstr">
      <vt:lpstr>Item1</vt:lpstr>
      <vt:lpstr>Item2</vt:lpstr>
      <vt:lpstr>Item3</vt:lpstr>
      <vt:lpstr>Item4</vt:lpstr>
      <vt:lpstr>Item5</vt:lpstr>
      <vt:lpstr>Item6</vt:lpstr>
      <vt:lpstr>Item7</vt:lpstr>
      <vt:lpstr>Item8</vt:lpstr>
      <vt:lpstr>Item9</vt:lpstr>
      <vt:lpstr>Item10</vt:lpstr>
      <vt:lpstr>Item11</vt:lpstr>
      <vt:lpstr>Item12</vt:lpstr>
      <vt:lpstr>Item13</vt:lpstr>
      <vt:lpstr>Item14</vt:lpstr>
      <vt:lpstr>Item15</vt:lpstr>
      <vt:lpstr>Item16</vt:lpstr>
      <vt:lpstr>Item17</vt:lpstr>
      <vt:lpstr>Item18</vt:lpstr>
      <vt:lpstr>Item19</vt:lpstr>
      <vt:lpstr>Item20</vt:lpstr>
      <vt:lpstr>Item21</vt:lpstr>
      <vt:lpstr>Item22</vt:lpstr>
      <vt:lpstr>Item23</vt:lpstr>
      <vt:lpstr>Item24</vt:lpstr>
      <vt:lpstr>Item25</vt:lpstr>
      <vt:lpstr>Item26</vt:lpstr>
      <vt:lpstr>Item27</vt:lpstr>
      <vt:lpstr>Item28</vt:lpstr>
      <vt:lpstr>Item29</vt:lpstr>
      <vt:lpstr>Item30</vt:lpstr>
      <vt:lpstr>Item31</vt:lpstr>
      <vt:lpstr>Item32</vt:lpstr>
      <vt:lpstr>Item33</vt:lpstr>
      <vt:lpstr>Item34</vt:lpstr>
      <vt:lpstr>Item35</vt:lpstr>
      <vt:lpstr>Item38</vt:lpstr>
      <vt:lpstr>Item39</vt:lpstr>
      <vt:lpstr>Item40</vt:lpstr>
      <vt:lpstr>Item41</vt:lpstr>
      <vt:lpstr>total</vt:lpstr>
      <vt:lpstr>total!Area_de_impressao</vt:lpstr>
      <vt:lpstr>total!Titulos_de_impressao</vt:lpstr>
    </vt:vector>
  </TitlesOfParts>
  <Company>Justiça Eleitoral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Marconni Rodrigues de Alcantara Santos</dc:creator>
  <cp:lastModifiedBy>Marconni Rodrigues de Alcantara Santos</cp:lastModifiedBy>
  <cp:lastPrinted>2024-02-27T19:59:31Z</cp:lastPrinted>
  <dcterms:created xsi:type="dcterms:W3CDTF">2023-11-07T17:10:34Z</dcterms:created>
  <dcterms:modified xsi:type="dcterms:W3CDTF">2024-02-27T20:01:53Z</dcterms:modified>
</cp:coreProperties>
</file>