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7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Item21" sheetId="24" state="hidden" r:id="rId21"/>
    <sheet name="Item22" sheetId="25" state="hidden" r:id="rId22"/>
    <sheet name="Item23" sheetId="26" state="hidden" r:id="rId23"/>
    <sheet name="Item24" sheetId="27" state="hidden" r:id="rId24"/>
    <sheet name="Item25" sheetId="28" state="hidden" r:id="rId25"/>
    <sheet name="Item26" sheetId="29" state="hidden" r:id="rId26"/>
    <sheet name="Item27" sheetId="30" state="hidden" r:id="rId27"/>
    <sheet name="total" sheetId="23" r:id="rId28"/>
  </sheets>
  <definedNames>
    <definedName name="_xlnm.Print_Area" localSheetId="27">total!$A$1:$I$27</definedName>
    <definedName name="_xlnm.Print_Titles" localSheetId="27">total!$1:$2</definedName>
  </definedNames>
  <calcPr calcId="145621"/>
</workbook>
</file>

<file path=xl/calcChain.xml><?xml version="1.0" encoding="utf-8"?>
<calcChain xmlns="http://schemas.openxmlformats.org/spreadsheetml/2006/main">
  <c r="D3" i="17" l="1"/>
  <c r="D3" i="16"/>
  <c r="D3" i="15"/>
  <c r="D3" i="14"/>
  <c r="D3" i="13"/>
  <c r="D3" i="12"/>
  <c r="D3" i="11"/>
  <c r="D3" i="10"/>
  <c r="D3" i="9"/>
  <c r="D3" i="8"/>
  <c r="D3" i="7"/>
  <c r="D3" i="6"/>
  <c r="D3" i="5"/>
  <c r="D3" i="4"/>
  <c r="D3" i="1"/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22" i="23"/>
  <c r="C4" i="23"/>
  <c r="D4" i="23"/>
  <c r="G4" i="23"/>
  <c r="C5" i="23"/>
  <c r="D5" i="23"/>
  <c r="G5" i="23"/>
  <c r="C6" i="23"/>
  <c r="D6" i="23"/>
  <c r="G6" i="23"/>
  <c r="C7" i="23"/>
  <c r="D7" i="23"/>
  <c r="G7" i="23"/>
  <c r="C8" i="23"/>
  <c r="D8" i="23"/>
  <c r="G8" i="23"/>
  <c r="C9" i="23"/>
  <c r="D9" i="23"/>
  <c r="G9" i="23"/>
  <c r="C10" i="23"/>
  <c r="D10" i="23"/>
  <c r="G10" i="23"/>
  <c r="C11" i="23"/>
  <c r="D11" i="23"/>
  <c r="G11" i="23"/>
  <c r="C12" i="23"/>
  <c r="D12" i="23"/>
  <c r="G12" i="23"/>
  <c r="C13" i="23"/>
  <c r="D13" i="23"/>
  <c r="G13" i="23"/>
  <c r="C14" i="23"/>
  <c r="D14" i="23"/>
  <c r="G14" i="23"/>
  <c r="C15" i="23"/>
  <c r="D15" i="23"/>
  <c r="G15" i="23"/>
  <c r="C16" i="23"/>
  <c r="D16" i="23"/>
  <c r="G16" i="23"/>
  <c r="C17" i="23"/>
  <c r="D17" i="23"/>
  <c r="G17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G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H22" i="28" s="1"/>
  <c r="H23" i="28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3" i="9"/>
  <c r="I5" i="9"/>
  <c r="I11" i="9"/>
  <c r="I17" i="9"/>
  <c r="I15" i="6"/>
  <c r="I3" i="6"/>
  <c r="I14" i="6"/>
  <c r="I7" i="6"/>
  <c r="I17" i="6"/>
  <c r="I16" i="6"/>
  <c r="I12" i="6"/>
  <c r="I6" i="6"/>
  <c r="I5" i="6"/>
  <c r="I12" i="5"/>
  <c r="I17" i="5"/>
  <c r="I11" i="5"/>
  <c r="I16" i="5"/>
  <c r="I13" i="5"/>
  <c r="I15" i="5"/>
  <c r="I14" i="5"/>
  <c r="A20" i="4"/>
  <c r="C20" i="4" s="1"/>
  <c r="C20" i="1"/>
  <c r="I12" i="9" l="1"/>
  <c r="I8" i="9"/>
  <c r="I8" i="5"/>
  <c r="I6" i="16"/>
  <c r="E20" i="14"/>
  <c r="I6" i="9"/>
  <c r="E20" i="24"/>
  <c r="E3" i="24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E20" i="9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E3" i="14"/>
  <c r="H14" i="23" s="1"/>
  <c r="I14" i="23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2" l="1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3" i="16"/>
  <c r="H16" i="23" s="1"/>
  <c r="H22" i="12"/>
  <c r="H23" i="12" s="1"/>
  <c r="E3" i="12"/>
  <c r="H12" i="23" s="1"/>
  <c r="I12" i="23" s="1"/>
  <c r="E3" i="6"/>
  <c r="H6" i="23" s="1"/>
  <c r="I6" i="23" s="1"/>
  <c r="E20" i="5"/>
  <c r="E3" i="5" s="1"/>
  <c r="H5" i="23" s="1"/>
  <c r="I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5"/>
  <c r="H22" i="15" s="1"/>
  <c r="H23" i="15" s="1"/>
  <c r="E20" i="13"/>
  <c r="E3" i="13" s="1"/>
  <c r="H13" i="23" s="1"/>
  <c r="I13" i="23" s="1"/>
  <c r="E20" i="11"/>
  <c r="H22" i="11" s="1"/>
  <c r="H23" i="11" s="1"/>
  <c r="E20" i="10"/>
  <c r="H22" i="10" s="1"/>
  <c r="H23" i="10" s="1"/>
  <c r="E3" i="9"/>
  <c r="H9" i="23" s="1"/>
  <c r="I9" i="23" s="1"/>
  <c r="E20" i="7"/>
  <c r="E20" i="4"/>
  <c r="E3" i="4" s="1"/>
  <c r="H4" i="23" s="1"/>
  <c r="I4" i="23" s="1"/>
  <c r="E20" i="17"/>
  <c r="E20" i="1"/>
  <c r="I16" i="23" l="1"/>
  <c r="E3" i="20"/>
  <c r="E3" i="8"/>
  <c r="H8" i="23" s="1"/>
  <c r="I8" i="23" s="1"/>
  <c r="F26" i="23"/>
  <c r="E3" i="21"/>
  <c r="E3" i="19"/>
  <c r="E3" i="15"/>
  <c r="H15" i="23" s="1"/>
  <c r="I15" i="23" s="1"/>
  <c r="H22" i="13"/>
  <c r="H23" i="13" s="1"/>
  <c r="E3" i="10"/>
  <c r="H10" i="23" s="1"/>
  <c r="I10" i="23" s="1"/>
  <c r="H22" i="5"/>
  <c r="H23" i="5" s="1"/>
  <c r="H22" i="4"/>
  <c r="H23" i="4" s="1"/>
  <c r="E3" i="11"/>
  <c r="H11" i="23" s="1"/>
  <c r="I11" i="23" s="1"/>
  <c r="H22" i="7"/>
  <c r="H23" i="7" s="1"/>
  <c r="E3" i="7"/>
  <c r="H7" i="23" s="1"/>
  <c r="I7" i="23" s="1"/>
  <c r="H22" i="17"/>
  <c r="H23" i="17" s="1"/>
  <c r="E3" i="17"/>
  <c r="H17" i="23" s="1"/>
  <c r="I17" i="23" s="1"/>
  <c r="E3" i="1"/>
  <c r="H3" i="23" s="1"/>
  <c r="I3" i="23" s="1"/>
  <c r="H22" i="1"/>
  <c r="H23" i="1" s="1"/>
  <c r="F20" i="23" l="1"/>
  <c r="F27" i="23"/>
  <c r="F25" i="23"/>
  <c r="F24" i="23"/>
</calcChain>
</file>

<file path=xl/sharedStrings.xml><?xml version="1.0" encoding="utf-8"?>
<sst xmlns="http://schemas.openxmlformats.org/spreadsheetml/2006/main" count="893" uniqueCount="156">
  <si>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</si>
  <si>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</si>
  <si>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</si>
  <si>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</si>
  <si>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</si>
  <si>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</si>
  <si>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</si>
  <si>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</si>
  <si>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</si>
  <si>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</si>
  <si>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</si>
  <si>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</si>
  <si>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</si>
  <si>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</si>
  <si>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</si>
  <si>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</si>
  <si>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</si>
  <si>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</si>
  <si>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</si>
  <si>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</si>
  <si>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</si>
  <si>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</si>
  <si>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</si>
  <si>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</si>
  <si>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</si>
  <si>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</si>
  <si>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</si>
  <si>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</si>
  <si>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</si>
  <si>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</si>
  <si>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</si>
  <si>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</si>
  <si>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</si>
  <si>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</si>
  <si>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</si>
  <si>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</si>
  <si>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</si>
  <si>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</si>
  <si>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</si>
  <si>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</si>
  <si>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</si>
  <si>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</si>
  <si>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</si>
  <si>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</si>
  <si>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</si>
  <si>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</si>
  <si>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</si>
  <si>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</si>
  <si>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</si>
  <si>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</si>
  <si>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</si>
  <si>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</si>
  <si>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</si>
  <si>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</si>
  <si>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</si>
  <si>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</si>
  <si>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</si>
  <si>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</si>
  <si>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</si>
  <si>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</si>
  <si>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</si>
  <si>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</si>
  <si>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</si>
  <si>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</si>
  <si>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</si>
  <si>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</si>
  <si>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</si>
  <si>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</si>
  <si>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</si>
  <si>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</si>
  <si>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</si>
  <si>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</si>
  <si>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</si>
  <si>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</si>
  <si>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</si>
  <si>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</si>
  <si>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</si>
  <si>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</si>
  <si>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</si>
  <si>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</si>
  <si>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</si>
  <si>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</si>
  <si>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</si>
  <si>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</si>
  <si>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</si>
  <si>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</si>
  <si>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</si>
  <si>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</si>
  <si>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</si>
  <si>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</si>
  <si>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</si>
  <si>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</si>
  <si>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Mesa de escritório com tampo em formato “L”
- Obrigatório para este item o Certificado de Marca de  Conformidade à norma ABNT NBR 13966/2008 ou mais atualizada.
DIMENSÕES
- Largura do tampo: 1600 mm x 1400 mm;
- Profundidade do tampo: 600 mm;
- Altura da mesa: 735 mm, variação de ± 5 mm;
- Dimensões específicas conforme o desenho e respectiva legenda.
TAMPO
- Tampo único com espessura mínima de 25 mm, revestido em ambas as faces com laminado melamínico em cor argila;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tampo.</t>
  </si>
  <si>
    <t>Mesa de escritório com tampo em formato “L”
- Obrigatório para este item o Certificado de Marca de Conformidade à norma ABNT NBR 13966/2008 ou mais atualizada.
DIMENSÕES
- Largura do tampo: 1400 mm x 1600 mm;
- Profundidade do tampo: 600 mm;
- Altura da mesa: 735 mm, variação de ± 5 mm;
- Dimensões específicas conforme o desenho e respectiva legenda.
TAMPO
- Tampo único com espessura mínima de 25 mm, revestido em ambas as faces com laminado melamínico em cor argila;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tampo.</t>
  </si>
  <si>
    <t>Mesa de escritório com tampo em formato retangular
DIMENSÕES
- Largura do tampo: 1200 mm;
- Profundidade do tampo: 600 mm;
- Altura da mesa: 735 mm, variação de ± 5 mm;
- Dimensões específicas conforme o desenho e respectiva legenda.
TAMPO
- Tampo único com espessura mínima de 25 mm, revestido em ambas as faces com laminado melamínico, em cor argila;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</t>
  </si>
  <si>
    <t>Mesa de escritório com tampo em formato retangular
DIMENSÕES
- Largura do tampo: 1000 mm;
- Profundidade do tampo: 600 mm;
- Altura da mesa: 735 mm, variação de ± 5 mm;
- Dimensões específicas conforme o desenho e respectiva legenda.
TAMPO
- Tampo único com espessura mínima de 25 mm, revestido em ambas as faces com laminado melamínico, em cor argila;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</t>
  </si>
  <si>
    <t>Mesa de escritório com tampo em formato peninsular
DIMENSÕES
- Largura do tampo: 1800 mm x 1600 mm;
- Profundidade do tampo: 600 mm;
- Altura da mesa: 735 mm, variação de ± 5 mm;
- Dimensões específicas conforme o desenho e respectiva legenda.
TAMPO
- Tampo único com espessura mínima de 25 mm, revestido em ambas as faces com laminado melamínico em cor argila;
- Lado de maior Largura com extremidade em formato peninsular;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</t>
  </si>
  <si>
    <t>Mesa de escritório com tampo em formato peninsular
DIMENSÕES
- Largura do tampo: 1600 mm x 1800 mm;
- Profundidade do tampo: 600 mm;
- Altura da mesa: 735 mm, variação de ± 5 mm;
- Dimensões específicas conforme o desenho e respectiva legenda.
TAMPO
- Tampo único com espessura mínima de 25 mm, revestido em ambas as faces com laminado melamínico em cor argila;
- Lado de maior Largura com extremidade em formato peninsular;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</t>
  </si>
  <si>
    <t>Mesa de reunião com tampo em formato circular
DIMENSÕES
- Diâmetro do tampo: 1200 mm;
- Altura da mesa: 735 mm, variação de ± 5 mm;
TAMPO
- Tampo único com espessura mínima de 25 mm, revestido em ambas as faces com laminado melamínico em cor argila;
- Bordas retas em termoplástico, na mesma cor do tampo, com espessura mínima de 2 mm;
ESTRUTURA
- Estrutura de coluna central com no mínimo 4 patas ou colunas unidas por travessas;
- Todos os componentes metálicos aparentes em cor cinza, pintados em epóxi-pó por processo eletrostático;
- Tratamento anti-corrosivo à base de fosfato de zinco.
- Sapatas reguladoras de nível em nylon ou polímero resistente</t>
  </si>
  <si>
    <t>Mesa de reunião com tampo em formato elíptico
DIMENSÕES
- Largura do tampo: 2400 mm x 1200 mm;
- Altura da mesa: 735 mm, variação de ± 5 mm;
- Dimensões específicas conforme o desenho e respectiva legenda.
TAMPO
- Tampo com espessura mínima de 25 mm, revestido em ambas as faces com laminado melamínico em cor argila;
- Bordas retas em termoplástico, na mesma cor do tampo, com espessura mínima de 2 mm;
- Painel frontal com espessura mínima de 18 mm, revestido em ambas as faces com laminado melamínico em cor cinza.
ESTRUTURA
- Estruturas laterais metálicas com calha vertical metálica para passagem de fiação e tampa com saque frontal;
- Todos os componentes metálicos aparentes em cor cinza, pintados em epóxi-pó por processo eletrostático;
- Tratamento anti-corrosivo à base de fosfato de zinco;
- Sapatas reguladoras de nível em nylon ou polímero resistente.
SUPORTES
- Tampa basculante metálica, no centro do tampo, equipada internamente com no mínimo 3 tomadas de energia e 3 de lógica/telefonia</t>
  </si>
  <si>
    <t>Gaveteiro volante
DIMENSÕES
- Largura do gaveteiro: 390 mm, variação de ± 30 mm;
- Profundidade do gaveteiro: 520 mm, variação de ± 30 mm;
- Altura do gaveteiro: 600 mm, variação de ± 10 mm.
GAVETEIRO
- Corpo confeccionado em MDP revestido em laminado melamínico em ambas as faces, com espessura mínima de 18 mm, tampo em cor argila e laterais em cor cinza;
- Bordas protegidas por perfil termoplástico na mesma cor;
- Rodízios de duplo giro injetados em nylon.
GAVETAS
- 2 (duas) gavetas simples e 1 (uma) gaveta para pastas suspensas, confeccionadas em MDP revestidas em laminado melamínico em ambas as faces, tampo frontal com espessura mínima de 15 mm, tampos em cor argila e laterais em cor cinza;
- Abertura por meio de trilhos com corrediças de aço, com roldanas de nylon de alta resistência e baixo ruído;
- Sistema de travamento de fim de curso;
- Com puxadores metálicos, com acabamento em cor cinza, ou abertura por calha lateral;
- Fechadura de comando único, com trava simultânea de todas as gavetas;
- Chave escamoteável com cópia</t>
  </si>
  <si>
    <t>Armário alto
Obrigatório para este item o Certificado de Marca de Conformidade à norma ABNT NBR 13961/2010 ou mais atualizada.
DIMENSÕES
- Largura do armário: 800 mm, variação de ± 10 mm;
- Profundidade do armário: 500 mm, variação de ± 10 mm;
- Altura do armário: 2010 mm, variação de ± 10 mm.
CORPO
- Corpo confeccionado em MDP revestido em laminado melamínico em ambas as faces, com espessura mínima de 18 mm, em cor argila;
- Tampo superior com espessura mínima de 25 mm;
- Bordas em termoplástico da mesma cor do tampo, com espessura mínima de 2 mm;
- Laterais com espessura mínima de 18 mm;
- Fundo com espessura mínima de 15 mm;
- Base em quadro de aço, dotada de sistema de nivelamento.
PORTAS
- Portas confeccionadas em MDP revestido em laminado melamínico em ambas as faces, com espessura mínima de 18 mm, em cor argila;
- Bordas em termoplástico da mesma cor;
- Portas fixadas com dobradiças de aço, com ângulo mínimo de 105º;
- Puxadores em metal, tipo alça, com acabamento em cor cinza;
- Fechadura metálica com travamento simultâneo das 2 portas;
- Chave escamoteável com cópia.
PRATELEIRAS
- 4 prateleiras com espessura mínima de 18 mm;
- Confeccionadas em MDP e revestidas em laminado melamínico em ambas as faces, em cor argila;
- Bordas protegidas por perfil em termoplástico, na mesma cor da prateleira;
- Regulagem de altura por pinos nas laterais internas do armário.</t>
  </si>
  <si>
    <t xml:space="preserve">Armário baixo
Obrigatório para este item o Certificado de Marca de Conformidade à norma ABNT NBR 13961/2010 ou mais atualizada.
DIMENSÕES 
- Largura do armário: 800 mm, variação de ± 10 mm; 
- Profundidade do armário: 600 mm; 
- Altura do armário: 735 mm, variação de ± 5 mm. 
CORPO 
- Corpo confeccionado em MDP revestido em laminado melamínico em ambas as faces, com espessura mínima de 18 mm, em cor argila; 
- Tampo superior com espessura mínima de 25 mm; 
- Bordas em termoplástico da mesma cor do tampo, com espessura mínima de 2 mm; 
- Laterais com espessura mínima de 18 mm; 
- Fundo com espessura mínima de 15 mm; 
- Base em quadro de aço, dotada de sistema de nivelamento. 
PORTAS 
- Portas confeccionadas em MDP revestido em laminado melamínico em ambas as faces, com espessura mínima de 18 mm, em cor argila; 
- Bordas em termoplástico da mesma cor; 
- Portas fixadas com dobradiças de aço, com ângulo mínimo de 105º; 
- Puxadores em metal, tipo alça, com acabamento em cor cinza; 
- Fechadura metálica com travamento simultâneo das 2 portas; 
- Chave escamoteável com cópia. 
PRATELEIRA 
- Espessura mínima de 18 mm; 
- Confeccionada em MDP e revestida em laminado melamínico em ambas as faces, em cor argila; 
- Bordas protegidas por perfil em termoplástico, na mesma cor da prateleira; 
- Regulagem de altura por pinos nas laterais internas do armário. </t>
  </si>
  <si>
    <t>Cadeira giratória operacional com espaldar médio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40cm;
- Medidas mínimas do assento - Largura: 42cm, Profundidade da superfície: 44cm;
- Encosto com regulagem da altura do apoio lombar em pelo menos quatro posições, do deslocamento horizontal em pelo menos três posições e da inclinação;
- Profundidade do assento regulável em pelo menos três posições;
- Mecanismo de relax excêntrico (livre flutuação) com opção de bloqueio em qualquer ângulo;
- Contra-encosto em polímero de alta resistência, na cor preta;
- Ligeira inclinação na parte frontal do assento.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profundidade;
- Leve inclinação na parte frontal do apoio.
MANUAL
- Toda unidade deverá vir acompanhada de manual de instruções para utilização de todos os mecanismos da cadeira</t>
  </si>
  <si>
    <t>Cadeira de diálogo, sem braços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50kg/m3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40cm;
- Medidas mínimas do assento - Largura: 42cm, Profundidade da superfície: 44cm;
- Altura da face superior do assento em relação ao piso: mínimo de 45cm;
- Contra-encosto em polímero de alta resistência, na cor preta;
- Ligeira inclinação na parte frontal do assento.
ESTRUTURA
- Base fixa contínua, semi trapezoidal, tipo "S", confeccionada em alumínio polido ou aço cromado;
- Altura total em relação ao piso: mínima de 85cm;
- Com sapatas estabilizadoras deslizantes em polímero.
OBSERVAÇÕES
- Item da mesma marca e linha (ou linha superior) do Item 12</t>
  </si>
  <si>
    <t>Cadeira giratória operacional com espaldar alto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 pelo menos quatro posições, do deslocamento horizontal em pelo menos três posições e da inclinação;
- Profundidade do assento regulável em pelo menos três posições;
- Mecanismo de relax excêntrico (livre flutuação) com opção de bloqueio em qualquer ângulo;
- Contra-encosto em polímero de alta resistência, na cor preta;
- Ligeira inclinação na parte frontal do assento.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</t>
  </si>
  <si>
    <t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t>
  </si>
  <si>
    <t>Marzo Vitorino – Ind Com de Móveis LTDA</t>
  </si>
  <si>
    <t>TECNO2000 INDÚSTRIA E COMÉRCIO LTDA</t>
  </si>
  <si>
    <t>PE05/2023-Min Def ALAGOAS-item15-1º-LAYOUT MOVEIS(atualizado)</t>
  </si>
  <si>
    <t>PE05/2023-Min Def ALAGOAS-item15-2º-CENTRAL MOVEIS(atualizado)</t>
  </si>
  <si>
    <t>PE07/2023-MIN SAUDE-AL/SE item23- 1º SANTO ANTONIO IND COM (atualizada)</t>
  </si>
  <si>
    <t>PE07/2023-MIN SAUDE-AL/SE item23- 2º -MOVEPLAST IND (atualizada)</t>
  </si>
  <si>
    <t>PE09/2023-Ins Fed AMAPA-item34-1º-SEAOPEN (atualizada)</t>
  </si>
  <si>
    <t>PE09/2023-Ins Fed AMAPA-item34-2º-REMOL (atualizada)</t>
  </si>
  <si>
    <t>PE07/2023 CREA/ES- item2-1º- FORTLINE IND COM</t>
  </si>
  <si>
    <t>PE07/2023 CREA/ES- item2 -2º- PARAISO SERV DE MONT MOVEIS</t>
  </si>
  <si>
    <t>PE09/2023-Ins Fed AMAPA-item30- 1º SEAOPEN (atualizada)</t>
  </si>
  <si>
    <t>PE09/2023-Ins Fed AMAPA-item30- 2º REMOL (atualizada)</t>
  </si>
  <si>
    <t>PE23/2023-TJ RJ-2ºP-Item 5- CENTRAL MOVEIS (atualizada)</t>
  </si>
  <si>
    <t>PE9/2023-Ins Fed AMAPA-item37-REMOL (atualizada)</t>
  </si>
  <si>
    <t>PE06/2022- Min Def. PLANALTO -item19- OFICCE MAX IND COM (atualizada)</t>
  </si>
  <si>
    <t>PE06/2022- Min Def. PLANALTO -item 19- OFICCE MAX IND COM (atualizada)</t>
  </si>
  <si>
    <t>PE06/2023-Min Def PLANALTO item 18- 1º- OFFICE MAX IND E COM (atualizada)</t>
  </si>
  <si>
    <t>PE06/2023-Min Def PLANALTO item 18- 2º- FABIANE FERNANDES VEIGA LTDA (atual)</t>
  </si>
  <si>
    <t>PE07/2023 CREA/ES- item17-1º- FORTLINE IND COM</t>
  </si>
  <si>
    <t>PE07/2023 CREA/ES-item17-2º-HOMEOFFICE MOVEIS LTDA</t>
  </si>
  <si>
    <t>PE6/2022-Min Def PLANALTO-item17- 1º-OFFICE MAX</t>
  </si>
  <si>
    <t>PE06/2023-Min Def PLANALTO item 17- 2º- FABIANE FERNANDES VEIGA LTDA (atual)</t>
  </si>
  <si>
    <t>PE20/2023- Just Fed- RJ -item33-1º- BORTOLINI IND</t>
  </si>
  <si>
    <t>PE06/2022-Min Def PLANALTO- Iitem13-1º -OFFICE MAX (atualizada)</t>
  </si>
  <si>
    <t>PE06/2022-Min Def PLANALTO- Iitem13-2º -MILANFLEX IND (atualaizada)</t>
  </si>
  <si>
    <t>PE20/2023- Just Fed- RJ-item 08-1º- MOBIEQ MOBILIARIO</t>
  </si>
  <si>
    <t>Avantti Móveis para Escritório Ltda.</t>
  </si>
  <si>
    <t>PE06/2022-Min Def PLANALTO -ITEM 2-1º- OFFICE MAX IND E COM (atualaizado)</t>
  </si>
  <si>
    <t>PE06/2022-Min Def PLANALTO -ITEM 2-2º-FABIANE FERNANDES VEIGA LT</t>
  </si>
  <si>
    <t>*PE06/2022-Min Def PLANALTO -ITEM 4- 1º -OFFICE MAX IND E COM</t>
  </si>
  <si>
    <t>*PE06/2022-Min Def PLANALTO -ITEM 4- 2º -FABIANE FERNANDES VEIGA LTDA</t>
  </si>
  <si>
    <t>*PE07/2023-MIN SAUDE AL/SE item5- 1º -MOVEPLAST</t>
  </si>
  <si>
    <t>*PE07/2023-MIN SAUDE AL/SE item5- 2º -VIVA DISTRIB DE PRODUTOS LTDA</t>
  </si>
  <si>
    <t>PE6/2022-Min Def PLANALTO- ITEM37-1º-MILAFLEX (atualizada)</t>
  </si>
  <si>
    <t>PE05/2023-Def Pub ALAGOAS-item31-1º -LAYOUT MOVEIS (atualizado)</t>
  </si>
  <si>
    <t>PE01/2023-MIN FAZ - SUPERINT ADM ACRE-item22-1º ASTA MOBILIAR MOVEIS</t>
  </si>
  <si>
    <t>PE3/2023-MIN DEF DF- ITEM7-1º-METAFLEX (atualizada)</t>
  </si>
  <si>
    <t>PE01/2023-MIN FAZ - SUPERINT ADM ACRE-item25-1º ASTA MOBILIAR MOVEIS (atualizada)</t>
  </si>
  <si>
    <t>PE01/2023-MIN FAZ - SUPERINT ADM ACRE-item25-2ºMOVESC COMERCIO (atualizada)</t>
  </si>
  <si>
    <t>PE3/2023-MIN DEF DF- ITEM8-METAFLEX (atualizada)</t>
  </si>
  <si>
    <t>PE01/2023-MIN FAZ - SUPERINT ADM ACRE-item21-1º ASTA MOBILIAR MOVEIS (atualizada)</t>
  </si>
  <si>
    <t>PE01/2023-MIN FAZ - SUPERINT ADM ACRE-item21-2º MOVESC COMERCIO (atualizada)</t>
  </si>
  <si>
    <t>PE3/2023-MIN DEFESA DF- ITEM2-METAFLEX (atualizada)</t>
  </si>
  <si>
    <t>PE6/2022-Min Def PLANALTO- ITEM39-1º-MILANFLEX (atualizada)</t>
  </si>
  <si>
    <t>PE01/2023-MIN FAZ - SUPERINT ADM ACRE-item19-1º ASTA MOBILIAR MOVEIS (atualizada)</t>
  </si>
  <si>
    <t>PE01/2023-MIN FAZ - SUPERINT ADM ACRE-item19-2º MOVESC COMERCIO (atualizada)</t>
  </si>
  <si>
    <t>quantidade total</t>
  </si>
  <si>
    <t>quantidade
TRE-BA
(UASG 070013)</t>
  </si>
  <si>
    <t>quantidade
Polícia Civil do Estado de Roraima
(UASG 927020)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</si>
</sst>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 shrinkToFi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</v>
      </c>
      <c r="B3" s="34" t="s">
        <v>92</v>
      </c>
      <c r="C3" s="36" t="s">
        <v>7</v>
      </c>
      <c r="D3" s="36">
        <f>60+100</f>
        <v>160</v>
      </c>
      <c r="E3" s="37">
        <f>IF(C20&lt;=25%,D20,MIN(E20:F20))</f>
        <v>1349.09</v>
      </c>
      <c r="F3" s="37">
        <f>MIN(H3:H17)</f>
        <v>1008</v>
      </c>
      <c r="G3" s="5" t="s">
        <v>107</v>
      </c>
      <c r="H3" s="16">
        <v>1008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108</v>
      </c>
      <c r="H4" s="16">
        <v>1700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109</v>
      </c>
      <c r="H5" s="16">
        <v>1283.08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110</v>
      </c>
      <c r="H6" s="16">
        <v>1405.28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286.93486624435644</v>
      </c>
      <c r="B20" s="8">
        <f>COUNT(H3:H17)</f>
        <v>4</v>
      </c>
      <c r="C20" s="9">
        <f>IF(B20&lt;2,"n/a",(A20/D20))</f>
        <v>0.21268771263915415</v>
      </c>
      <c r="D20" s="10">
        <f>IFERROR(ROUND(AVERAGE(H3:H17),2),"")</f>
        <v>1349.09</v>
      </c>
      <c r="E20" s="15" t="str">
        <f>IFERROR(ROUND(IF(B20&lt;2,"n/a",(IF(C20&lt;=25%,"n/a",AVERAGE(I3:I17)))),2),"n/a")</f>
        <v>n/a</v>
      </c>
      <c r="F20" s="10">
        <f>IFERROR(ROUND(MEDIAN(H3:H17),2),"")</f>
        <v>1344.18</v>
      </c>
      <c r="G20" s="11" t="str">
        <f>IFERROR(INDEX(G3:G17,MATCH(H20,H3:H17,0)),"")</f>
        <v>Marzo Vitorino – Ind Com de Móveis LTDA</v>
      </c>
      <c r="H20" s="12">
        <f>F3</f>
        <v>1008</v>
      </c>
    </row>
    <row r="22" spans="1:9" x14ac:dyDescent="0.25">
      <c r="G22" s="13" t="s">
        <v>20</v>
      </c>
      <c r="H22" s="14">
        <f>IF(C20&lt;=25%,D20,MIN(E20:F20))</f>
        <v>1349.09</v>
      </c>
    </row>
    <row r="23" spans="1:9" x14ac:dyDescent="0.25">
      <c r="G23" s="13" t="s">
        <v>6</v>
      </c>
      <c r="H23" s="14">
        <f>ROUND(H22,2)*D3</f>
        <v>215854.4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10</v>
      </c>
      <c r="B3" s="34" t="s">
        <v>101</v>
      </c>
      <c r="C3" s="36" t="s">
        <v>7</v>
      </c>
      <c r="D3" s="36">
        <f>50+300</f>
        <v>350</v>
      </c>
      <c r="E3" s="37">
        <f>IF(C20&lt;=25%,D20,MIN(E20:F20))</f>
        <v>1715.84</v>
      </c>
      <c r="F3" s="37">
        <f>MIN(H3:H17)</f>
        <v>1346.4</v>
      </c>
      <c r="G3" s="5" t="s">
        <v>133</v>
      </c>
      <c r="H3" s="16">
        <v>2355.5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107</v>
      </c>
      <c r="H4" s="16">
        <v>1346.4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108</v>
      </c>
      <c r="H5" s="16">
        <v>1800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134</v>
      </c>
      <c r="H6" s="16">
        <v>1372.7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135</v>
      </c>
      <c r="H7" s="16">
        <v>1704.59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409.45248713373434</v>
      </c>
      <c r="B20" s="8">
        <f>COUNT(H3:H17)</f>
        <v>5</v>
      </c>
      <c r="C20" s="9">
        <f>IF(B20&lt;2,"n/a",(A20/D20))</f>
        <v>0.23863092545559864</v>
      </c>
      <c r="D20" s="10">
        <f>IFERROR(ROUND(AVERAGE(H3:H17),2),"")</f>
        <v>1715.84</v>
      </c>
      <c r="E20" s="15" t="str">
        <f>IFERROR(ROUND(IF(B20&lt;2,"n/a",(IF(C20&lt;=25%,"n/a",AVERAGE(I3:I17)))),2),"n/a")</f>
        <v>n/a</v>
      </c>
      <c r="F20" s="10">
        <f>IFERROR(ROUND(MEDIAN(H3:H17),2),"")</f>
        <v>1704.59</v>
      </c>
      <c r="G20" s="11" t="str">
        <f>IFERROR(INDEX(G3:G17,MATCH(H20,H3:H17,0)),"")</f>
        <v>Marzo Vitorino – Ind Com de Móveis LTDA</v>
      </c>
      <c r="H20" s="12">
        <f>F3</f>
        <v>1346.4</v>
      </c>
    </row>
    <row r="22" spans="1:9" x14ac:dyDescent="0.25">
      <c r="G22" s="13" t="s">
        <v>20</v>
      </c>
      <c r="H22" s="14">
        <f>IF(C20&lt;=25%,D20,MIN(E20:F20))</f>
        <v>1715.84</v>
      </c>
    </row>
    <row r="23" spans="1:9" x14ac:dyDescent="0.25">
      <c r="G23" s="13" t="s">
        <v>6</v>
      </c>
      <c r="H23" s="14">
        <f>ROUND(H22,2)*D3</f>
        <v>600544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11</v>
      </c>
      <c r="B3" s="34" t="s">
        <v>102</v>
      </c>
      <c r="C3" s="36" t="s">
        <v>7</v>
      </c>
      <c r="D3" s="36">
        <f>20+200</f>
        <v>220</v>
      </c>
      <c r="E3" s="37">
        <f>IF(C20&lt;=25%,D20,MIN(E20:F20))</f>
        <v>661.68</v>
      </c>
      <c r="F3" s="37">
        <f>MIN(H3:H17)</f>
        <v>509.16</v>
      </c>
      <c r="G3" s="5" t="s">
        <v>133</v>
      </c>
      <c r="H3" s="16">
        <v>1300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107</v>
      </c>
      <c r="H4" s="16">
        <v>720</v>
      </c>
      <c r="I4" s="17">
        <f t="shared" ref="I4:I17" si="0">IF(H4="","",(IF($C$20&lt;25%,"n/a",IF(H4&lt;=($D$20+$A$20),H4,"Descartado"))))</f>
        <v>720</v>
      </c>
    </row>
    <row r="5" spans="1:9" x14ac:dyDescent="0.25">
      <c r="A5" s="38"/>
      <c r="B5" s="35"/>
      <c r="C5" s="36"/>
      <c r="D5" s="36"/>
      <c r="E5" s="37"/>
      <c r="F5" s="37"/>
      <c r="G5" s="5" t="s">
        <v>108</v>
      </c>
      <c r="H5" s="16">
        <v>1200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136</v>
      </c>
      <c r="H6" s="16">
        <v>701.89</v>
      </c>
      <c r="I6" s="17">
        <f t="shared" si="0"/>
        <v>701.89</v>
      </c>
    </row>
    <row r="7" spans="1:9" x14ac:dyDescent="0.25">
      <c r="A7" s="38"/>
      <c r="B7" s="35"/>
      <c r="C7" s="36"/>
      <c r="D7" s="36"/>
      <c r="E7" s="37"/>
      <c r="F7" s="37"/>
      <c r="G7" s="5" t="s">
        <v>137</v>
      </c>
      <c r="H7" s="16">
        <v>752.03</v>
      </c>
      <c r="I7" s="17">
        <f t="shared" si="0"/>
        <v>752.03</v>
      </c>
    </row>
    <row r="8" spans="1:9" x14ac:dyDescent="0.25">
      <c r="A8" s="38"/>
      <c r="B8" s="35"/>
      <c r="C8" s="36"/>
      <c r="D8" s="36"/>
      <c r="E8" s="37"/>
      <c r="F8" s="37"/>
      <c r="G8" s="5" t="s">
        <v>138</v>
      </c>
      <c r="H8" s="16">
        <v>509.16</v>
      </c>
      <c r="I8" s="17">
        <f t="shared" si="0"/>
        <v>509.16</v>
      </c>
    </row>
    <row r="9" spans="1:9" x14ac:dyDescent="0.25">
      <c r="A9" s="38"/>
      <c r="B9" s="35"/>
      <c r="C9" s="36"/>
      <c r="D9" s="36"/>
      <c r="E9" s="37"/>
      <c r="F9" s="37"/>
      <c r="G9" s="5" t="s">
        <v>139</v>
      </c>
      <c r="H9" s="16">
        <v>625.33000000000004</v>
      </c>
      <c r="I9" s="17">
        <f t="shared" si="0"/>
        <v>625.33000000000004</v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299.22657144234853</v>
      </c>
      <c r="B20" s="8">
        <f>COUNT(H3:H17)</f>
        <v>7</v>
      </c>
      <c r="C20" s="9">
        <f>IF(B20&lt;2,"n/a",(A20/D20))</f>
        <v>0.3606138706416821</v>
      </c>
      <c r="D20" s="10">
        <f>IFERROR(ROUND(AVERAGE(H3:H17),2),"")</f>
        <v>829.77</v>
      </c>
      <c r="E20" s="15">
        <f>IFERROR(ROUND(IF(B20&lt;2,"n/a",(IF(C20&lt;=25%,"n/a",AVERAGE(I3:I17)))),2),"n/a")</f>
        <v>661.68</v>
      </c>
      <c r="F20" s="10">
        <f>IFERROR(ROUND(MEDIAN(H3:H17),2),"")</f>
        <v>720</v>
      </c>
      <c r="G20" s="11" t="str">
        <f>IFERROR(INDEX(G3:G17,MATCH(H20,H3:H17,0)),"")</f>
        <v>*PE07/2023-MIN SAUDE AL/SE item5- 1º -MOVEPLAST</v>
      </c>
      <c r="H20" s="12">
        <f>F3</f>
        <v>509.16</v>
      </c>
    </row>
    <row r="22" spans="1:9" x14ac:dyDescent="0.25">
      <c r="G22" s="13" t="s">
        <v>20</v>
      </c>
      <c r="H22" s="14">
        <f>IF(C20&lt;=25%,D20,MIN(E20:F20))</f>
        <v>661.68</v>
      </c>
    </row>
    <row r="23" spans="1:9" x14ac:dyDescent="0.25">
      <c r="G23" s="13" t="s">
        <v>6</v>
      </c>
      <c r="H23" s="14">
        <f>ROUND(H22,2)*D3</f>
        <v>145569.59999999998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12</v>
      </c>
      <c r="B3" s="34" t="s">
        <v>103</v>
      </c>
      <c r="C3" s="36" t="s">
        <v>7</v>
      </c>
      <c r="D3" s="36">
        <f>120+800</f>
        <v>920</v>
      </c>
      <c r="E3" s="37">
        <f>IF(C20&lt;=25%,D20,MIN(E20:F20))</f>
        <v>1414.17</v>
      </c>
      <c r="F3" s="37">
        <f>MIN(H3:H17)</f>
        <v>1171.06</v>
      </c>
      <c r="G3" s="5" t="s">
        <v>108</v>
      </c>
      <c r="H3" s="16">
        <v>1700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140</v>
      </c>
      <c r="H4" s="16">
        <v>1453.92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141</v>
      </c>
      <c r="H5" s="16">
        <v>1171.06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142</v>
      </c>
      <c r="H6" s="16">
        <v>1331.68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222.99919543950494</v>
      </c>
      <c r="B20" s="8">
        <f>COUNT(H3:H17)</f>
        <v>4</v>
      </c>
      <c r="C20" s="9">
        <f>IF(B20&lt;2,"n/a",(A20/D20))</f>
        <v>0.15768910063111574</v>
      </c>
      <c r="D20" s="10">
        <f>IFERROR(ROUND(AVERAGE(H3:H17),2),"")</f>
        <v>1414.17</v>
      </c>
      <c r="E20" s="15" t="str">
        <f>IFERROR(ROUND(IF(B20&lt;2,"n/a",(IF(C20&lt;=25%,"n/a",AVERAGE(I3:I17)))),2),"n/a")</f>
        <v>n/a</v>
      </c>
      <c r="F20" s="10">
        <f>IFERROR(ROUND(MEDIAN(H3:H17),2),"")</f>
        <v>1392.8</v>
      </c>
      <c r="G20" s="11" t="str">
        <f>IFERROR(INDEX(G3:G17,MATCH(H20,H3:H17,0)),"")</f>
        <v>PE05/2023-Def Pub ALAGOAS-item31-1º -LAYOUT MOVEIS (atualizado)</v>
      </c>
      <c r="H20" s="12">
        <f>F3</f>
        <v>1171.06</v>
      </c>
    </row>
    <row r="22" spans="1:9" x14ac:dyDescent="0.25">
      <c r="G22" s="13" t="s">
        <v>20</v>
      </c>
      <c r="H22" s="14">
        <f>IF(C20&lt;=25%,D20,MIN(E20:F20))</f>
        <v>1414.17</v>
      </c>
    </row>
    <row r="23" spans="1:9" x14ac:dyDescent="0.25">
      <c r="G23" s="13" t="s">
        <v>6</v>
      </c>
      <c r="H23" s="14">
        <f>ROUND(H22,2)*D3</f>
        <v>1301036.4000000001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13</v>
      </c>
      <c r="B3" s="34" t="s">
        <v>104</v>
      </c>
      <c r="C3" s="36" t="s">
        <v>7</v>
      </c>
      <c r="D3" s="36">
        <f>50+800</f>
        <v>850</v>
      </c>
      <c r="E3" s="37">
        <f>IF(C20&lt;=25%,D20,MIN(E20:F20))</f>
        <v>972.33</v>
      </c>
      <c r="F3" s="37">
        <f>MIN(H3:H17)</f>
        <v>900.18</v>
      </c>
      <c r="G3" s="5" t="s">
        <v>108</v>
      </c>
      <c r="H3" s="16">
        <v>1100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143</v>
      </c>
      <c r="H4" s="16">
        <v>980.7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144</v>
      </c>
      <c r="H5" s="16">
        <v>900.18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145</v>
      </c>
      <c r="H6" s="16">
        <v>908.43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92.481562621962681</v>
      </c>
      <c r="B20" s="8">
        <f>COUNT(H3:H17)</f>
        <v>4</v>
      </c>
      <c r="C20" s="9">
        <f>IF(B20&lt;2,"n/a",(A20/D20))</f>
        <v>9.5113348988473748E-2</v>
      </c>
      <c r="D20" s="10">
        <f>IFERROR(ROUND(AVERAGE(H3:H17),2),"")</f>
        <v>972.33</v>
      </c>
      <c r="E20" s="15" t="str">
        <f>IFERROR(ROUND(IF(B20&lt;2,"n/a",(IF(C20&lt;=25%,"n/a",AVERAGE(I3:I17)))),2),"n/a")</f>
        <v>n/a</v>
      </c>
      <c r="F20" s="10">
        <f>IFERROR(ROUND(MEDIAN(H3:H17),2),"")</f>
        <v>944.57</v>
      </c>
      <c r="G20" s="11" t="str">
        <f>IFERROR(INDEX(G3:G17,MATCH(H20,H3:H17,0)),"")</f>
        <v>PE01/2023-MIN FAZ - SUPERINT ADM ACRE-item25-1º ASTA MOBILIAR MOVEIS (atualizada)</v>
      </c>
      <c r="H20" s="12">
        <f>F3</f>
        <v>900.18</v>
      </c>
    </row>
    <row r="22" spans="1:9" x14ac:dyDescent="0.25">
      <c r="G22" s="13" t="s">
        <v>20</v>
      </c>
      <c r="H22" s="14">
        <f>IF(C20&lt;=25%,D20,MIN(E20:F20))</f>
        <v>972.33</v>
      </c>
    </row>
    <row r="23" spans="1:9" x14ac:dyDescent="0.25">
      <c r="G23" s="13" t="s">
        <v>6</v>
      </c>
      <c r="H23" s="14">
        <f>ROUND(H22,2)*D3</f>
        <v>826480.5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14</v>
      </c>
      <c r="B3" s="34" t="s">
        <v>105</v>
      </c>
      <c r="C3" s="36" t="s">
        <v>7</v>
      </c>
      <c r="D3" s="36">
        <f>20+60</f>
        <v>80</v>
      </c>
      <c r="E3" s="37">
        <f>IF(C20&lt;=25%,D20,MIN(E20:F20))</f>
        <v>2265.6</v>
      </c>
      <c r="F3" s="37">
        <f>MIN(H3:H17)</f>
        <v>1710.77</v>
      </c>
      <c r="G3" s="5" t="s">
        <v>108</v>
      </c>
      <c r="H3" s="16">
        <v>2500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146</v>
      </c>
      <c r="H4" s="16">
        <v>2580.7800000000002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147</v>
      </c>
      <c r="H5" s="16">
        <v>1710.77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148</v>
      </c>
      <c r="H6" s="16">
        <v>2270.84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392.49016075777581</v>
      </c>
      <c r="B20" s="8">
        <f>COUNT(H3:H17)</f>
        <v>4</v>
      </c>
      <c r="C20" s="9">
        <f>IF(B20&lt;2,"n/a",(A20/D20))</f>
        <v>0.17323894807458326</v>
      </c>
      <c r="D20" s="10">
        <f>IFERROR(ROUND(AVERAGE(H3:H17),2),"")</f>
        <v>2265.6</v>
      </c>
      <c r="E20" s="15" t="str">
        <f>IFERROR(ROUND(IF(B20&lt;2,"n/a",(IF(C20&lt;=25%,"n/a",AVERAGE(I3:I17)))),2),"n/a")</f>
        <v>n/a</v>
      </c>
      <c r="F20" s="10">
        <f>IFERROR(ROUND(MEDIAN(H3:H17),2),"")</f>
        <v>2385.42</v>
      </c>
      <c r="G20" s="11" t="str">
        <f>IFERROR(INDEX(G3:G17,MATCH(H20,H3:H17,0)),"")</f>
        <v>PE01/2023-MIN FAZ - SUPERINT ADM ACRE-item21-1º ASTA MOBILIAR MOVEIS (atualizada)</v>
      </c>
      <c r="H20" s="12">
        <f>F3</f>
        <v>1710.77</v>
      </c>
    </row>
    <row r="22" spans="1:9" x14ac:dyDescent="0.25">
      <c r="G22" s="13" t="s">
        <v>20</v>
      </c>
      <c r="H22" s="14">
        <f>IF(C20&lt;=25%,D20,MIN(E20:F20))</f>
        <v>2265.6</v>
      </c>
    </row>
    <row r="23" spans="1:9" x14ac:dyDescent="0.25">
      <c r="G23" s="13" t="s">
        <v>6</v>
      </c>
      <c r="H23" s="14">
        <f>ROUND(H22,2)*D3</f>
        <v>181248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15</v>
      </c>
      <c r="B3" s="34" t="s">
        <v>106</v>
      </c>
      <c r="C3" s="36" t="s">
        <v>7</v>
      </c>
      <c r="D3" s="36">
        <f>20+20</f>
        <v>40</v>
      </c>
      <c r="E3" s="37">
        <f>IF(C20&lt;=25%,D20,MIN(E20:F20))</f>
        <v>4065.18</v>
      </c>
      <c r="F3" s="37">
        <f>MIN(H3:H17)</f>
        <v>2900</v>
      </c>
      <c r="G3" s="5" t="s">
        <v>108</v>
      </c>
      <c r="H3" s="16">
        <v>2900</v>
      </c>
      <c r="I3" s="17">
        <f>IF(H3="","",(IF($C$20&lt;25%,"n/a",IF(H3&lt;=($D$20+$A$20),H3,"Descartado"))))</f>
        <v>2900</v>
      </c>
    </row>
    <row r="4" spans="1:9" x14ac:dyDescent="0.25">
      <c r="A4" s="38"/>
      <c r="B4" s="35"/>
      <c r="C4" s="36"/>
      <c r="D4" s="36"/>
      <c r="E4" s="37"/>
      <c r="F4" s="37"/>
      <c r="G4" s="5" t="s">
        <v>149</v>
      </c>
      <c r="H4" s="16">
        <v>5006.71</v>
      </c>
      <c r="I4" s="17">
        <f t="shared" ref="I4:I17" si="0">IF(H4="","",(IF($C$20&lt;25%,"n/a",IF(H4&lt;=($D$20+$A$20),H4,"Descartado"))))</f>
        <v>5006.71</v>
      </c>
    </row>
    <row r="5" spans="1:9" x14ac:dyDescent="0.25">
      <c r="A5" s="38"/>
      <c r="B5" s="35"/>
      <c r="C5" s="36"/>
      <c r="D5" s="36"/>
      <c r="E5" s="37"/>
      <c r="F5" s="37"/>
      <c r="G5" s="5" t="s">
        <v>150</v>
      </c>
      <c r="H5" s="16">
        <v>2987.5</v>
      </c>
      <c r="I5" s="17">
        <f t="shared" si="0"/>
        <v>2987.5</v>
      </c>
    </row>
    <row r="6" spans="1:9" x14ac:dyDescent="0.25">
      <c r="A6" s="38"/>
      <c r="B6" s="35"/>
      <c r="C6" s="36"/>
      <c r="D6" s="36"/>
      <c r="E6" s="37"/>
      <c r="F6" s="37"/>
      <c r="G6" s="5" t="s">
        <v>151</v>
      </c>
      <c r="H6" s="16">
        <v>5366.52</v>
      </c>
      <c r="I6" s="17">
        <f t="shared" si="0"/>
        <v>5366.52</v>
      </c>
    </row>
    <row r="7" spans="1:9" x14ac:dyDescent="0.25">
      <c r="A7" s="38"/>
      <c r="B7" s="35"/>
      <c r="C7" s="36"/>
      <c r="D7" s="36"/>
      <c r="E7" s="37"/>
      <c r="F7" s="37"/>
      <c r="G7" s="5" t="s">
        <v>152</v>
      </c>
      <c r="H7" s="16">
        <v>5847.17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1381.9720249882039</v>
      </c>
      <c r="B20" s="8">
        <f>COUNT(H3:H17)</f>
        <v>5</v>
      </c>
      <c r="C20" s="9">
        <f>IF(B20&lt;2,"n/a",(A20/D20))</f>
        <v>0.31255162746986459</v>
      </c>
      <c r="D20" s="10">
        <f>IFERROR(ROUND(AVERAGE(H3:H17),2),"")</f>
        <v>4421.58</v>
      </c>
      <c r="E20" s="15">
        <f>IFERROR(ROUND(IF(B20&lt;2,"n/a",(IF(C20&lt;=25%,"n/a",AVERAGE(I3:I17)))),2),"n/a")</f>
        <v>4065.18</v>
      </c>
      <c r="F20" s="10">
        <f>IFERROR(ROUND(MEDIAN(H3:H17),2),"")</f>
        <v>5006.71</v>
      </c>
      <c r="G20" s="11" t="str">
        <f>IFERROR(INDEX(G3:G17,MATCH(H20,H3:H17,0)),"")</f>
        <v>TECNO2000 INDÚSTRIA E COMÉRCIO LTDA</v>
      </c>
      <c r="H20" s="12">
        <f>F3</f>
        <v>2900</v>
      </c>
    </row>
    <row r="22" spans="1:9" x14ac:dyDescent="0.25">
      <c r="G22" s="13" t="s">
        <v>20</v>
      </c>
      <c r="H22" s="14">
        <f>IF(C20&lt;=25%,D20,MIN(E20:F20))</f>
        <v>4065.18</v>
      </c>
    </row>
    <row r="23" spans="1:9" x14ac:dyDescent="0.25">
      <c r="G23" s="13" t="s">
        <v>6</v>
      </c>
      <c r="H23" s="14">
        <f>ROUND(H22,2)*D3</f>
        <v>162607.19999999998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16</v>
      </c>
      <c r="B3" s="34" t="s">
        <v>55</v>
      </c>
      <c r="C3" s="36" t="s">
        <v>7</v>
      </c>
      <c r="D3" s="36">
        <v>1000</v>
      </c>
      <c r="E3" s="37">
        <f>IF(C20&lt;=25%,D20,MIN(E20:F20))</f>
        <v>4.68</v>
      </c>
      <c r="F3" s="37">
        <f>MIN(H3:H17)</f>
        <v>3.57</v>
      </c>
      <c r="G3" s="5" t="s">
        <v>65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38"/>
      <c r="B4" s="35"/>
      <c r="C4" s="36"/>
      <c r="D4" s="36"/>
      <c r="E4" s="37"/>
      <c r="F4" s="37"/>
      <c r="G4" s="5" t="s">
        <v>66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38"/>
      <c r="B5" s="35"/>
      <c r="C5" s="36"/>
      <c r="D5" s="36"/>
      <c r="E5" s="37"/>
      <c r="F5" s="37"/>
      <c r="G5" s="5" t="s">
        <v>67</v>
      </c>
      <c r="H5" s="16">
        <v>6.79</v>
      </c>
      <c r="I5" s="17">
        <f t="shared" si="0"/>
        <v>6.79</v>
      </c>
    </row>
    <row r="6" spans="1:9" x14ac:dyDescent="0.25">
      <c r="A6" s="38"/>
      <c r="B6" s="35"/>
      <c r="C6" s="36"/>
      <c r="D6" s="36"/>
      <c r="E6" s="37"/>
      <c r="F6" s="37"/>
      <c r="G6" s="5" t="s">
        <v>68</v>
      </c>
      <c r="H6" s="16">
        <v>17.46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17</v>
      </c>
      <c r="B3" s="34" t="s">
        <v>56</v>
      </c>
      <c r="C3" s="36" t="s">
        <v>57</v>
      </c>
      <c r="D3" s="36">
        <v>100</v>
      </c>
      <c r="E3" s="37">
        <f>IF(C20&lt;=25%,D20,MIN(E20:F20))</f>
        <v>112.83</v>
      </c>
      <c r="F3" s="37">
        <f>MIN(H3:H17)</f>
        <v>95.67</v>
      </c>
      <c r="G3" s="5" t="s">
        <v>69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8"/>
      <c r="B4" s="35"/>
      <c r="C4" s="36"/>
      <c r="D4" s="36"/>
      <c r="E4" s="37"/>
      <c r="F4" s="37"/>
      <c r="G4" s="5" t="s">
        <v>70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8"/>
      <c r="B5" s="35"/>
      <c r="C5" s="36"/>
      <c r="D5" s="36"/>
      <c r="E5" s="37"/>
      <c r="F5" s="37"/>
      <c r="G5" s="5" t="s">
        <v>71</v>
      </c>
      <c r="H5" s="16">
        <v>543.89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18</v>
      </c>
      <c r="B3" s="34" t="s">
        <v>58</v>
      </c>
      <c r="C3" s="36" t="s">
        <v>59</v>
      </c>
      <c r="D3" s="36">
        <v>100</v>
      </c>
      <c r="E3" s="37">
        <f>IF(C20&lt;=25%,D20,MIN(E20:F20))</f>
        <v>83.03</v>
      </c>
      <c r="F3" s="37">
        <f>MIN(H3:H17)</f>
        <v>45</v>
      </c>
      <c r="G3" s="5" t="s">
        <v>72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8"/>
      <c r="B4" s="35"/>
      <c r="C4" s="36"/>
      <c r="D4" s="36"/>
      <c r="E4" s="37"/>
      <c r="F4" s="37"/>
      <c r="G4" s="5" t="s">
        <v>73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8"/>
      <c r="B5" s="35"/>
      <c r="C5" s="36"/>
      <c r="D5" s="36"/>
      <c r="E5" s="37"/>
      <c r="F5" s="37"/>
      <c r="G5" s="5" t="s">
        <v>74</v>
      </c>
      <c r="H5" s="16">
        <v>45</v>
      </c>
      <c r="I5" s="17">
        <f t="shared" si="0"/>
        <v>45</v>
      </c>
    </row>
    <row r="6" spans="1:9" x14ac:dyDescent="0.25">
      <c r="A6" s="38"/>
      <c r="B6" s="35"/>
      <c r="C6" s="36"/>
      <c r="D6" s="36"/>
      <c r="E6" s="37"/>
      <c r="F6" s="37"/>
      <c r="G6" s="5" t="s">
        <v>75</v>
      </c>
      <c r="H6" s="16">
        <v>67.25</v>
      </c>
      <c r="I6" s="17">
        <f t="shared" si="0"/>
        <v>67.25</v>
      </c>
    </row>
    <row r="7" spans="1:9" x14ac:dyDescent="0.25">
      <c r="A7" s="38"/>
      <c r="B7" s="35"/>
      <c r="C7" s="36"/>
      <c r="D7" s="36"/>
      <c r="E7" s="37"/>
      <c r="F7" s="37"/>
      <c r="G7" s="5" t="s">
        <v>76</v>
      </c>
      <c r="H7" s="16">
        <v>91.8</v>
      </c>
      <c r="I7" s="17">
        <f t="shared" si="0"/>
        <v>91.8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19</v>
      </c>
      <c r="B3" s="34" t="s">
        <v>61</v>
      </c>
      <c r="C3" s="36" t="s">
        <v>7</v>
      </c>
      <c r="D3" s="36">
        <v>50</v>
      </c>
      <c r="E3" s="37">
        <f>IF(C20&lt;=25%,D20,MIN(E20:F20))</f>
        <v>68.7</v>
      </c>
      <c r="F3" s="37">
        <f>MIN(H3:H17)</f>
        <v>58.5</v>
      </c>
      <c r="G3" s="5" t="s">
        <v>77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79</v>
      </c>
      <c r="H5" s="16">
        <v>85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</v>
      </c>
      <c r="B3" s="34" t="s">
        <v>93</v>
      </c>
      <c r="C3" s="36" t="s">
        <v>7</v>
      </c>
      <c r="D3" s="36">
        <f>60+100</f>
        <v>160</v>
      </c>
      <c r="E3" s="37">
        <f>IF(C20&lt;=25%,D20,MIN(E20:F20))</f>
        <v>1349.09</v>
      </c>
      <c r="F3" s="37">
        <f>MIN(H3:H17)</f>
        <v>1008</v>
      </c>
      <c r="G3" s="5" t="s">
        <v>107</v>
      </c>
      <c r="H3" s="16">
        <v>1008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108</v>
      </c>
      <c r="H4" s="16">
        <v>1700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109</v>
      </c>
      <c r="H5" s="16">
        <v>1283.08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110</v>
      </c>
      <c r="H6" s="16">
        <v>1405.28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286.93486624435644</v>
      </c>
      <c r="B20" s="8">
        <f>COUNT(H3:H17)</f>
        <v>4</v>
      </c>
      <c r="C20" s="9">
        <f>IF(B20&lt;2,"n/a",(A20/D20))</f>
        <v>0.21268771263915415</v>
      </c>
      <c r="D20" s="10">
        <f>IFERROR(ROUND(AVERAGE(H3:H17),2),"")</f>
        <v>1349.09</v>
      </c>
      <c r="E20" s="15" t="str">
        <f>IFERROR(ROUND(IF(B20&lt;2,"n/a",(IF(C20&lt;=25%,"n/a",AVERAGE(I3:I17)))),2),"n/a")</f>
        <v>n/a</v>
      </c>
      <c r="F20" s="10">
        <f>IFERROR(ROUND(MEDIAN(H3:H17),2),"")</f>
        <v>1344.18</v>
      </c>
      <c r="G20" s="11" t="str">
        <f>IFERROR(INDEX(G3:G17,MATCH(H20,H3:H17,0)),"")</f>
        <v>Marzo Vitorino – Ind Com de Móveis LTDA</v>
      </c>
      <c r="H20" s="12">
        <f>F3</f>
        <v>1008</v>
      </c>
    </row>
    <row r="22" spans="1:9" x14ac:dyDescent="0.25">
      <c r="G22" s="13" t="s">
        <v>20</v>
      </c>
      <c r="H22" s="14">
        <f>IF(C20&lt;=25%,D20,MIN(E20:F20))</f>
        <v>1349.09</v>
      </c>
    </row>
    <row r="23" spans="1:9" x14ac:dyDescent="0.25">
      <c r="G23" s="13" t="s">
        <v>6</v>
      </c>
      <c r="H23" s="14">
        <f>ROUND(H22,2)*D3</f>
        <v>215854.4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20</v>
      </c>
      <c r="B3" s="34" t="s">
        <v>62</v>
      </c>
      <c r="C3" s="36" t="s">
        <v>60</v>
      </c>
      <c r="D3" s="36">
        <v>50</v>
      </c>
      <c r="E3" s="37">
        <f>IF(C20&lt;=25%,D20,MIN(E20:F20))</f>
        <v>169.47</v>
      </c>
      <c r="F3" s="37">
        <f>MIN(H3:H17)</f>
        <v>53.9</v>
      </c>
      <c r="G3" s="5" t="s">
        <v>80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8"/>
      <c r="B4" s="35"/>
      <c r="C4" s="36"/>
      <c r="D4" s="36"/>
      <c r="E4" s="37"/>
      <c r="F4" s="37"/>
      <c r="G4" s="5" t="s">
        <v>81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8"/>
      <c r="B5" s="35"/>
      <c r="C5" s="36"/>
      <c r="D5" s="36"/>
      <c r="E5" s="37"/>
      <c r="F5" s="37"/>
      <c r="G5" s="5" t="s">
        <v>82</v>
      </c>
      <c r="H5" s="16">
        <v>340</v>
      </c>
      <c r="I5" s="17">
        <f t="shared" si="0"/>
        <v>340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489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21</v>
      </c>
      <c r="B3" s="34" t="s">
        <v>63</v>
      </c>
      <c r="C3" s="36" t="s">
        <v>60</v>
      </c>
      <c r="D3" s="36">
        <v>50</v>
      </c>
      <c r="E3" s="37">
        <f>IF(C20&lt;=25%,D20,MIN(E20:F20))</f>
        <v>203.92</v>
      </c>
      <c r="F3" s="37">
        <f>MIN(H3:H17)</f>
        <v>108.9</v>
      </c>
      <c r="G3" s="5" t="s">
        <v>84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8"/>
      <c r="B4" s="35"/>
      <c r="C4" s="36"/>
      <c r="D4" s="36"/>
      <c r="E4" s="37"/>
      <c r="F4" s="37"/>
      <c r="G4" s="5" t="s">
        <v>85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8"/>
      <c r="B5" s="35"/>
      <c r="C5" s="36"/>
      <c r="D5" s="36"/>
      <c r="E5" s="37"/>
      <c r="F5" s="37"/>
      <c r="G5" s="5" t="s">
        <v>86</v>
      </c>
      <c r="H5" s="16">
        <v>307.89999999999998</v>
      </c>
      <c r="I5" s="17">
        <f t="shared" si="0"/>
        <v>307.89999999999998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259.89999999999998</v>
      </c>
      <c r="I6" s="17">
        <f t="shared" si="0"/>
        <v>259.89999999999998</v>
      </c>
    </row>
    <row r="7" spans="1:9" x14ac:dyDescent="0.25">
      <c r="A7" s="38"/>
      <c r="B7" s="35"/>
      <c r="C7" s="36"/>
      <c r="D7" s="36"/>
      <c r="E7" s="37"/>
      <c r="F7" s="37"/>
      <c r="G7" s="5" t="s">
        <v>87</v>
      </c>
      <c r="H7" s="16">
        <v>379.9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22</v>
      </c>
      <c r="B3" s="34" t="s">
        <v>64</v>
      </c>
      <c r="C3" s="36" t="s">
        <v>57</v>
      </c>
      <c r="D3" s="36">
        <v>100</v>
      </c>
      <c r="E3" s="37">
        <f>IF(C20&lt;=25%,D20,MIN(E20:F20))</f>
        <v>64.989999999999995</v>
      </c>
      <c r="F3" s="37">
        <f>MIN(H3:H17)</f>
        <v>30.8</v>
      </c>
      <c r="G3" s="5" t="s">
        <v>88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8"/>
      <c r="B5" s="35"/>
      <c r="C5" s="36"/>
      <c r="D5" s="36"/>
      <c r="E5" s="37"/>
      <c r="F5" s="37"/>
      <c r="G5" s="5" t="s">
        <v>89</v>
      </c>
      <c r="H5" s="16">
        <v>83.25</v>
      </c>
      <c r="I5" s="17">
        <f t="shared" si="0"/>
        <v>83.25</v>
      </c>
    </row>
    <row r="6" spans="1:9" x14ac:dyDescent="0.25">
      <c r="A6" s="38"/>
      <c r="B6" s="35"/>
      <c r="C6" s="36"/>
      <c r="D6" s="36"/>
      <c r="E6" s="37"/>
      <c r="F6" s="37"/>
      <c r="G6" s="5" t="s">
        <v>90</v>
      </c>
      <c r="H6" s="16">
        <v>89.9</v>
      </c>
      <c r="I6" s="17">
        <f t="shared" si="0"/>
        <v>89.9</v>
      </c>
    </row>
    <row r="7" spans="1:9" x14ac:dyDescent="0.25">
      <c r="A7" s="38"/>
      <c r="B7" s="35"/>
      <c r="C7" s="36"/>
      <c r="D7" s="36"/>
      <c r="E7" s="37"/>
      <c r="F7" s="37"/>
      <c r="G7" s="5" t="s">
        <v>91</v>
      </c>
      <c r="H7" s="16">
        <v>122.9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25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26</v>
      </c>
      <c r="B3" s="34" t="s">
        <v>34</v>
      </c>
      <c r="C3" s="36" t="s">
        <v>7</v>
      </c>
      <c r="D3" s="36">
        <v>4</v>
      </c>
      <c r="E3" s="37">
        <f>IF(C20&lt;=25%,D20,MIN(E20:F20))</f>
        <v>314.5</v>
      </c>
      <c r="F3" s="37">
        <f>MIN(H3:H17)</f>
        <v>149.97</v>
      </c>
      <c r="G3" s="5" t="s">
        <v>42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36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8"/>
      <c r="B5" s="35"/>
      <c r="C5" s="36"/>
      <c r="D5" s="36"/>
      <c r="E5" s="37"/>
      <c r="F5" s="37"/>
      <c r="G5" s="5" t="s">
        <v>43</v>
      </c>
      <c r="H5" s="16">
        <v>330</v>
      </c>
      <c r="I5" s="17">
        <f t="shared" si="0"/>
        <v>330</v>
      </c>
    </row>
    <row r="6" spans="1:9" x14ac:dyDescent="0.25">
      <c r="A6" s="38"/>
      <c r="B6" s="35"/>
      <c r="C6" s="36"/>
      <c r="D6" s="36"/>
      <c r="E6" s="37"/>
      <c r="F6" s="37"/>
      <c r="G6" s="5" t="s">
        <v>38</v>
      </c>
      <c r="H6" s="16">
        <v>259</v>
      </c>
      <c r="I6" s="17">
        <f t="shared" si="0"/>
        <v>259</v>
      </c>
    </row>
    <row r="7" spans="1:9" x14ac:dyDescent="0.25">
      <c r="A7" s="38"/>
      <c r="B7" s="35"/>
      <c r="C7" s="36"/>
      <c r="D7" s="36"/>
      <c r="E7" s="37"/>
      <c r="F7" s="37"/>
      <c r="G7" s="5" t="s">
        <v>39</v>
      </c>
      <c r="H7" s="16">
        <v>1000</v>
      </c>
      <c r="I7" s="17">
        <f t="shared" si="0"/>
        <v>1000</v>
      </c>
    </row>
    <row r="8" spans="1:9" x14ac:dyDescent="0.25">
      <c r="A8" s="38"/>
      <c r="B8" s="35"/>
      <c r="C8" s="36"/>
      <c r="D8" s="36"/>
      <c r="E8" s="37"/>
      <c r="F8" s="37"/>
      <c r="G8" s="5" t="s">
        <v>44</v>
      </c>
      <c r="H8" s="16">
        <v>177.5</v>
      </c>
      <c r="I8" s="17">
        <f t="shared" si="0"/>
        <v>177.5</v>
      </c>
    </row>
    <row r="9" spans="1:9" x14ac:dyDescent="0.25">
      <c r="A9" s="38"/>
      <c r="B9" s="35"/>
      <c r="C9" s="36"/>
      <c r="D9" s="36"/>
      <c r="E9" s="37"/>
      <c r="F9" s="37"/>
      <c r="G9" s="5" t="s">
        <v>37</v>
      </c>
      <c r="H9" s="16">
        <v>160</v>
      </c>
      <c r="I9" s="17">
        <f t="shared" si="0"/>
        <v>160</v>
      </c>
    </row>
    <row r="10" spans="1:9" x14ac:dyDescent="0.25">
      <c r="A10" s="38"/>
      <c r="B10" s="35"/>
      <c r="C10" s="36"/>
      <c r="D10" s="36"/>
      <c r="E10" s="37"/>
      <c r="F10" s="37"/>
      <c r="G10" s="5" t="s">
        <v>45</v>
      </c>
      <c r="H10" s="16">
        <v>1342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46</v>
      </c>
      <c r="H11" s="16">
        <v>1650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41</v>
      </c>
      <c r="H12" s="16">
        <v>149.97</v>
      </c>
      <c r="I12" s="17">
        <f t="shared" si="0"/>
        <v>149.97</v>
      </c>
    </row>
    <row r="13" spans="1:9" x14ac:dyDescent="0.25">
      <c r="A13" s="38"/>
      <c r="B13" s="35"/>
      <c r="C13" s="36"/>
      <c r="D13" s="36"/>
      <c r="E13" s="37"/>
      <c r="F13" s="37"/>
      <c r="G13" s="5" t="s">
        <v>51</v>
      </c>
      <c r="H13" s="16">
        <v>299</v>
      </c>
      <c r="I13" s="17">
        <f t="shared" si="0"/>
        <v>299</v>
      </c>
    </row>
    <row r="14" spans="1:9" x14ac:dyDescent="0.25">
      <c r="A14" s="38"/>
      <c r="B14" s="35"/>
      <c r="C14" s="36"/>
      <c r="D14" s="36"/>
      <c r="E14" s="37"/>
      <c r="F14" s="37"/>
      <c r="G14" s="5" t="s">
        <v>53</v>
      </c>
      <c r="H14" s="16">
        <v>341.01</v>
      </c>
      <c r="I14" s="17">
        <f t="shared" si="0"/>
        <v>341.01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27</v>
      </c>
      <c r="B3" s="34" t="s">
        <v>35</v>
      </c>
      <c r="C3" s="36" t="s">
        <v>7</v>
      </c>
      <c r="D3" s="36">
        <v>2</v>
      </c>
      <c r="E3" s="37">
        <f>IF(C20&lt;=25%,D20,MIN(E20:F20))</f>
        <v>2336.66</v>
      </c>
      <c r="F3" s="37">
        <f>MIN(H3:H17)</f>
        <v>985</v>
      </c>
      <c r="G3" s="5" t="s">
        <v>43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8"/>
      <c r="B4" s="35"/>
      <c r="C4" s="36"/>
      <c r="D4" s="36"/>
      <c r="E4" s="37"/>
      <c r="F4" s="37"/>
      <c r="G4" s="5" t="s">
        <v>47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8"/>
      <c r="B5" s="35"/>
      <c r="C5" s="36"/>
      <c r="D5" s="36"/>
      <c r="E5" s="37"/>
      <c r="F5" s="37"/>
      <c r="G5" s="5" t="s">
        <v>48</v>
      </c>
      <c r="H5" s="16">
        <v>3775.12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36</v>
      </c>
      <c r="H6" s="16">
        <v>1449.99</v>
      </c>
      <c r="I6" s="17">
        <f t="shared" si="0"/>
        <v>1449.99</v>
      </c>
    </row>
    <row r="7" spans="1:9" x14ac:dyDescent="0.25">
      <c r="A7" s="38"/>
      <c r="B7" s="35"/>
      <c r="C7" s="36"/>
      <c r="D7" s="36"/>
      <c r="E7" s="37"/>
      <c r="F7" s="37"/>
      <c r="G7" s="5" t="s">
        <v>40</v>
      </c>
      <c r="H7" s="16">
        <v>1738.77</v>
      </c>
      <c r="I7" s="17">
        <f t="shared" si="0"/>
        <v>1738.77</v>
      </c>
    </row>
    <row r="8" spans="1:9" x14ac:dyDescent="0.25">
      <c r="A8" s="38"/>
      <c r="B8" s="35"/>
      <c r="C8" s="36"/>
      <c r="D8" s="36"/>
      <c r="E8" s="37"/>
      <c r="F8" s="37"/>
      <c r="G8" s="5" t="s">
        <v>49</v>
      </c>
      <c r="H8" s="16">
        <v>2582</v>
      </c>
      <c r="I8" s="17">
        <f t="shared" si="0"/>
        <v>2582</v>
      </c>
    </row>
    <row r="9" spans="1:9" x14ac:dyDescent="0.25">
      <c r="A9" s="38"/>
      <c r="B9" s="35"/>
      <c r="C9" s="36"/>
      <c r="D9" s="36"/>
      <c r="E9" s="37"/>
      <c r="F9" s="37"/>
      <c r="G9" s="5" t="s">
        <v>54</v>
      </c>
      <c r="H9" s="16">
        <v>3179.25</v>
      </c>
      <c r="I9" s="17">
        <f t="shared" si="0"/>
        <v>3179.25</v>
      </c>
    </row>
    <row r="10" spans="1:9" x14ac:dyDescent="0.25">
      <c r="A10" s="38"/>
      <c r="B10" s="35"/>
      <c r="C10" s="36"/>
      <c r="D10" s="36"/>
      <c r="E10" s="37"/>
      <c r="F10" s="37"/>
      <c r="G10" s="5" t="s">
        <v>50</v>
      </c>
      <c r="H10" s="16">
        <v>3484.8</v>
      </c>
      <c r="I10" s="17">
        <f t="shared" si="0"/>
        <v>3484.8</v>
      </c>
    </row>
    <row r="11" spans="1:9" x14ac:dyDescent="0.25">
      <c r="A11" s="38"/>
      <c r="B11" s="35"/>
      <c r="C11" s="36"/>
      <c r="D11" s="36"/>
      <c r="E11" s="37"/>
      <c r="F11" s="37"/>
      <c r="G11" s="5" t="s">
        <v>52</v>
      </c>
      <c r="H11" s="16">
        <v>3523.43</v>
      </c>
      <c r="I11" s="17">
        <f t="shared" si="0"/>
        <v>3523.43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view="pageBreakPreview" zoomScaleNormal="100" zoomScaleSheetLayoutView="100" workbookViewId="0">
      <selection activeCell="G17" sqref="G17"/>
    </sheetView>
  </sheetViews>
  <sheetFormatPr defaultRowHeight="15" x14ac:dyDescent="0.25"/>
  <cols>
    <col min="1" max="2" width="6.7109375" style="1" customWidth="1"/>
    <col min="3" max="3" width="36.7109375" style="4" customWidth="1"/>
    <col min="4" max="7" width="12.7109375" style="1" customWidth="1"/>
    <col min="8" max="9" width="15.7109375" style="1" customWidth="1"/>
    <col min="10" max="16384" width="9.140625" style="1"/>
  </cols>
  <sheetData>
    <row r="1" spans="1:9" ht="15.75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 ht="60" x14ac:dyDescent="0.25">
      <c r="A2" s="6" t="s">
        <v>29</v>
      </c>
      <c r="B2" s="6" t="s">
        <v>1</v>
      </c>
      <c r="C2" s="6" t="s">
        <v>2</v>
      </c>
      <c r="D2" s="6" t="s">
        <v>3</v>
      </c>
      <c r="E2" s="30" t="s">
        <v>154</v>
      </c>
      <c r="F2" s="30" t="s">
        <v>155</v>
      </c>
      <c r="G2" s="6" t="s">
        <v>153</v>
      </c>
      <c r="H2" s="6" t="s">
        <v>5</v>
      </c>
      <c r="I2" s="6" t="s">
        <v>30</v>
      </c>
    </row>
    <row r="3" spans="1:9" ht="409.5" x14ac:dyDescent="0.25">
      <c r="A3" s="23">
        <v>1</v>
      </c>
      <c r="B3" s="23">
        <f>Item1!A3</f>
        <v>1</v>
      </c>
      <c r="C3" s="25" t="str">
        <f>Item1!B3</f>
        <v>Mesa de escritório com tampo em formato “L”
- Obrigatório para este item o Certificado de Marca de  Conformidade à norma ABNT NBR 13966/2008 ou mais atualizada.
DIMENSÕES
- Largura do tampo: 1600 mm x 1400 mm;
- Profundidade do tampo: 600 mm;
- Altura da mesa: 735 mm, variação de ± 5 mm;
- Dimensões específicas conforme o desenho e respectiva legenda.
TAMPO
- Tampo único com espessura mínima de 25 mm, revestido em ambas as faces com laminado melamínico em cor argila;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tampo.</v>
      </c>
      <c r="D3" s="23" t="str">
        <f>Item1!C3</f>
        <v>unidade</v>
      </c>
      <c r="E3" s="23">
        <v>60</v>
      </c>
      <c r="F3" s="23">
        <v>100</v>
      </c>
      <c r="G3" s="23">
        <f>Item1!D3</f>
        <v>160</v>
      </c>
      <c r="H3" s="24">
        <f>Item1!E3</f>
        <v>1349.09</v>
      </c>
      <c r="I3" s="24">
        <f>ROUND((G3*H3),2)</f>
        <v>215854.4</v>
      </c>
    </row>
    <row r="4" spans="1:9" ht="409.5" x14ac:dyDescent="0.25">
      <c r="A4" s="23">
        <v>1</v>
      </c>
      <c r="B4" s="23">
        <f>Item2!A3</f>
        <v>2</v>
      </c>
      <c r="C4" s="25" t="str">
        <f>Item2!B3</f>
        <v>Mesa de escritório com tampo em formato “L”
- Obrigatório para este item o Certificado de Marca de Conformidade à norma ABNT NBR 13966/2008 ou mais atualizada.
DIMENSÕES
- Largura do tampo: 1400 mm x 1600 mm;
- Profundidade do tampo: 600 mm;
- Altura da mesa: 735 mm, variação de ± 5 mm;
- Dimensões específicas conforme o desenho e respectiva legenda.
TAMPO
- Tampo único com espessura mínima de 25 mm, revestido em ambas as faces com laminado melamínico em cor argila;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tampo.</v>
      </c>
      <c r="D4" s="23" t="str">
        <f>Item2!C3</f>
        <v>unidade</v>
      </c>
      <c r="E4" s="23">
        <v>60</v>
      </c>
      <c r="F4" s="23">
        <v>100</v>
      </c>
      <c r="G4" s="23">
        <f>Item2!D3</f>
        <v>160</v>
      </c>
      <c r="H4" s="24">
        <f>Item2!E3</f>
        <v>1349.09</v>
      </c>
      <c r="I4" s="24">
        <f t="shared" ref="I4:I17" si="0">ROUND((G4*H4),2)</f>
        <v>215854.4</v>
      </c>
    </row>
    <row r="5" spans="1:9" ht="409.5" x14ac:dyDescent="0.25">
      <c r="A5" s="23">
        <v>1</v>
      </c>
      <c r="B5" s="23">
        <f>Item3!A3</f>
        <v>3</v>
      </c>
      <c r="C5" s="25" t="str">
        <f>Item3!B3</f>
        <v>Mesa de escritório com tampo em formato retangular
DIMENSÕES
- Largura do tampo: 1200 mm;
- Profundidade do tampo: 600 mm;
- Altura da mesa: 735 mm, variação de ± 5 mm;
- Dimensões específicas conforme o desenho e respectiva legenda.
TAMPO
- Tampo único com espessura mínima de 25 mm, revestido em ambas as faces com laminado melamínico, em cor argila;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</v>
      </c>
      <c r="D5" s="23" t="str">
        <f>Item3!C3</f>
        <v>unidade</v>
      </c>
      <c r="E5" s="23">
        <v>50</v>
      </c>
      <c r="F5" s="23">
        <v>600</v>
      </c>
      <c r="G5" s="23">
        <f>Item3!D3</f>
        <v>650</v>
      </c>
      <c r="H5" s="24">
        <f>Item3!E3</f>
        <v>879.24</v>
      </c>
      <c r="I5" s="24">
        <f t="shared" si="0"/>
        <v>571506</v>
      </c>
    </row>
    <row r="6" spans="1:9" ht="409.5" x14ac:dyDescent="0.25">
      <c r="A6" s="23">
        <v>1</v>
      </c>
      <c r="B6" s="23">
        <f>Item4!A3</f>
        <v>4</v>
      </c>
      <c r="C6" s="25" t="str">
        <f>Item4!B3</f>
        <v>Mesa de escritório com tampo em formato retangular
DIMENSÕES
- Largura do tampo: 1000 mm;
- Profundidade do tampo: 600 mm;
- Altura da mesa: 735 mm, variação de ± 5 mm;
- Dimensões específicas conforme o desenho e respectiva legenda.
TAMPO
- Tampo único com espessura mínima de 25 mm, revestido em ambas as faces com laminado melamínico, em cor argila;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</v>
      </c>
      <c r="D6" s="23" t="str">
        <f>Item4!C3</f>
        <v>unidade</v>
      </c>
      <c r="E6" s="23">
        <v>30</v>
      </c>
      <c r="F6" s="23">
        <v>80</v>
      </c>
      <c r="G6" s="23">
        <f>Item4!D3</f>
        <v>110</v>
      </c>
      <c r="H6" s="24">
        <f>Item4!E3</f>
        <v>651.28</v>
      </c>
      <c r="I6" s="24">
        <f t="shared" si="0"/>
        <v>71640.800000000003</v>
      </c>
    </row>
    <row r="7" spans="1:9" ht="409.5" x14ac:dyDescent="0.25">
      <c r="A7" s="23">
        <v>1</v>
      </c>
      <c r="B7" s="23">
        <f>Item5!A3</f>
        <v>5</v>
      </c>
      <c r="C7" s="25" t="str">
        <f>Item5!B3</f>
        <v>Mesa de escritório com tampo em formato peninsular
DIMENSÕES
- Largura do tampo: 1800 mm x 1600 mm;
- Profundidade do tampo: 600 mm;
- Altura da mesa: 735 mm, variação de ± 5 mm;
- Dimensões específicas conforme o desenho e respectiva legenda.
TAMPO
- Tampo único com espessura mínima de 25 mm, revestido em ambas as faces com laminado melamínico em cor argila;
- Lado de maior Largura com extremidade em formato peninsular;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</v>
      </c>
      <c r="D7" s="23" t="str">
        <f>Item5!C3</f>
        <v>unidade</v>
      </c>
      <c r="E7" s="23">
        <v>5</v>
      </c>
      <c r="F7" s="23">
        <v>40</v>
      </c>
      <c r="G7" s="23">
        <f>Item5!D3</f>
        <v>45</v>
      </c>
      <c r="H7" s="24">
        <f>Item5!E3</f>
        <v>1341.15</v>
      </c>
      <c r="I7" s="24">
        <f t="shared" si="0"/>
        <v>60351.75</v>
      </c>
    </row>
    <row r="8" spans="1:9" ht="409.5" x14ac:dyDescent="0.25">
      <c r="A8" s="23">
        <v>1</v>
      </c>
      <c r="B8" s="23">
        <f>Item6!A3</f>
        <v>6</v>
      </c>
      <c r="C8" s="25" t="str">
        <f>Item6!B3</f>
        <v>Mesa de escritório com tampo em formato peninsular
DIMENSÕES
- Largura do tampo: 1600 mm x 1800 mm;
- Profundidade do tampo: 600 mm;
- Altura da mesa: 735 mm, variação de ± 5 mm;
- Dimensões específicas conforme o desenho e respectiva legenda.
TAMPO
- Tampo único com espessura mínima de 25 mm, revestido em ambas as faces com laminado melamínico em cor argila;
- Lado de maior Largura com extremidade em formato peninsular;
- Bordas retas em termoplástico, na mesma cor do tampo, com espessura mínima de 2 mm;
- Painel frontal com espessura mínima de 18 mm, revestido em ambas as faces com laminado melamínico em cor cinza.
ESTRUTURA
- Estruturas laterais metálicas, com calha vertical metálica para passagem de fiação e tampa com saque frontal, pintadas em epóxi-pó por processo eletrostático;
- Tratamento anti-corrosivo à base de fosfato de zinco.
- Todos os componentes metálicos aparentes em cor cinza;
- Sapatas reguladoras de nível em nylon ou polímero resistente.
SUPORTES
- Saída de cabeamento da parte inferior para a superior com tampa removível, produzida com divisores que permitam a individualização dos circuitos;
- Calha horizontal para cabeamento sob o tampo</v>
      </c>
      <c r="D8" s="23" t="str">
        <f>Item6!C3</f>
        <v>unidade</v>
      </c>
      <c r="E8" s="23">
        <v>5</v>
      </c>
      <c r="F8" s="23">
        <v>40</v>
      </c>
      <c r="G8" s="23">
        <f>Item6!D3</f>
        <v>45</v>
      </c>
      <c r="H8" s="24">
        <f>Item6!E3</f>
        <v>1341.15</v>
      </c>
      <c r="I8" s="24">
        <f t="shared" si="0"/>
        <v>60351.75</v>
      </c>
    </row>
    <row r="9" spans="1:9" ht="405" x14ac:dyDescent="0.25">
      <c r="A9" s="23">
        <v>1</v>
      </c>
      <c r="B9" s="23">
        <f>Item7!A3</f>
        <v>7</v>
      </c>
      <c r="C9" s="25" t="str">
        <f>Item7!B3</f>
        <v>Mesa de reunião com tampo em formato circular
DIMENSÕES
- Diâmetro do tampo: 1200 mm;
- Altura da mesa: 735 mm, variação de ± 5 mm;
TAMPO
- Tampo único com espessura mínima de 25 mm, revestido em ambas as faces com laminado melamínico em cor argila;
- Bordas retas em termoplástico, na mesma cor do tampo, com espessura mínima de 2 mm;
ESTRUTURA
- Estrutura de coluna central com no mínimo 4 patas ou colunas unidas por travessas;
- Todos os componentes metálicos aparentes em cor cinza, pintados em epóxi-pó por processo eletrostático;
- Tratamento anti-corrosivo à base de fosfato de zinco.
- Sapatas reguladoras de nível em nylon ou polímero resistente</v>
      </c>
      <c r="D9" s="23" t="str">
        <f>Item7!C3</f>
        <v>unidade</v>
      </c>
      <c r="E9" s="23">
        <v>20</v>
      </c>
      <c r="F9" s="23">
        <v>50</v>
      </c>
      <c r="G9" s="23">
        <f>Item7!D3</f>
        <v>70</v>
      </c>
      <c r="H9" s="24">
        <f>Item7!E3</f>
        <v>941.84</v>
      </c>
      <c r="I9" s="24">
        <f t="shared" si="0"/>
        <v>65928.800000000003</v>
      </c>
    </row>
    <row r="10" spans="1:9" ht="409.5" x14ac:dyDescent="0.25">
      <c r="A10" s="23">
        <v>1</v>
      </c>
      <c r="B10" s="23">
        <f>Item8!A3</f>
        <v>8</v>
      </c>
      <c r="C10" s="25" t="str">
        <f>Item8!B3</f>
        <v>Mesa de reunião com tampo em formato elíptico
DIMENSÕES
- Largura do tampo: 2400 mm x 1200 mm;
- Altura da mesa: 735 mm, variação de ± 5 mm;
- Dimensões específicas conforme o desenho e respectiva legenda.
TAMPO
- Tampo com espessura mínima de 25 mm, revestido em ambas as faces com laminado melamínico em cor argila;
- Bordas retas em termoplástico, na mesma cor do tampo, com espessura mínima de 2 mm;
- Painel frontal com espessura mínima de 18 mm, revestido em ambas as faces com laminado melamínico em cor cinza.
ESTRUTURA
- Estruturas laterais metálicas com calha vertical metálica para passagem de fiação e tampa com saque frontal;
- Todos os componentes metálicos aparentes em cor cinza, pintados em epóxi-pó por processo eletrostático;
- Tratamento anti-corrosivo à base de fosfato de zinco;
- Sapatas reguladoras de nível em nylon ou polímero resistente.
SUPORTES
- Tampa basculante metálica, no centro do tampo, equipada internamente com no mínimo 3 tomadas de energia e 3 de lógica/telefonia</v>
      </c>
      <c r="D10" s="23" t="str">
        <f>Item8!C3</f>
        <v>unidade</v>
      </c>
      <c r="E10" s="23">
        <v>5</v>
      </c>
      <c r="F10" s="23">
        <v>20</v>
      </c>
      <c r="G10" s="23">
        <f>Item8!D3</f>
        <v>25</v>
      </c>
      <c r="H10" s="24">
        <f>Item8!E3</f>
        <v>1467.15</v>
      </c>
      <c r="I10" s="24">
        <f t="shared" si="0"/>
        <v>36678.75</v>
      </c>
    </row>
    <row r="11" spans="1:9" ht="409.5" x14ac:dyDescent="0.25">
      <c r="A11" s="23">
        <v>1</v>
      </c>
      <c r="B11" s="23">
        <f>Item9!A3</f>
        <v>9</v>
      </c>
      <c r="C11" s="25" t="str">
        <f>Item9!B3</f>
        <v>Gaveteiro volante
DIMENSÕES
- Largura do gaveteiro: 390 mm, variação de ± 30 mm;
- Profundidade do gaveteiro: 520 mm, variação de ± 30 mm;
- Altura do gaveteiro: 600 mm, variação de ± 10 mm.
GAVETEIRO
- Corpo confeccionado em MDP revestido em laminado melamínico em ambas as faces, com espessura mínima de 18 mm, tampo em cor argila e laterais em cor cinza;
- Bordas protegidas por perfil termoplástico na mesma cor;
- Rodízios de duplo giro injetados em nylon.
GAVETAS
- 2 (duas) gavetas simples e 1 (uma) gaveta para pastas suspensas, confeccionadas em MDP revestidas em laminado melamínico em ambas as faces, tampo frontal com espessura mínima de 15 mm, tampos em cor argila e laterais em cor cinza;
- Abertura por meio de trilhos com corrediças de aço, com roldanas de nylon de alta resistência e baixo ruído;
- Sistema de travamento de fim de curso;
- Com puxadores metálicos, com acabamento em cor cinza, ou abertura por calha lateral;
- Fechadura de comando único, com trava simultânea de todas as gavetas;
- Chave escamoteável com cópia</v>
      </c>
      <c r="D11" s="23" t="str">
        <f>Item9!C3</f>
        <v>unidade</v>
      </c>
      <c r="E11" s="23">
        <v>130</v>
      </c>
      <c r="F11" s="23">
        <v>880</v>
      </c>
      <c r="G11" s="23">
        <f>Item9!D3</f>
        <v>1010</v>
      </c>
      <c r="H11" s="24">
        <f>Item9!E3</f>
        <v>706.95</v>
      </c>
      <c r="I11" s="24">
        <f t="shared" si="0"/>
        <v>714019.5</v>
      </c>
    </row>
    <row r="12" spans="1:9" ht="409.5" x14ac:dyDescent="0.25">
      <c r="A12" s="23">
        <v>2</v>
      </c>
      <c r="B12" s="23">
        <f>Item10!A3</f>
        <v>10</v>
      </c>
      <c r="C12" s="25" t="str">
        <f>Item10!B3</f>
        <v>Armário alto
Obrigatório para este item o Certificado de Marca de Conformidade à norma ABNT NBR 13961/2010 ou mais atualizada.
DIMENSÕES
- Largura do armário: 800 mm, variação de ± 10 mm;
- Profundidade do armário: 500 mm, variação de ± 10 mm;
- Altura do armário: 2010 mm, variação de ± 10 mm.
CORPO
- Corpo confeccionado em MDP revestido em laminado melamínico em ambas as faces, com espessura mínima de 18 mm, em cor argila;
- Tampo superior com espessura mínima de 25 mm;
- Bordas em termoplástico da mesma cor do tampo, com espessura mínima de 2 mm;
- Laterais com espessura mínima de 18 mm;
- Fundo com espessura mínima de 15 mm;
- Base em quadro de aço, dotada de sistema de nivelamento.
PORTAS
- Portas confeccionadas em MDP revestido em laminado melamínico em ambas as faces, com espessura mínima de 18 mm, em cor argila;
- Bordas em termoplástico da mesma cor;
- Portas fixadas com dobradiças de aço, com ângulo mínimo de 105º;
- Puxadores em metal, tipo alça, com acabamento em cor cinza;
- Fechadura metálica com travamento simultâneo das 2 portas;
- Chave escamoteável com cópia.
PRATELEIRAS
- 4 prateleiras com espessura mínima de 18 mm;
- Confeccionadas em MDP e revestidas em laminado melamínico em ambas as faces, em cor argila;
- Bordas protegidas por perfil em termoplástico, na mesma cor da prateleira;
- Regulagem de altura por pinos nas laterais internas do armário.</v>
      </c>
      <c r="D12" s="23" t="str">
        <f>Item10!C3</f>
        <v>unidade</v>
      </c>
      <c r="E12" s="23">
        <v>50</v>
      </c>
      <c r="F12" s="23">
        <v>300</v>
      </c>
      <c r="G12" s="23">
        <f>Item10!D3</f>
        <v>350</v>
      </c>
      <c r="H12" s="24">
        <f>Item10!E3</f>
        <v>1715.84</v>
      </c>
      <c r="I12" s="24">
        <f t="shared" si="0"/>
        <v>600544</v>
      </c>
    </row>
    <row r="13" spans="1:9" ht="409.5" x14ac:dyDescent="0.25">
      <c r="A13" s="23">
        <v>2</v>
      </c>
      <c r="B13" s="23">
        <f>Item11!A3</f>
        <v>11</v>
      </c>
      <c r="C13" s="25" t="str">
        <f>Item11!B3</f>
        <v xml:space="preserve">Armário baixo
Obrigatório para este item o Certificado de Marca de Conformidade à norma ABNT NBR 13961/2010 ou mais atualizada.
DIMENSÕES 
- Largura do armário: 800 mm, variação de ± 10 mm; 
- Profundidade do armário: 600 mm; 
- Altura do armário: 735 mm, variação de ± 5 mm. 
CORPO 
- Corpo confeccionado em MDP revestido em laminado melamínico em ambas as faces, com espessura mínima de 18 mm, em cor argila; 
- Tampo superior com espessura mínima de 25 mm; 
- Bordas em termoplástico da mesma cor do tampo, com espessura mínima de 2 mm; 
- Laterais com espessura mínima de 18 mm; 
- Fundo com espessura mínima de 15 mm; 
- Base em quadro de aço, dotada de sistema de nivelamento. 
PORTAS 
- Portas confeccionadas em MDP revestido em laminado melamínico em ambas as faces, com espessura mínima de 18 mm, em cor argila; 
- Bordas em termoplástico da mesma cor; 
- Portas fixadas com dobradiças de aço, com ângulo mínimo de 105º; 
- Puxadores em metal, tipo alça, com acabamento em cor cinza; 
- Fechadura metálica com travamento simultâneo das 2 portas; 
- Chave escamoteável com cópia. 
PRATELEIRA 
- Espessura mínima de 18 mm; 
- Confeccionada em MDP e revestida em laminado melamínico em ambas as faces, em cor argila; 
- Bordas protegidas por perfil em termoplástico, na mesma cor da prateleira; 
- Regulagem de altura por pinos nas laterais internas do armário. </v>
      </c>
      <c r="D13" s="23" t="str">
        <f>Item11!C3</f>
        <v>unidade</v>
      </c>
      <c r="E13" s="23">
        <v>20</v>
      </c>
      <c r="F13" s="23">
        <v>200</v>
      </c>
      <c r="G13" s="23">
        <f>Item11!D3</f>
        <v>220</v>
      </c>
      <c r="H13" s="24">
        <f>Item11!E3</f>
        <v>661.68</v>
      </c>
      <c r="I13" s="24">
        <f t="shared" si="0"/>
        <v>145569.60000000001</v>
      </c>
    </row>
    <row r="14" spans="1:9" ht="409.5" x14ac:dyDescent="0.25">
      <c r="A14" s="23">
        <v>3</v>
      </c>
      <c r="B14" s="23">
        <f>Item12!A3</f>
        <v>12</v>
      </c>
      <c r="C14" s="25" t="str">
        <f>Item12!B3</f>
        <v>Cadeira giratória operacional com espaldar médio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40cm;
- Medidas mínimas do assento - Largura: 42cm, Profundidade da superfície: 44cm;
- Encosto com regulagem da altura do apoio lombar em pelo menos quatro posições, do deslocamento horizontal em pelo menos três posições e da inclinação;
- Profundidade do assento regulável em pelo menos três posições;
- Mecanismo de relax excêntrico (livre flutuação) com opção de bloqueio em qualquer ângulo;
- Contra-encosto em polímero de alta resistência, na cor preta;
- Ligeira inclinação na parte frontal do assento.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profundidade;
- Leve inclinação na parte frontal do apoio.
MANUAL
- Toda unidade deverá vir acompanhada de manual de instruções para utilização de todos os mecanismos da cadeira</v>
      </c>
      <c r="D14" s="23" t="str">
        <f>Item12!C3</f>
        <v>unidade</v>
      </c>
      <c r="E14" s="23">
        <v>120</v>
      </c>
      <c r="F14" s="23">
        <v>800</v>
      </c>
      <c r="G14" s="23">
        <f>Item12!D3</f>
        <v>920</v>
      </c>
      <c r="H14" s="24">
        <f>Item12!E3</f>
        <v>1414.17</v>
      </c>
      <c r="I14" s="24">
        <f t="shared" si="0"/>
        <v>1301036.3999999999</v>
      </c>
    </row>
    <row r="15" spans="1:9" ht="409.5" x14ac:dyDescent="0.25">
      <c r="A15" s="23">
        <v>3</v>
      </c>
      <c r="B15" s="23">
        <f>Item13!A3</f>
        <v>13</v>
      </c>
      <c r="C15" s="25" t="str">
        <f>Item13!B3</f>
        <v>Cadeira de diálogo, sem braços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50kg/m3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40cm;
- Medidas mínimas do assento - Largura: 42cm, Profundidade da superfície: 44cm;
- Altura da face superior do assento em relação ao piso: mínimo de 45cm;
- Contra-encosto em polímero de alta resistência, na cor preta;
- Ligeira inclinação na parte frontal do assento.
ESTRUTURA
- Base fixa contínua, semi trapezoidal, tipo "S", confeccionada em alumínio polido ou aço cromado;
- Altura total em relação ao piso: mínima de 85cm;
- Com sapatas estabilizadoras deslizantes em polímero.
OBSERVAÇÕES
- Item da mesma marca e linha (ou linha superior) do Item 12</v>
      </c>
      <c r="D15" s="23" t="str">
        <f>Item13!C3</f>
        <v>unidade</v>
      </c>
      <c r="E15" s="23">
        <v>50</v>
      </c>
      <c r="F15" s="23">
        <v>800</v>
      </c>
      <c r="G15" s="23">
        <f>Item13!D3</f>
        <v>850</v>
      </c>
      <c r="H15" s="24">
        <f>Item13!E3</f>
        <v>972.33</v>
      </c>
      <c r="I15" s="24">
        <f t="shared" si="0"/>
        <v>826480.5</v>
      </c>
    </row>
    <row r="16" spans="1:9" ht="409.5" x14ac:dyDescent="0.25">
      <c r="A16" s="23">
        <v>4</v>
      </c>
      <c r="B16" s="23">
        <f>Item14!A3</f>
        <v>14</v>
      </c>
      <c r="C16" s="25" t="str">
        <f>Item14!B3</f>
        <v>Cadeira giratória operacional com espaldar alto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 pelo menos quatro posições, do deslocamento horizontal em pelo menos três posições e da inclinação;
- Profundidade do assento regulável em pelo menos três posições;
- Mecanismo de relax excêntrico (livre flutuação) com opção de bloqueio em qualquer ângulo;
- Contra-encosto em polímero de alta resistência, na cor preta;
- Ligeira inclinação na parte frontal do assento.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</v>
      </c>
      <c r="D16" s="23" t="str">
        <f>Item14!C3</f>
        <v>unidade</v>
      </c>
      <c r="E16" s="23">
        <v>20</v>
      </c>
      <c r="F16" s="23">
        <v>60</v>
      </c>
      <c r="G16" s="23">
        <f>Item14!D3</f>
        <v>80</v>
      </c>
      <c r="H16" s="24">
        <f>Item14!E3</f>
        <v>2265.6</v>
      </c>
      <c r="I16" s="24">
        <f t="shared" si="0"/>
        <v>181248</v>
      </c>
    </row>
    <row r="17" spans="1:9" ht="409.5" x14ac:dyDescent="0.25">
      <c r="A17" s="23">
        <v>4</v>
      </c>
      <c r="B17" s="23">
        <f>Item15!A3</f>
        <v>15</v>
      </c>
      <c r="C17" s="25" t="str">
        <f>Item15!B3</f>
        <v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v>
      </c>
      <c r="D17" s="23" t="str">
        <f>Item15!C3</f>
        <v>unidade</v>
      </c>
      <c r="E17" s="23">
        <v>20</v>
      </c>
      <c r="F17" s="23">
        <v>20</v>
      </c>
      <c r="G17" s="23">
        <f>Item15!D3</f>
        <v>40</v>
      </c>
      <c r="H17" s="24">
        <f>Item15!E3</f>
        <v>4065.18</v>
      </c>
      <c r="I17" s="24">
        <f t="shared" si="0"/>
        <v>162607.20000000001</v>
      </c>
    </row>
    <row r="18" spans="1:9" x14ac:dyDescent="0.25">
      <c r="A18" s="26"/>
      <c r="B18" s="26"/>
      <c r="C18" s="27"/>
      <c r="D18" s="28"/>
      <c r="E18" s="28"/>
      <c r="F18" s="28"/>
      <c r="G18" s="28"/>
      <c r="H18" s="29"/>
      <c r="I18" s="29"/>
    </row>
    <row r="19" spans="1:9" ht="15.75" thickBot="1" x14ac:dyDescent="0.3"/>
    <row r="20" spans="1:9" ht="16.5" thickTop="1" thickBot="1" x14ac:dyDescent="0.3">
      <c r="D20" s="20"/>
      <c r="E20" s="21" t="s">
        <v>33</v>
      </c>
      <c r="F20" s="22">
        <f>SUM(I:I)</f>
        <v>5229671.8500000006</v>
      </c>
    </row>
    <row r="21" spans="1:9" ht="15.75" thickTop="1" x14ac:dyDescent="0.25">
      <c r="F21" s="3"/>
    </row>
    <row r="22" spans="1:9" x14ac:dyDescent="0.25">
      <c r="D22" s="18" t="s">
        <v>32</v>
      </c>
      <c r="E22" s="19">
        <f>MAX(A:A)</f>
        <v>4</v>
      </c>
    </row>
    <row r="24" spans="1:9" x14ac:dyDescent="0.25">
      <c r="D24" s="18" t="s">
        <v>31</v>
      </c>
      <c r="E24" s="19">
        <v>1</v>
      </c>
      <c r="F24" s="31">
        <f>SUMIF(A:A,E24,I:I)</f>
        <v>2012186.1500000001</v>
      </c>
    </row>
    <row r="25" spans="1:9" x14ac:dyDescent="0.25">
      <c r="D25" s="18" t="s">
        <v>31</v>
      </c>
      <c r="E25" s="19">
        <v>2</v>
      </c>
      <c r="F25" s="31">
        <f>SUMIF(A:A,E25,I:I)</f>
        <v>746113.6</v>
      </c>
    </row>
    <row r="26" spans="1:9" x14ac:dyDescent="0.25">
      <c r="D26" s="18" t="s">
        <v>31</v>
      </c>
      <c r="E26" s="19">
        <v>3</v>
      </c>
      <c r="F26" s="31">
        <f>SUMIF(A:A,E26,I:I)</f>
        <v>2127516.9</v>
      </c>
    </row>
    <row r="27" spans="1:9" x14ac:dyDescent="0.25">
      <c r="D27" s="18" t="s">
        <v>31</v>
      </c>
      <c r="E27" s="19">
        <v>4</v>
      </c>
      <c r="F27" s="31">
        <f>SUMIF(A:A,E27,I:I)</f>
        <v>343855.2</v>
      </c>
    </row>
  </sheetData>
  <mergeCells count="1">
    <mergeCell ref="A1:I1"/>
  </mergeCells>
  <pageMargins left="0.51181102362204722" right="0.51181102362204722" top="1.2598425196850394" bottom="0.78740157480314965" header="0.31496062992125984" footer="0.31496062992125984"/>
  <pageSetup paperSize="9" scale="65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3</v>
      </c>
      <c r="B3" s="34" t="s">
        <v>94</v>
      </c>
      <c r="C3" s="36" t="s">
        <v>7</v>
      </c>
      <c r="D3" s="36">
        <f>50+600</f>
        <v>650</v>
      </c>
      <c r="E3" s="37">
        <f>IF(C20&lt;=25%,D20,MIN(E20:F20))</f>
        <v>879.24</v>
      </c>
      <c r="F3" s="37">
        <f>MIN(H3:H17)</f>
        <v>516</v>
      </c>
      <c r="G3" s="5" t="s">
        <v>107</v>
      </c>
      <c r="H3" s="16">
        <v>516</v>
      </c>
      <c r="I3" s="17">
        <f>IF(H3="","",(IF($C$20&lt;25%,"n/a",IF(H3&lt;=($D$20+$A$20),H3,"Descartado"))))</f>
        <v>516</v>
      </c>
    </row>
    <row r="4" spans="1:9" x14ac:dyDescent="0.25">
      <c r="A4" s="38"/>
      <c r="B4" s="35"/>
      <c r="C4" s="36"/>
      <c r="D4" s="36"/>
      <c r="E4" s="37"/>
      <c r="F4" s="37"/>
      <c r="G4" s="5" t="s">
        <v>108</v>
      </c>
      <c r="H4" s="16">
        <v>1100</v>
      </c>
      <c r="I4" s="17">
        <f t="shared" ref="I4:I17" si="0">IF(H4="","",(IF($C$20&lt;25%,"n/a",IF(H4&lt;=($D$20+$A$20),H4,"Descartado"))))</f>
        <v>1100</v>
      </c>
    </row>
    <row r="5" spans="1:9" x14ac:dyDescent="0.25">
      <c r="A5" s="38"/>
      <c r="B5" s="35"/>
      <c r="C5" s="36"/>
      <c r="D5" s="36"/>
      <c r="E5" s="37"/>
      <c r="F5" s="37"/>
      <c r="G5" s="5" t="s">
        <v>111</v>
      </c>
      <c r="H5" s="16">
        <v>706.71</v>
      </c>
      <c r="I5" s="17">
        <f t="shared" si="0"/>
        <v>706.71</v>
      </c>
    </row>
    <row r="6" spans="1:9" x14ac:dyDescent="0.25">
      <c r="A6" s="38"/>
      <c r="B6" s="35"/>
      <c r="C6" s="36"/>
      <c r="D6" s="36"/>
      <c r="E6" s="37"/>
      <c r="F6" s="37"/>
      <c r="G6" s="5" t="s">
        <v>112</v>
      </c>
      <c r="H6" s="16">
        <v>967.4</v>
      </c>
      <c r="I6" s="17">
        <f t="shared" si="0"/>
        <v>967.4</v>
      </c>
    </row>
    <row r="7" spans="1:9" x14ac:dyDescent="0.25">
      <c r="A7" s="38"/>
      <c r="B7" s="35"/>
      <c r="C7" s="36"/>
      <c r="D7" s="36"/>
      <c r="E7" s="37"/>
      <c r="F7" s="37"/>
      <c r="G7" s="5" t="s">
        <v>113</v>
      </c>
      <c r="H7" s="16">
        <v>2732.14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 t="s">
        <v>114</v>
      </c>
      <c r="H8" s="16">
        <v>2748.43</v>
      </c>
      <c r="I8" s="17" t="str">
        <f t="shared" si="0"/>
        <v>Descartado</v>
      </c>
    </row>
    <row r="9" spans="1:9" x14ac:dyDescent="0.25">
      <c r="A9" s="38"/>
      <c r="B9" s="35"/>
      <c r="C9" s="36"/>
      <c r="D9" s="36"/>
      <c r="E9" s="37"/>
      <c r="F9" s="37"/>
      <c r="G9" s="5" t="s">
        <v>115</v>
      </c>
      <c r="H9" s="16">
        <v>942.54</v>
      </c>
      <c r="I9" s="17">
        <f t="shared" si="0"/>
        <v>942.54</v>
      </c>
    </row>
    <row r="10" spans="1:9" x14ac:dyDescent="0.25">
      <c r="A10" s="38"/>
      <c r="B10" s="35"/>
      <c r="C10" s="36"/>
      <c r="D10" s="36"/>
      <c r="E10" s="37"/>
      <c r="F10" s="37"/>
      <c r="G10" s="5" t="s">
        <v>116</v>
      </c>
      <c r="H10" s="16">
        <v>1042.81</v>
      </c>
      <c r="I10" s="17">
        <f t="shared" si="0"/>
        <v>1042.81</v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881.9075029395492</v>
      </c>
      <c r="B20" s="8">
        <f>COUNT(H3:H17)</f>
        <v>8</v>
      </c>
      <c r="C20" s="9">
        <f>IF(B20&lt;2,"n/a",(A20/D20))</f>
        <v>0.65593715354373316</v>
      </c>
      <c r="D20" s="10">
        <f>IFERROR(ROUND(AVERAGE(H3:H17),2),"")</f>
        <v>1344.5</v>
      </c>
      <c r="E20" s="15">
        <f>IFERROR(ROUND(IF(B20&lt;2,"n/a",(IF(C20&lt;=25%,"n/a",AVERAGE(I3:I17)))),2),"n/a")</f>
        <v>879.24</v>
      </c>
      <c r="F20" s="10">
        <f>IFERROR(ROUND(MEDIAN(H3:H17),2),"")</f>
        <v>1005.11</v>
      </c>
      <c r="G20" s="11" t="str">
        <f>IFERROR(INDEX(G3:G17,MATCH(H20,H3:H17,0)),"")</f>
        <v>Marzo Vitorino – Ind Com de Móveis LTDA</v>
      </c>
      <c r="H20" s="12">
        <f>F3</f>
        <v>516</v>
      </c>
    </row>
    <row r="22" spans="1:9" x14ac:dyDescent="0.25">
      <c r="G22" s="13" t="s">
        <v>20</v>
      </c>
      <c r="H22" s="14">
        <f>IF(C20&lt;=25%,D20,MIN(E20:F20))</f>
        <v>879.24</v>
      </c>
    </row>
    <row r="23" spans="1:9" x14ac:dyDescent="0.25">
      <c r="G23" s="13" t="s">
        <v>6</v>
      </c>
      <c r="H23" s="14">
        <f>ROUND(H22,2)*D3</f>
        <v>571506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4</v>
      </c>
      <c r="B3" s="34" t="s">
        <v>95</v>
      </c>
      <c r="C3" s="36" t="s">
        <v>7</v>
      </c>
      <c r="D3" s="36">
        <f>30+80</f>
        <v>110</v>
      </c>
      <c r="E3" s="37">
        <f>IF(C20&lt;=25%,D20,MIN(E20:F20))</f>
        <v>651.28</v>
      </c>
      <c r="F3" s="37">
        <f>MIN(H3:H17)</f>
        <v>507.12</v>
      </c>
      <c r="G3" s="5" t="s">
        <v>107</v>
      </c>
      <c r="H3" s="16">
        <v>516</v>
      </c>
      <c r="I3" s="17">
        <f>IF(H3="","",(IF($C$20&lt;25%,"n/a",IF(H3&lt;=($D$20+$A$20),H3,"Descartado"))))</f>
        <v>516</v>
      </c>
    </row>
    <row r="4" spans="1:9" x14ac:dyDescent="0.25">
      <c r="A4" s="38"/>
      <c r="B4" s="35"/>
      <c r="C4" s="36"/>
      <c r="D4" s="36"/>
      <c r="E4" s="37"/>
      <c r="F4" s="37"/>
      <c r="G4" s="5" t="s">
        <v>108</v>
      </c>
      <c r="H4" s="16">
        <v>1040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117</v>
      </c>
      <c r="H5" s="16">
        <v>507.12</v>
      </c>
      <c r="I5" s="17">
        <f t="shared" si="0"/>
        <v>507.12</v>
      </c>
    </row>
    <row r="6" spans="1:9" x14ac:dyDescent="0.25">
      <c r="A6" s="38"/>
      <c r="B6" s="35"/>
      <c r="C6" s="36"/>
      <c r="D6" s="36"/>
      <c r="E6" s="37"/>
      <c r="F6" s="37"/>
      <c r="G6" s="5" t="s">
        <v>118</v>
      </c>
      <c r="H6" s="16">
        <v>773.08</v>
      </c>
      <c r="I6" s="17">
        <f t="shared" si="0"/>
        <v>773.08</v>
      </c>
    </row>
    <row r="7" spans="1:9" x14ac:dyDescent="0.25">
      <c r="A7" s="38"/>
      <c r="B7" s="35"/>
      <c r="C7" s="36"/>
      <c r="D7" s="36"/>
      <c r="E7" s="37"/>
      <c r="F7" s="37"/>
      <c r="G7" s="5" t="s">
        <v>119</v>
      </c>
      <c r="H7" s="16">
        <v>808.91</v>
      </c>
      <c r="I7" s="17">
        <f t="shared" si="0"/>
        <v>808.91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223.41071285862745</v>
      </c>
      <c r="B20" s="8">
        <f>COUNT(H3:H17)</f>
        <v>5</v>
      </c>
      <c r="C20" s="9">
        <f>IF(B20&lt;2,"n/a",(A20/D20))</f>
        <v>0.3064534757052309</v>
      </c>
      <c r="D20" s="10">
        <f>IFERROR(ROUND(AVERAGE(H3:H17),2),"")</f>
        <v>729.02</v>
      </c>
      <c r="E20" s="15">
        <f>IFERROR(ROUND(IF(B20&lt;2,"n/a",(IF(C20&lt;=25%,"n/a",AVERAGE(I3:I17)))),2),"n/a")</f>
        <v>651.28</v>
      </c>
      <c r="F20" s="10">
        <f>IFERROR(ROUND(MEDIAN(H3:H17),2),"")</f>
        <v>773.08</v>
      </c>
      <c r="G20" s="11" t="str">
        <f>IFERROR(INDEX(G3:G17,MATCH(H20,H3:H17,0)),"")</f>
        <v>PE09/2023-Ins Fed AMAPA-item30- 1º SEAOPEN (atualizada)</v>
      </c>
      <c r="H20" s="12">
        <f>F3</f>
        <v>507.12</v>
      </c>
    </row>
    <row r="22" spans="1:9" x14ac:dyDescent="0.25">
      <c r="G22" s="13" t="s">
        <v>20</v>
      </c>
      <c r="H22" s="14">
        <f>IF(C20&lt;=25%,D20,MIN(E20:F20))</f>
        <v>651.28</v>
      </c>
    </row>
    <row r="23" spans="1:9" x14ac:dyDescent="0.25">
      <c r="G23" s="13" t="s">
        <v>6</v>
      </c>
      <c r="H23" s="14">
        <f>ROUND(H22,2)*D3</f>
        <v>71640.800000000003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5</v>
      </c>
      <c r="B3" s="34" t="s">
        <v>96</v>
      </c>
      <c r="C3" s="36" t="s">
        <v>7</v>
      </c>
      <c r="D3" s="36">
        <f>5+40</f>
        <v>45</v>
      </c>
      <c r="E3" s="37">
        <f>IF(C20&lt;=25%,D20,MIN(E20:F20))</f>
        <v>1341.15</v>
      </c>
      <c r="F3" s="37">
        <f>MIN(H3:H17)</f>
        <v>1116</v>
      </c>
      <c r="G3" s="5" t="s">
        <v>107</v>
      </c>
      <c r="H3" s="16">
        <v>1116</v>
      </c>
      <c r="I3" s="17">
        <f>IF(H3="","",(IF($C$20&lt;25%,"n/a",IF(H3&lt;=($D$20+$A$20),H3,"Descartado"))))</f>
        <v>1116</v>
      </c>
    </row>
    <row r="4" spans="1:9" x14ac:dyDescent="0.25">
      <c r="A4" s="38"/>
      <c r="B4" s="35"/>
      <c r="C4" s="36"/>
      <c r="D4" s="36"/>
      <c r="E4" s="37"/>
      <c r="F4" s="37"/>
      <c r="G4" s="5" t="s">
        <v>108</v>
      </c>
      <c r="H4" s="16">
        <v>2400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120</v>
      </c>
      <c r="H5" s="16">
        <v>1543.79</v>
      </c>
      <c r="I5" s="17">
        <f t="shared" si="0"/>
        <v>1543.79</v>
      </c>
    </row>
    <row r="6" spans="1:9" x14ac:dyDescent="0.25">
      <c r="A6" s="38"/>
      <c r="B6" s="35"/>
      <c r="C6" s="36"/>
      <c r="D6" s="36"/>
      <c r="E6" s="37"/>
      <c r="F6" s="37"/>
      <c r="G6" s="5" t="s">
        <v>121</v>
      </c>
      <c r="H6" s="16">
        <v>1363.67</v>
      </c>
      <c r="I6" s="17">
        <f t="shared" si="0"/>
        <v>1363.67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557.71254247446677</v>
      </c>
      <c r="B20" s="8">
        <f>COUNT(H3:H17)</f>
        <v>4</v>
      </c>
      <c r="C20" s="9">
        <f>IF(B20&lt;2,"n/a",(A20/D20))</f>
        <v>0.3472961961270008</v>
      </c>
      <c r="D20" s="10">
        <f>IFERROR(ROUND(AVERAGE(H3:H17),2),"")</f>
        <v>1605.87</v>
      </c>
      <c r="E20" s="15">
        <f>IFERROR(ROUND(IF(B20&lt;2,"n/a",(IF(C20&lt;=25%,"n/a",AVERAGE(I3:I17)))),2),"n/a")</f>
        <v>1341.15</v>
      </c>
      <c r="F20" s="10">
        <f>IFERROR(ROUND(MEDIAN(H3:H17),2),"")</f>
        <v>1453.73</v>
      </c>
      <c r="G20" s="11" t="str">
        <f>IFERROR(INDEX(G3:G17,MATCH(H20,H3:H17,0)),"")</f>
        <v>Marzo Vitorino – Ind Com de Móveis LTDA</v>
      </c>
      <c r="H20" s="12">
        <f>F3</f>
        <v>1116</v>
      </c>
    </row>
    <row r="22" spans="1:9" x14ac:dyDescent="0.25">
      <c r="G22" s="13" t="s">
        <v>20</v>
      </c>
      <c r="H22" s="14">
        <f>IF(C20&lt;=25%,D20,MIN(E20:F20))</f>
        <v>1341.15</v>
      </c>
    </row>
    <row r="23" spans="1:9" x14ac:dyDescent="0.25">
      <c r="G23" s="13" t="s">
        <v>6</v>
      </c>
      <c r="H23" s="14">
        <f>ROUND(H22,2)*D3</f>
        <v>60351.750000000007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6</v>
      </c>
      <c r="B3" s="34" t="s">
        <v>97</v>
      </c>
      <c r="C3" s="36" t="s">
        <v>7</v>
      </c>
      <c r="D3" s="36">
        <f>5+40</f>
        <v>45</v>
      </c>
      <c r="E3" s="37">
        <f>IF(C20&lt;=25%,D20,MIN(E20:F20))</f>
        <v>1341.15</v>
      </c>
      <c r="F3" s="37">
        <f>MIN(H3:H17)</f>
        <v>1116</v>
      </c>
      <c r="G3" s="5" t="s">
        <v>107</v>
      </c>
      <c r="H3" s="16">
        <v>1116</v>
      </c>
      <c r="I3" s="17">
        <f>IF(H3="","",(IF($C$20&lt;25%,"n/a",IF(H3&lt;=($D$20+$A$20),H3,"Descartado"))))</f>
        <v>1116</v>
      </c>
    </row>
    <row r="4" spans="1:9" x14ac:dyDescent="0.25">
      <c r="A4" s="38"/>
      <c r="B4" s="35"/>
      <c r="C4" s="36"/>
      <c r="D4" s="36"/>
      <c r="E4" s="37"/>
      <c r="F4" s="37"/>
      <c r="G4" s="5" t="s">
        <v>108</v>
      </c>
      <c r="H4" s="16">
        <v>2400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120</v>
      </c>
      <c r="H5" s="16">
        <v>1543.79</v>
      </c>
      <c r="I5" s="17">
        <f t="shared" si="0"/>
        <v>1543.79</v>
      </c>
    </row>
    <row r="6" spans="1:9" x14ac:dyDescent="0.25">
      <c r="A6" s="38"/>
      <c r="B6" s="35"/>
      <c r="C6" s="36"/>
      <c r="D6" s="36"/>
      <c r="E6" s="37"/>
      <c r="F6" s="37"/>
      <c r="G6" s="5" t="s">
        <v>122</v>
      </c>
      <c r="H6" s="16">
        <v>1363.67</v>
      </c>
      <c r="I6" s="17">
        <f t="shared" si="0"/>
        <v>1363.67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557.71254247446677</v>
      </c>
      <c r="B20" s="8">
        <f>COUNT(H3:H17)</f>
        <v>4</v>
      </c>
      <c r="C20" s="9">
        <f>IF(B20&lt;2,"n/a",(A20/D20))</f>
        <v>0.3472961961270008</v>
      </c>
      <c r="D20" s="10">
        <f>IFERROR(ROUND(AVERAGE(H3:H17),2),"")</f>
        <v>1605.87</v>
      </c>
      <c r="E20" s="15">
        <f>IFERROR(ROUND(IF(B20&lt;2,"n/a",(IF(C20&lt;=25%,"n/a",AVERAGE(I3:I17)))),2),"n/a")</f>
        <v>1341.15</v>
      </c>
      <c r="F20" s="10">
        <f>IFERROR(ROUND(MEDIAN(H3:H17),2),"")</f>
        <v>1453.73</v>
      </c>
      <c r="G20" s="11" t="str">
        <f>IFERROR(INDEX(G3:G17,MATCH(H20,H3:H17,0)),"")</f>
        <v>Marzo Vitorino – Ind Com de Móveis LTDA</v>
      </c>
      <c r="H20" s="12">
        <f>F3</f>
        <v>1116</v>
      </c>
    </row>
    <row r="22" spans="1:9" x14ac:dyDescent="0.25">
      <c r="G22" s="13" t="s">
        <v>20</v>
      </c>
      <c r="H22" s="14">
        <f>IF(C20&lt;=25%,D20,MIN(E20:F20))</f>
        <v>1341.15</v>
      </c>
    </row>
    <row r="23" spans="1:9" x14ac:dyDescent="0.25">
      <c r="G23" s="13" t="s">
        <v>6</v>
      </c>
      <c r="H23" s="14">
        <f>ROUND(H22,2)*D3</f>
        <v>60351.750000000007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7</v>
      </c>
      <c r="B3" s="34" t="s">
        <v>98</v>
      </c>
      <c r="C3" s="36" t="s">
        <v>7</v>
      </c>
      <c r="D3" s="36">
        <f>20+50</f>
        <v>70</v>
      </c>
      <c r="E3" s="37">
        <f>IF(C20&lt;=25%,D20,MIN(E20:F20))</f>
        <v>941.84</v>
      </c>
      <c r="F3" s="37">
        <f>MIN(H3:H17)</f>
        <v>546</v>
      </c>
      <c r="G3" s="5" t="s">
        <v>107</v>
      </c>
      <c r="H3" s="16">
        <v>546</v>
      </c>
      <c r="I3" s="17">
        <f>IF(H3="","",(IF($C$20&lt;25%,"n/a",IF(H3&lt;=($D$20+$A$20),H3,"Descartado"))))</f>
        <v>546</v>
      </c>
    </row>
    <row r="4" spans="1:9" x14ac:dyDescent="0.25">
      <c r="A4" s="38"/>
      <c r="B4" s="35"/>
      <c r="C4" s="36"/>
      <c r="D4" s="36"/>
      <c r="E4" s="37"/>
      <c r="F4" s="37"/>
      <c r="G4" s="5" t="s">
        <v>108</v>
      </c>
      <c r="H4" s="16">
        <v>1500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123</v>
      </c>
      <c r="H5" s="16">
        <v>692.87</v>
      </c>
      <c r="I5" s="17">
        <f t="shared" si="0"/>
        <v>692.87</v>
      </c>
    </row>
    <row r="6" spans="1:9" x14ac:dyDescent="0.25">
      <c r="A6" s="38"/>
      <c r="B6" s="35"/>
      <c r="C6" s="36"/>
      <c r="D6" s="36"/>
      <c r="E6" s="37"/>
      <c r="F6" s="37"/>
      <c r="G6" s="5" t="s">
        <v>124</v>
      </c>
      <c r="H6" s="16">
        <v>701.89</v>
      </c>
      <c r="I6" s="17">
        <f t="shared" si="0"/>
        <v>701.89</v>
      </c>
    </row>
    <row r="7" spans="1:9" x14ac:dyDescent="0.25">
      <c r="A7" s="38"/>
      <c r="B7" s="35"/>
      <c r="C7" s="36"/>
      <c r="D7" s="36"/>
      <c r="E7" s="37"/>
      <c r="F7" s="37"/>
      <c r="G7" s="5" t="s">
        <v>125</v>
      </c>
      <c r="H7" s="16">
        <v>1336.6</v>
      </c>
      <c r="I7" s="17">
        <f t="shared" si="0"/>
        <v>1336.6</v>
      </c>
    </row>
    <row r="8" spans="1:9" x14ac:dyDescent="0.25">
      <c r="A8" s="38"/>
      <c r="B8" s="35"/>
      <c r="C8" s="36"/>
      <c r="D8" s="36"/>
      <c r="E8" s="37"/>
      <c r="F8" s="37"/>
      <c r="G8" s="5" t="s">
        <v>126</v>
      </c>
      <c r="H8" s="16">
        <v>1431.86</v>
      </c>
      <c r="I8" s="17">
        <f t="shared" si="0"/>
        <v>1431.86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431.69932295522568</v>
      </c>
      <c r="B20" s="8">
        <f>COUNT(H3:H17)</f>
        <v>6</v>
      </c>
      <c r="C20" s="9">
        <f>IF(B20&lt;2,"n/a",(A20/D20))</f>
        <v>0.41715319117882027</v>
      </c>
      <c r="D20" s="10">
        <f>IFERROR(ROUND(AVERAGE(H3:H17),2),"")</f>
        <v>1034.8699999999999</v>
      </c>
      <c r="E20" s="15">
        <f>IFERROR(ROUND(IF(B20&lt;2,"n/a",(IF(C20&lt;=25%,"n/a",AVERAGE(I3:I17)))),2),"n/a")</f>
        <v>941.84</v>
      </c>
      <c r="F20" s="10">
        <f>IFERROR(ROUND(MEDIAN(H3:H17),2),"")</f>
        <v>1019.25</v>
      </c>
      <c r="G20" s="11" t="str">
        <f>IFERROR(INDEX(G3:G17,MATCH(H20,H3:H17,0)),"")</f>
        <v>Marzo Vitorino – Ind Com de Móveis LTDA</v>
      </c>
      <c r="H20" s="12">
        <f>F3</f>
        <v>546</v>
      </c>
    </row>
    <row r="22" spans="1:9" x14ac:dyDescent="0.25">
      <c r="G22" s="13" t="s">
        <v>20</v>
      </c>
      <c r="H22" s="14">
        <f>IF(C20&lt;=25%,D20,MIN(E20:F20))</f>
        <v>941.84</v>
      </c>
    </row>
    <row r="23" spans="1:9" x14ac:dyDescent="0.25">
      <c r="G23" s="13" t="s">
        <v>6</v>
      </c>
      <c r="H23" s="14">
        <f>ROUND(H22,2)*D3</f>
        <v>65928.800000000003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8</v>
      </c>
      <c r="B3" s="34" t="s">
        <v>99</v>
      </c>
      <c r="C3" s="36" t="s">
        <v>7</v>
      </c>
      <c r="D3" s="36">
        <f>5+20</f>
        <v>25</v>
      </c>
      <c r="E3" s="37">
        <f>IF(C20&lt;=25%,D20,MIN(E20:F20))</f>
        <v>1467.15</v>
      </c>
      <c r="F3" s="37">
        <f>MIN(H3:H17)</f>
        <v>1263</v>
      </c>
      <c r="G3" s="5" t="s">
        <v>107</v>
      </c>
      <c r="H3" s="16">
        <v>1263</v>
      </c>
      <c r="I3" s="17">
        <f>IF(H3="","",(IF($C$20&lt;25%,"n/a",IF(H3&lt;=($D$20+$A$20),H3,"Descartado"))))</f>
        <v>1263</v>
      </c>
    </row>
    <row r="4" spans="1:9" x14ac:dyDescent="0.25">
      <c r="A4" s="38"/>
      <c r="B4" s="35"/>
      <c r="C4" s="36"/>
      <c r="D4" s="36"/>
      <c r="E4" s="37"/>
      <c r="F4" s="37"/>
      <c r="G4" s="5" t="s">
        <v>108</v>
      </c>
      <c r="H4" s="16">
        <v>2800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127</v>
      </c>
      <c r="H5" s="16">
        <v>1383.73</v>
      </c>
      <c r="I5" s="17">
        <f t="shared" si="0"/>
        <v>1383.73</v>
      </c>
    </row>
    <row r="6" spans="1:9" x14ac:dyDescent="0.25">
      <c r="A6" s="38"/>
      <c r="B6" s="35"/>
      <c r="C6" s="36"/>
      <c r="D6" s="36"/>
      <c r="E6" s="37"/>
      <c r="F6" s="37"/>
      <c r="G6" s="5" t="s">
        <v>128</v>
      </c>
      <c r="H6" s="16">
        <v>1754.73</v>
      </c>
      <c r="I6" s="17">
        <f t="shared" si="0"/>
        <v>1754.73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698.49804411561126</v>
      </c>
      <c r="B20" s="8">
        <f>COUNT(H3:H17)</f>
        <v>4</v>
      </c>
      <c r="C20" s="9">
        <f>IF(B20&lt;2,"n/a",(A20/D20))</f>
        <v>0.38797471859429522</v>
      </c>
      <c r="D20" s="10">
        <f>IFERROR(ROUND(AVERAGE(H3:H17),2),"")</f>
        <v>1800.37</v>
      </c>
      <c r="E20" s="15">
        <f>IFERROR(ROUND(IF(B20&lt;2,"n/a",(IF(C20&lt;=25%,"n/a",AVERAGE(I3:I17)))),2),"n/a")</f>
        <v>1467.15</v>
      </c>
      <c r="F20" s="10">
        <f>IFERROR(ROUND(MEDIAN(H3:H17),2),"")</f>
        <v>1569.23</v>
      </c>
      <c r="G20" s="11" t="str">
        <f>IFERROR(INDEX(G3:G17,MATCH(H20,H3:H17,0)),"")</f>
        <v>Marzo Vitorino – Ind Com de Móveis LTDA</v>
      </c>
      <c r="H20" s="12">
        <f>F3</f>
        <v>1263</v>
      </c>
    </row>
    <row r="22" spans="1:9" x14ac:dyDescent="0.25">
      <c r="G22" s="13" t="s">
        <v>20</v>
      </c>
      <c r="H22" s="14">
        <f>IF(C20&lt;=25%,D20,MIN(E20:F20))</f>
        <v>1467.15</v>
      </c>
    </row>
    <row r="23" spans="1:9" x14ac:dyDescent="0.25">
      <c r="G23" s="13" t="s">
        <v>6</v>
      </c>
      <c r="H23" s="14">
        <f>ROUND(H22,2)*D3</f>
        <v>36678.75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9</v>
      </c>
      <c r="B3" s="34" t="s">
        <v>100</v>
      </c>
      <c r="C3" s="36" t="s">
        <v>7</v>
      </c>
      <c r="D3" s="36">
        <f>130+880</f>
        <v>1010</v>
      </c>
      <c r="E3" s="37">
        <f>IF(C20&lt;=25%,D20,MIN(E20:F20))</f>
        <v>706.95</v>
      </c>
      <c r="F3" s="37">
        <f>MIN(H3:H17)</f>
        <v>480</v>
      </c>
      <c r="G3" s="5" t="s">
        <v>107</v>
      </c>
      <c r="H3" s="16">
        <v>480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108</v>
      </c>
      <c r="H4" s="16">
        <v>950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129</v>
      </c>
      <c r="H5" s="16">
        <v>840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130</v>
      </c>
      <c r="H6" s="16">
        <v>681.84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131</v>
      </c>
      <c r="H7" s="16">
        <v>694.87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 t="s">
        <v>132</v>
      </c>
      <c r="H8" s="16">
        <v>595</v>
      </c>
      <c r="I8" s="17" t="str">
        <f t="shared" si="0"/>
        <v>n/a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168.28021183926123</v>
      </c>
      <c r="B20" s="8">
        <f>COUNT(H3:H17)</f>
        <v>6</v>
      </c>
      <c r="C20" s="9">
        <f>IF(B20&lt;2,"n/a",(A20/D20))</f>
        <v>0.23803693590672781</v>
      </c>
      <c r="D20" s="10">
        <f>IFERROR(ROUND(AVERAGE(H3:H17),2),"")</f>
        <v>706.95</v>
      </c>
      <c r="E20" s="15" t="str">
        <f>IFERROR(ROUND(IF(B20&lt;2,"n/a",(IF(C20&lt;=25%,"n/a",AVERAGE(I3:I17)))),2),"n/a")</f>
        <v>n/a</v>
      </c>
      <c r="F20" s="10">
        <f>IFERROR(ROUND(MEDIAN(H3:H17),2),"")</f>
        <v>688.36</v>
      </c>
      <c r="G20" s="11" t="str">
        <f>IFERROR(INDEX(G3:G17,MATCH(H20,H3:H17,0)),"")</f>
        <v>Marzo Vitorino – Ind Com de Móveis LTDA</v>
      </c>
      <c r="H20" s="12">
        <f>F3</f>
        <v>480</v>
      </c>
    </row>
    <row r="22" spans="1:9" x14ac:dyDescent="0.25">
      <c r="G22" s="13" t="s">
        <v>20</v>
      </c>
      <c r="H22" s="14">
        <f>IF(C20&lt;=25%,D20,MIN(E20:F20))</f>
        <v>706.95</v>
      </c>
    </row>
    <row r="23" spans="1:9" x14ac:dyDescent="0.25">
      <c r="G23" s="13" t="s">
        <v>6</v>
      </c>
      <c r="H23" s="14">
        <f>ROUND(H22,2)*D3</f>
        <v>714019.5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28</vt:i4>
      </vt:variant>
      <vt:variant>
        <vt:lpstr>Intervalos nomeados</vt:lpstr>
      </vt:variant>
      <vt:variant>
        <vt:i4>2</vt:i4>
      </vt:variant>
    </vt:vector>
  </HeadingPairs>
  <TitlesOfParts>
    <vt:vector size="3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2024-02-28T17:03:11Z</cp:lastPrinted>
  <dcterms:created xsi:type="dcterms:W3CDTF">2023-11-07T17:10:34Z</dcterms:created>
  <dcterms:modified xsi:type="dcterms:W3CDTF">2024-03-04T16:17:48Z</dcterms:modified>
</cp:coreProperties>
</file>