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5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3" r:id="rId9"/>
    <sheet name="Item10" sheetId="14" r:id="rId10"/>
    <sheet name="Item11" sheetId="15" r:id="rId11"/>
    <sheet name="Item12" sheetId="16" r:id="rId12"/>
    <sheet name="Item15" sheetId="17" state="hidden" r:id="rId13"/>
    <sheet name="Item16" sheetId="18" state="hidden" r:id="rId14"/>
    <sheet name="Item17" sheetId="19" state="hidden" r:id="rId15"/>
    <sheet name="Item18" sheetId="20" state="hidden" r:id="rId16"/>
    <sheet name="Item19" sheetId="21" state="hidden" r:id="rId17"/>
    <sheet name="Item20" sheetId="22" state="hidden" r:id="rId18"/>
    <sheet name="Item21" sheetId="24" state="hidden" r:id="rId19"/>
    <sheet name="Item22" sheetId="25" state="hidden" r:id="rId20"/>
    <sheet name="Item23" sheetId="26" state="hidden" r:id="rId21"/>
    <sheet name="Item24" sheetId="27" state="hidden" r:id="rId22"/>
    <sheet name="Item25" sheetId="28" state="hidden" r:id="rId23"/>
    <sheet name="Item26" sheetId="29" state="hidden" r:id="rId24"/>
    <sheet name="Item27" sheetId="30" state="hidden" r:id="rId25"/>
    <sheet name="total" sheetId="23" r:id="rId26"/>
  </sheets>
  <definedNames>
    <definedName name="_xlnm.Print_Area" localSheetId="25">total!$A$1:$G$22</definedName>
    <definedName name="_xlnm.Print_Titles" localSheetId="25">total!$1:$2</definedName>
  </definedNames>
  <calcPr calcId="145621"/>
</workbook>
</file>

<file path=xl/calcChain.xml><?xml version="1.0" encoding="utf-8"?>
<calcChain xmlns="http://schemas.openxmlformats.org/spreadsheetml/2006/main"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9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4" l="1"/>
  <c r="I3" i="14" s="1"/>
  <c r="E20" i="28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6"/>
  <c r="I16" i="16"/>
  <c r="I14" i="16"/>
  <c r="I8" i="16"/>
  <c r="I13" i="16"/>
  <c r="I12" i="16"/>
  <c r="I17" i="16"/>
  <c r="I11" i="16"/>
  <c r="I10" i="16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0" i="9"/>
  <c r="I17" i="7"/>
  <c r="I11" i="9"/>
  <c r="I17" i="9"/>
  <c r="I15" i="6"/>
  <c r="I14" i="6"/>
  <c r="I7" i="6"/>
  <c r="I17" i="6"/>
  <c r="I16" i="6"/>
  <c r="I17" i="5"/>
  <c r="I16" i="5"/>
  <c r="I15" i="5"/>
  <c r="A20" i="4"/>
  <c r="C20" i="4" s="1"/>
  <c r="C20" i="1"/>
  <c r="I5" i="9" l="1"/>
  <c r="I17" i="14"/>
  <c r="I16" i="14"/>
  <c r="I9" i="14"/>
  <c r="I15" i="14"/>
  <c r="I5" i="14"/>
  <c r="I14" i="14"/>
  <c r="I13" i="14"/>
  <c r="I11" i="14"/>
  <c r="I12" i="14"/>
  <c r="I14" i="5"/>
  <c r="I13" i="5"/>
  <c r="I15" i="7"/>
  <c r="I10" i="14"/>
  <c r="I6" i="14"/>
  <c r="I8" i="14"/>
  <c r="I4" i="14"/>
  <c r="I7" i="14"/>
  <c r="I11" i="5"/>
  <c r="I5" i="6"/>
  <c r="I12" i="5"/>
  <c r="I12" i="6"/>
  <c r="I3" i="6"/>
  <c r="I6" i="6"/>
  <c r="I12" i="9"/>
  <c r="I8" i="9"/>
  <c r="E20" i="9" s="1"/>
  <c r="H22" i="9" s="1"/>
  <c r="H23" i="9" s="1"/>
  <c r="I8" i="5"/>
  <c r="I6" i="16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4" l="1"/>
  <c r="E3" i="14" s="1"/>
  <c r="F12" i="23" s="1"/>
  <c r="G12" i="23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14" i="23" s="1"/>
  <c r="G14" i="23" s="1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F11" i="23" s="1"/>
  <c r="G11" i="23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H22" i="14" l="1"/>
  <c r="H23" i="14" s="1"/>
  <c r="E3" i="6"/>
  <c r="F6" i="23" s="1"/>
  <c r="G6" i="23" s="1"/>
  <c r="E3" i="20"/>
  <c r="E3" i="8"/>
  <c r="F8" i="23" s="1"/>
  <c r="G8" i="23" s="1"/>
  <c r="E3" i="21"/>
  <c r="E3" i="19"/>
  <c r="E3" i="15"/>
  <c r="F13" i="23" s="1"/>
  <c r="G13" i="23" s="1"/>
  <c r="H22" i="13"/>
  <c r="H23" i="13" s="1"/>
  <c r="E3" i="10"/>
  <c r="F10" i="23" s="1"/>
  <c r="G10" i="23" s="1"/>
  <c r="H22" i="5"/>
  <c r="H23" i="5" s="1"/>
  <c r="H22" i="4"/>
  <c r="H23" i="4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22" i="23" l="1"/>
  <c r="F21" i="23"/>
  <c r="F17" i="23"/>
</calcChain>
</file>

<file path=xl/sharedStrings.xml><?xml version="1.0" encoding="utf-8"?>
<sst xmlns="http://schemas.openxmlformats.org/spreadsheetml/2006/main" count="879" uniqueCount="147">
  <si>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</si>
  <si>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</si>
  <si>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</si>
  <si>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</si>
  <si>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</si>
  <si>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</si>
  <si>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</si>
  <si>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</si>
  <si>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</si>
  <si>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</si>
  <si>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</si>
  <si>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</si>
  <si>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</si>
  <si>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</si>
  <si>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</si>
  <si>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</si>
  <si>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</si>
  <si>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</si>
  <si>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</si>
  <si>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</si>
  <si>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</si>
  <si>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</si>
  <si>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</si>
  <si>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</si>
  <si>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</si>
  <si>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</si>
  <si>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</si>
  <si>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</si>
  <si>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</si>
  <si>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</si>
  <si>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</si>
  <si>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</si>
  <si>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</si>
  <si>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</si>
  <si>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</si>
  <si>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</si>
  <si>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</si>
  <si>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</si>
  <si>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</si>
  <si>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</si>
  <si>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</si>
  <si>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</si>
  <si>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</si>
  <si>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</si>
  <si>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</si>
  <si>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</si>
  <si>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</si>
  <si>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</si>
  <si>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</si>
  <si>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</si>
  <si>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</si>
  <si>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</si>
  <si>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</si>
  <si>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</si>
  <si>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</si>
  <si>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</si>
  <si>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</si>
  <si>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</si>
  <si>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</si>
  <si>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</si>
  <si>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</si>
  <si>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</si>
  <si>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</si>
  <si>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</si>
  <si>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</si>
  <si>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</si>
  <si>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</si>
  <si>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</si>
  <si>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</si>
  <si>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</si>
  <si>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</si>
  <si>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</si>
  <si>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</si>
  <si>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</si>
  <si>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</si>
  <si>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</si>
  <si>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</si>
  <si>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</si>
  <si>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</si>
  <si>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</si>
  <si>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</si>
  <si>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</si>
  <si>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</si>
  <si>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</si>
  <si>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</si>
  <si>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</si>
  <si>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</si>
  <si>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</si>
  <si>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</si>
  <si>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</si>
  <si>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</si>
  <si>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</si>
  <si>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</si>
  <si>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</si>
  <si>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</si>
  <si>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</si>
  <si>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</si>
  <si>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</si>
  <si>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n/a</t>
  </si>
  <si>
    <t>Certificado digital para assinatura de código, tipo A3, OV, Padrão (Raiz Internacional).</t>
  </si>
  <si>
    <t>Certificado Digital tipo e-CPF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t>
  </si>
  <si>
    <t>Certificado Digital tipo e-CPF A3 com validade de 36 (trinta e seis) meses, renovação, emitido por autoridade certificadora credenciada pela Infraestrutura de Chaves Públicas Brasileira (ICP-Brasil), cadeia de certificação AC JUS.</t>
  </si>
  <si>
    <t>Certificado Digital tipo e-CPF A3 com validade de 36 (trinta e seis) meses, em nuvem, emitido por autoridade certificadora credenciada pela Infraestrutura de Chaves Públicas Brasileira (ICP-Brasil), cadeia de certificação AC JUS.</t>
  </si>
  <si>
    <t>Certificado Digital tipo e-CNPJ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t>
  </si>
  <si>
    <t>Certificado Digital tipo e-CNPJ A3 com validade de 36 (trinta e seis) meses, renovação, emitido por autoridade certificadora credenciada pela Infraestrutura de Chaves Públicas Brasileira (ICP-Brasil), cadeia de certificação AC JUS.</t>
  </si>
  <si>
    <t>Certificado Digital tipo e-CNPJ A3 com validade de 36 (trinta e seis) meses, em nuvem, emitido por autoridade certificadora credenciada pela Infraestrutura de Chaves Públicas Brasileira (ICP-Brasil), cadeia de certificação AC JUS.</t>
  </si>
  <si>
    <t>Visita técnica para certificação presencial.</t>
  </si>
  <si>
    <t>Certificado Digital tipo SSL, OV, tipo A1 para servidor, com validade de 12 (dozes) meses, Padrão (Raiz Internacional).</t>
  </si>
  <si>
    <t>Certificado Digital tipo WildCard SSL, OV, com validade de 12 (dozes) meses, Padrão (Raiz Internacional).</t>
  </si>
  <si>
    <t>Certificado Digital tipo e-CNPJ A1 com validade de 12 (doze) meses, armazenado em computador, emitido por autoridade certificadora credenciada pela Infraestrutura de Chaves Públicas Brasileira (ICP-Brasil).</t>
  </si>
  <si>
    <t>Certificado Digital tipo WildCard SSL, DV, com validade de 12 (dozes) meses, Padrão (Raiz Internacional).</t>
  </si>
  <si>
    <t>VISATTO CERTIFICADORA E SOLUCOES DIGITAIS LTDA</t>
  </si>
  <si>
    <t>CERTIMINAS CERTIFICACAO DIGITAL LTDA</t>
  </si>
  <si>
    <t>GLOBALSEC TECNOLOGIA DA INFORMACAO LTDA</t>
  </si>
  <si>
    <t>OBJECTTI SOLUCOES LTDA</t>
  </si>
  <si>
    <t>ONLINE SOLUCOES DIGITAIS LTDA</t>
  </si>
  <si>
    <t>X.DIGITAL BRASIL SEGURANCA DA INFORMACAO LTDA</t>
  </si>
  <si>
    <t>N R SERVICOS DE CERTIFICACAO DIGITAL LTDA</t>
  </si>
  <si>
    <t>UNITY SOLUCOES E SERVICOS LTDA</t>
  </si>
  <si>
    <t>50.000.115 HABGAIL SILVA MAGALHAES DE ARAUJO</t>
  </si>
  <si>
    <t>ARMANDO SEMEGHINI NETO</t>
  </si>
  <si>
    <t>AR RP CERTIFICACAO DIGITAL LTDA</t>
  </si>
  <si>
    <t>19.385.437 IRANEIDE VIEIRA DOS SANTOS</t>
  </si>
  <si>
    <t>DOCS CONSULTORIA ESPECIALIZADA LTDA</t>
  </si>
  <si>
    <t>EXPERT COMERCIO E CONSULTORIA EM LICITACOES LTDA</t>
  </si>
  <si>
    <t>VINICIUS MATEUS CAVALCANTE DE OLIVEIRA LTDA</t>
  </si>
  <si>
    <t>AVANCO SERVICOS EMPRESARIAIS LTDA</t>
  </si>
  <si>
    <t>DELTA CERTIFICADORA DIGITAL LTDA</t>
  </si>
  <si>
    <t>ALLMIC TECNOLOGIA E SERVICOS LTDA</t>
  </si>
  <si>
    <t>PRSC TERCEIRIZACOES LTDA</t>
  </si>
  <si>
    <t>BGB DISTRIBUIDORA LTDA</t>
  </si>
  <si>
    <t>SOLUTI - SOLUCOES EM NEGOCIOS INTELIGENTES S/A</t>
  </si>
  <si>
    <t xml:space="preserve">VERSATIL SOFTWARES E CERTIFICACAO DIGITAL LTDA </t>
  </si>
  <si>
    <t>HALL SYSTEM SOLUCOES EMPRESARIAIS LTDA</t>
  </si>
  <si>
    <t>AR MINEIRA CERTIFICACAO DIGITAL LTDA</t>
  </si>
  <si>
    <t>TRUSTCERT TECNOLOGIA E SERVICOS EM CERTIFICACAO DIGITAL LTDA</t>
  </si>
  <si>
    <t>OTIMIZE SOLUCOES LTDA</t>
  </si>
  <si>
    <t>CONFIANCA EMPREENDIMENTOS DIGITAL LTDA</t>
  </si>
  <si>
    <t>STILLE TECNOLOGIA &amp; INOVACAO LTDA</t>
  </si>
  <si>
    <t>AUTENTIQ.ME SOLUCOES LTDA</t>
  </si>
  <si>
    <t>RNL TRADE AND FACILITIES LTDA</t>
  </si>
  <si>
    <t>CODESA SOFTWARE LTDA</t>
  </si>
  <si>
    <t>RAFAEL SILVA OLIVEIRA 08481451606</t>
  </si>
  <si>
    <t>BRHOST SERVICOS DIGITAIS LTDA</t>
  </si>
  <si>
    <t>CERTINS LTDA</t>
  </si>
  <si>
    <t xml:space="preserve">GLOBALSEC TECNOLOGIA DA INFORMACAO LTDA </t>
  </si>
  <si>
    <t xml:space="preserve">DOCS CONSULTORIA ESPECIALIZADA LTDA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</si>
</sst>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99</v>
      </c>
      <c r="C3" s="36" t="s">
        <v>7</v>
      </c>
      <c r="D3" s="36">
        <v>17</v>
      </c>
      <c r="E3" s="37">
        <f>IF(C20&lt;=25%,D20,MIN(E20:F20))</f>
        <v>1470.19</v>
      </c>
      <c r="F3" s="37">
        <f>MIN(H3:H17)</f>
        <v>1470.19</v>
      </c>
      <c r="G3" s="5" t="s">
        <v>114</v>
      </c>
      <c r="H3" s="16">
        <v>3124.8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131</v>
      </c>
      <c r="H4" s="16">
        <v>1470.19</v>
      </c>
      <c r="I4" s="17">
        <f t="shared" ref="I4:I17" si="0">IF(H4="","",(IF($C$20&lt;25%,"n/a",IF(H4&lt;=($D$20+$A$20),H4,"Descartado"))))</f>
        <v>1470.19</v>
      </c>
    </row>
    <row r="5" spans="1:9" x14ac:dyDescent="0.25">
      <c r="A5" s="38"/>
      <c r="B5" s="35"/>
      <c r="C5" s="36"/>
      <c r="D5" s="36"/>
      <c r="E5" s="37"/>
      <c r="F5" s="37"/>
      <c r="G5" s="5" t="s">
        <v>132</v>
      </c>
      <c r="H5" s="16">
        <v>1470.19</v>
      </c>
      <c r="I5" s="17">
        <f t="shared" si="0"/>
        <v>1470.19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955.28952890384642</v>
      </c>
      <c r="B20" s="8">
        <f>COUNT(H3:H17)</f>
        <v>3</v>
      </c>
      <c r="C20" s="9">
        <f>IF(B20&lt;2,"n/a",(A20/D20))</f>
        <v>0.47251093316310605</v>
      </c>
      <c r="D20" s="10">
        <f>IFERROR(ROUND(AVERAGE(H3:H17),2),"")</f>
        <v>2021.73</v>
      </c>
      <c r="E20" s="15">
        <f>IFERROR(ROUND(IF(B20&lt;2,"n/a",(IF(C20&lt;=25%,"n/a",AVERAGE(I3:I17)))),2),"n/a")</f>
        <v>1470.19</v>
      </c>
      <c r="F20" s="10">
        <f>IFERROR(ROUND(MEDIAN(H3:H17),2),"")</f>
        <v>1470.19</v>
      </c>
      <c r="G20" s="11" t="str">
        <f>IFERROR(INDEX(G3:G17,MATCH(H20,H3:H17,0)),"")</f>
        <v>SOLUTI - SOLUCOES EM NEGOCIOS INTELIGENTES S/A</v>
      </c>
      <c r="H20" s="12">
        <f>F3</f>
        <v>1470.19</v>
      </c>
    </row>
    <row r="22" spans="1:9" x14ac:dyDescent="0.25">
      <c r="G22" s="13" t="s">
        <v>20</v>
      </c>
      <c r="H22" s="14">
        <f>IF(C20&lt;=25%,D20,MIN(E20:F20))</f>
        <v>1470.19</v>
      </c>
    </row>
    <row r="23" spans="1:9" x14ac:dyDescent="0.25">
      <c r="G23" s="13" t="s">
        <v>6</v>
      </c>
      <c r="H23" s="14">
        <f>ROUND(H22,2)*D3</f>
        <v>24993.23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108</v>
      </c>
      <c r="C3" s="36" t="s">
        <v>7</v>
      </c>
      <c r="D3" s="36">
        <v>40</v>
      </c>
      <c r="E3" s="37">
        <f>IF(C20&lt;=25%,D20,MIN(E20:F20))</f>
        <v>489.62</v>
      </c>
      <c r="F3" s="37">
        <f>MIN(H3:H17)</f>
        <v>200</v>
      </c>
      <c r="G3" s="5" t="s">
        <v>111</v>
      </c>
      <c r="H3" s="16">
        <v>400</v>
      </c>
      <c r="I3" s="17">
        <f>IF(H3="","",(IF($C$20&lt;25%,"n/a",IF(H3&lt;=($D$20+$A$20),H3,"Descartado"))))</f>
        <v>400</v>
      </c>
    </row>
    <row r="4" spans="1:9" x14ac:dyDescent="0.25">
      <c r="A4" s="38"/>
      <c r="B4" s="35"/>
      <c r="C4" s="36"/>
      <c r="D4" s="36"/>
      <c r="E4" s="37"/>
      <c r="F4" s="37"/>
      <c r="G4" s="5" t="s">
        <v>131</v>
      </c>
      <c r="H4" s="16">
        <v>200</v>
      </c>
      <c r="I4" s="17">
        <f t="shared" ref="I4:I17" si="0">IF(H4="","",(IF($C$20&lt;25%,"n/a",IF(H4&lt;=($D$20+$A$20),H4,"Descartado"))))</f>
        <v>200</v>
      </c>
    </row>
    <row r="5" spans="1:9" x14ac:dyDescent="0.25">
      <c r="A5" s="38"/>
      <c r="B5" s="35"/>
      <c r="C5" s="36"/>
      <c r="D5" s="36"/>
      <c r="E5" s="37"/>
      <c r="F5" s="37"/>
      <c r="G5" s="5" t="s">
        <v>132</v>
      </c>
      <c r="H5" s="16">
        <v>831.35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140</v>
      </c>
      <c r="H6" s="16">
        <v>650</v>
      </c>
      <c r="I6" s="17">
        <f t="shared" si="0"/>
        <v>650</v>
      </c>
    </row>
    <row r="7" spans="1:9" x14ac:dyDescent="0.25">
      <c r="A7" s="38"/>
      <c r="B7" s="35"/>
      <c r="C7" s="36"/>
      <c r="D7" s="36"/>
      <c r="E7" s="37"/>
      <c r="F7" s="37"/>
      <c r="G7" s="5" t="s">
        <v>141</v>
      </c>
      <c r="H7" s="16">
        <v>798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375</v>
      </c>
      <c r="I8" s="17">
        <f t="shared" si="0"/>
        <v>375</v>
      </c>
    </row>
    <row r="9" spans="1:9" x14ac:dyDescent="0.25">
      <c r="A9" s="38"/>
      <c r="B9" s="35"/>
      <c r="C9" s="36"/>
      <c r="D9" s="36"/>
      <c r="E9" s="37"/>
      <c r="F9" s="37"/>
      <c r="G9" s="5" t="s">
        <v>142</v>
      </c>
      <c r="H9" s="16">
        <v>879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 t="s">
        <v>139</v>
      </c>
      <c r="H10" s="16">
        <v>619.66999999999996</v>
      </c>
      <c r="I10" s="17">
        <f t="shared" si="0"/>
        <v>619.66999999999996</v>
      </c>
    </row>
    <row r="11" spans="1:9" x14ac:dyDescent="0.25">
      <c r="A11" s="38"/>
      <c r="B11" s="35"/>
      <c r="C11" s="36"/>
      <c r="D11" s="36"/>
      <c r="E11" s="37"/>
      <c r="F11" s="37"/>
      <c r="G11" s="5" t="s">
        <v>119</v>
      </c>
      <c r="H11" s="16">
        <v>350</v>
      </c>
      <c r="I11" s="17">
        <f t="shared" si="0"/>
        <v>350</v>
      </c>
    </row>
    <row r="12" spans="1:9" x14ac:dyDescent="0.25">
      <c r="A12" s="38"/>
      <c r="B12" s="35"/>
      <c r="C12" s="36"/>
      <c r="D12" s="36"/>
      <c r="E12" s="37"/>
      <c r="F12" s="37"/>
      <c r="G12" s="5" t="s">
        <v>134</v>
      </c>
      <c r="H12" s="16">
        <v>619.66999999999996</v>
      </c>
      <c r="I12" s="17">
        <f t="shared" si="0"/>
        <v>619.66999999999996</v>
      </c>
    </row>
    <row r="13" spans="1:9" x14ac:dyDescent="0.25">
      <c r="A13" s="38"/>
      <c r="B13" s="35"/>
      <c r="C13" s="36"/>
      <c r="D13" s="36"/>
      <c r="E13" s="37"/>
      <c r="F13" s="37"/>
      <c r="G13" s="5" t="s">
        <v>135</v>
      </c>
      <c r="H13" s="16">
        <v>400</v>
      </c>
      <c r="I13" s="17">
        <f t="shared" si="0"/>
        <v>400</v>
      </c>
    </row>
    <row r="14" spans="1:9" x14ac:dyDescent="0.25">
      <c r="A14" s="38"/>
      <c r="B14" s="35"/>
      <c r="C14" s="36"/>
      <c r="D14" s="36"/>
      <c r="E14" s="37"/>
      <c r="F14" s="37"/>
      <c r="G14" s="5" t="s">
        <v>136</v>
      </c>
      <c r="H14" s="16">
        <v>409</v>
      </c>
      <c r="I14" s="17">
        <f t="shared" si="0"/>
        <v>409</v>
      </c>
    </row>
    <row r="15" spans="1:9" x14ac:dyDescent="0.25">
      <c r="A15" s="38"/>
      <c r="B15" s="35"/>
      <c r="C15" s="36"/>
      <c r="D15" s="36"/>
      <c r="E15" s="37"/>
      <c r="F15" s="37"/>
      <c r="G15" s="5" t="s">
        <v>137</v>
      </c>
      <c r="H15" s="16">
        <v>613.47</v>
      </c>
      <c r="I15" s="17">
        <f t="shared" si="0"/>
        <v>613.47</v>
      </c>
    </row>
    <row r="16" spans="1:9" x14ac:dyDescent="0.25">
      <c r="A16" s="38"/>
      <c r="B16" s="35"/>
      <c r="C16" s="36"/>
      <c r="D16" s="36"/>
      <c r="E16" s="37"/>
      <c r="F16" s="37"/>
      <c r="G16" s="5" t="s">
        <v>113</v>
      </c>
      <c r="H16" s="16">
        <v>619</v>
      </c>
      <c r="I16" s="17">
        <f t="shared" si="0"/>
        <v>619</v>
      </c>
    </row>
    <row r="17" spans="1:9" x14ac:dyDescent="0.25">
      <c r="A17" s="38"/>
      <c r="B17" s="35"/>
      <c r="C17" s="36"/>
      <c r="D17" s="36"/>
      <c r="E17" s="37"/>
      <c r="F17" s="37"/>
      <c r="G17" s="5" t="s">
        <v>138</v>
      </c>
      <c r="H17" s="16">
        <v>619.66</v>
      </c>
      <c r="I17" s="17">
        <f t="shared" si="0"/>
        <v>619.66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196.22595284396917</v>
      </c>
      <c r="B20" s="8">
        <f>COUNT(H3:H17)</f>
        <v>15</v>
      </c>
      <c r="C20" s="9">
        <f>IF(B20&lt;2,"n/a",(A20/D20))</f>
        <v>0.35108057118007796</v>
      </c>
      <c r="D20" s="10">
        <f>IFERROR(ROUND(AVERAGE(H3:H17),2),"")</f>
        <v>558.91999999999996</v>
      </c>
      <c r="E20" s="15">
        <f>IFERROR(ROUND(IF(B20&lt;2,"n/a",(IF(C20&lt;=25%,"n/a",AVERAGE(I3:I17)))),2),"n/a")</f>
        <v>489.62</v>
      </c>
      <c r="F20" s="10">
        <f>IFERROR(ROUND(MEDIAN(H3:H17),2),"")</f>
        <v>619</v>
      </c>
      <c r="G20" s="11" t="str">
        <f>IFERROR(INDEX(G3:G17,MATCH(H20,H3:H17,0)),"")</f>
        <v>SOLUTI - SOLUCOES EM NEGOCIOS INTELIGENTES S/A</v>
      </c>
      <c r="H20" s="12">
        <f>F3</f>
        <v>200</v>
      </c>
    </row>
    <row r="22" spans="1:9" x14ac:dyDescent="0.25">
      <c r="G22" s="13" t="s">
        <v>20</v>
      </c>
      <c r="H22" s="14">
        <f>IF(C20&lt;=25%,D20,MIN(E20:F20))</f>
        <v>489.62</v>
      </c>
    </row>
    <row r="23" spans="1:9" x14ac:dyDescent="0.25">
      <c r="G23" s="13" t="s">
        <v>6</v>
      </c>
      <c r="H23" s="14">
        <f>ROUND(H22,2)*D3</f>
        <v>19584.8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109</v>
      </c>
      <c r="C3" s="36" t="s">
        <v>7</v>
      </c>
      <c r="D3" s="36">
        <v>50</v>
      </c>
      <c r="E3" s="37">
        <f>IF(C20&lt;=25%,D20,MIN(E20:F20))</f>
        <v>68.040000000000006</v>
      </c>
      <c r="F3" s="37">
        <f>MIN(H3:H17)</f>
        <v>49</v>
      </c>
      <c r="G3" s="5" t="s">
        <v>111</v>
      </c>
      <c r="H3" s="16">
        <v>65</v>
      </c>
      <c r="I3" s="17">
        <f>IF(H3="","",(IF($C$20&lt;25%,"n/a",IF(H3&lt;=($D$20+$A$20),H3,"Descartado"))))</f>
        <v>65</v>
      </c>
    </row>
    <row r="4" spans="1:9" x14ac:dyDescent="0.25">
      <c r="A4" s="38"/>
      <c r="B4" s="35"/>
      <c r="C4" s="36"/>
      <c r="D4" s="36"/>
      <c r="E4" s="37"/>
      <c r="F4" s="37"/>
      <c r="G4" s="5" t="s">
        <v>112</v>
      </c>
      <c r="H4" s="16">
        <v>58</v>
      </c>
      <c r="I4" s="17">
        <f t="shared" ref="I4:I17" si="0">IF(H4="","",(IF($C$20&lt;25%,"n/a",IF(H4&lt;=($D$20+$A$20),H4,"Descartado"))))</f>
        <v>58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60.98</v>
      </c>
      <c r="I5" s="17">
        <f t="shared" si="0"/>
        <v>60.98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70</v>
      </c>
      <c r="I6" s="17">
        <f t="shared" si="0"/>
        <v>70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110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49</v>
      </c>
      <c r="I8" s="17">
        <f t="shared" si="0"/>
        <v>49</v>
      </c>
    </row>
    <row r="9" spans="1:9" x14ac:dyDescent="0.25">
      <c r="A9" s="38"/>
      <c r="B9" s="35"/>
      <c r="C9" s="36"/>
      <c r="D9" s="36"/>
      <c r="E9" s="37"/>
      <c r="F9" s="37"/>
      <c r="G9" s="5" t="s">
        <v>137</v>
      </c>
      <c r="H9" s="16">
        <v>100</v>
      </c>
      <c r="I9" s="17">
        <f t="shared" si="0"/>
        <v>100</v>
      </c>
    </row>
    <row r="10" spans="1:9" x14ac:dyDescent="0.25">
      <c r="A10" s="38"/>
      <c r="B10" s="35"/>
      <c r="C10" s="36"/>
      <c r="D10" s="36"/>
      <c r="E10" s="37"/>
      <c r="F10" s="37"/>
      <c r="G10" s="5" t="s">
        <v>144</v>
      </c>
      <c r="H10" s="16">
        <v>97</v>
      </c>
      <c r="I10" s="17">
        <f t="shared" si="0"/>
        <v>97</v>
      </c>
    </row>
    <row r="11" spans="1:9" x14ac:dyDescent="0.25">
      <c r="A11" s="38"/>
      <c r="B11" s="35"/>
      <c r="C11" s="36"/>
      <c r="D11" s="36"/>
      <c r="E11" s="37"/>
      <c r="F11" s="37"/>
      <c r="G11" s="5" t="s">
        <v>133</v>
      </c>
      <c r="H11" s="16">
        <v>110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69.5</v>
      </c>
      <c r="I12" s="17">
        <f t="shared" si="0"/>
        <v>69.5</v>
      </c>
    </row>
    <row r="13" spans="1:9" x14ac:dyDescent="0.25">
      <c r="A13" s="38"/>
      <c r="B13" s="35"/>
      <c r="C13" s="36"/>
      <c r="D13" s="36"/>
      <c r="E13" s="37"/>
      <c r="F13" s="37"/>
      <c r="G13" s="5" t="s">
        <v>121</v>
      </c>
      <c r="H13" s="16">
        <v>59</v>
      </c>
      <c r="I13" s="17">
        <f t="shared" si="0"/>
        <v>59</v>
      </c>
    </row>
    <row r="14" spans="1:9" x14ac:dyDescent="0.25">
      <c r="A14" s="38"/>
      <c r="B14" s="35"/>
      <c r="C14" s="36"/>
      <c r="D14" s="36"/>
      <c r="E14" s="37"/>
      <c r="F14" s="37"/>
      <c r="G14" s="5" t="s">
        <v>122</v>
      </c>
      <c r="H14" s="16">
        <v>69.989999999999995</v>
      </c>
      <c r="I14" s="17">
        <f t="shared" si="0"/>
        <v>69.989999999999995</v>
      </c>
    </row>
    <row r="15" spans="1:9" x14ac:dyDescent="0.25">
      <c r="A15" s="38"/>
      <c r="B15" s="35"/>
      <c r="C15" s="36"/>
      <c r="D15" s="36"/>
      <c r="E15" s="37"/>
      <c r="F15" s="37"/>
      <c r="G15" s="5" t="s">
        <v>123</v>
      </c>
      <c r="H15" s="16">
        <v>50</v>
      </c>
      <c r="I15" s="17">
        <f t="shared" si="0"/>
        <v>50</v>
      </c>
    </row>
    <row r="16" spans="1:9" x14ac:dyDescent="0.25">
      <c r="A16" s="38"/>
      <c r="B16" s="35"/>
      <c r="C16" s="36"/>
      <c r="D16" s="36"/>
      <c r="E16" s="37"/>
      <c r="F16" s="37"/>
      <c r="G16" s="5" t="s">
        <v>124</v>
      </c>
      <c r="H16" s="16">
        <v>120</v>
      </c>
      <c r="I16" s="17" t="str">
        <f t="shared" si="0"/>
        <v>Descartado</v>
      </c>
    </row>
    <row r="17" spans="1:9" x14ac:dyDescent="0.25">
      <c r="A17" s="38"/>
      <c r="B17" s="35"/>
      <c r="C17" s="36"/>
      <c r="D17" s="36"/>
      <c r="E17" s="37"/>
      <c r="F17" s="37"/>
      <c r="G17" s="5" t="s">
        <v>136</v>
      </c>
      <c r="H17" s="16">
        <v>120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25.867005698563634</v>
      </c>
      <c r="B20" s="8">
        <f>COUNT(H3:H17)</f>
        <v>15</v>
      </c>
      <c r="C20" s="9">
        <f>IF(B20&lt;2,"n/a",(A20/D20))</f>
        <v>0.32108994164056148</v>
      </c>
      <c r="D20" s="10">
        <f>IFERROR(ROUND(AVERAGE(H3:H17),2),"")</f>
        <v>80.56</v>
      </c>
      <c r="E20" s="15">
        <f>IFERROR(ROUND(IF(B20&lt;2,"n/a",(IF(C20&lt;=25%,"n/a",AVERAGE(I3:I17)))),2),"n/a")</f>
        <v>68.040000000000006</v>
      </c>
      <c r="F20" s="10">
        <f>IFERROR(ROUND(MEDIAN(H3:H17),2),"")</f>
        <v>69.989999999999995</v>
      </c>
      <c r="G20" s="11" t="str">
        <f>IFERROR(INDEX(G3:G17,MATCH(H20,H3:H17,0)),"")</f>
        <v>X.DIGITAL BRASIL SEGURANCA DA INFORMACAO LTDA</v>
      </c>
      <c r="H20" s="12">
        <f>F3</f>
        <v>49</v>
      </c>
    </row>
    <row r="22" spans="1:9" x14ac:dyDescent="0.25">
      <c r="G22" s="13" t="s">
        <v>20</v>
      </c>
      <c r="H22" s="14">
        <f>IF(C20&lt;=25%,D20,MIN(E20:F20))</f>
        <v>68.040000000000006</v>
      </c>
    </row>
    <row r="23" spans="1:9" x14ac:dyDescent="0.25">
      <c r="G23" s="13" t="s">
        <v>6</v>
      </c>
      <c r="H23" s="14">
        <f>ROUND(H22,2)*D3</f>
        <v>3402.0000000000005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">
        <v>110</v>
      </c>
      <c r="C3" s="36" t="s">
        <v>7</v>
      </c>
      <c r="D3" s="36">
        <v>2</v>
      </c>
      <c r="E3" s="37">
        <f>IF(C20&lt;=25%,D20,MIN(E20:F20))</f>
        <v>703.5</v>
      </c>
      <c r="F3" s="37">
        <f>MIN(H3:H17)</f>
        <v>606.83000000000004</v>
      </c>
      <c r="G3" s="5" t="s">
        <v>138</v>
      </c>
      <c r="H3" s="16">
        <v>606.83000000000004</v>
      </c>
      <c r="I3" s="17">
        <f>IF(H3="","",(IF($C$20&lt;25%,"n/a",IF(H3&lt;=($D$20+$A$20),H3,"Descartado"))))</f>
        <v>606.83000000000004</v>
      </c>
    </row>
    <row r="4" spans="1:9" x14ac:dyDescent="0.25">
      <c r="A4" s="38"/>
      <c r="B4" s="35"/>
      <c r="C4" s="36"/>
      <c r="D4" s="36"/>
      <c r="E4" s="37"/>
      <c r="F4" s="37"/>
      <c r="G4" s="5" t="s">
        <v>116</v>
      </c>
      <c r="H4" s="16">
        <v>607.82000000000005</v>
      </c>
      <c r="I4" s="17">
        <f t="shared" ref="I4:I17" si="0">IF(H4="","",(IF($C$20&lt;25%,"n/a",IF(H4&lt;=($D$20+$A$20),H4,"Descartado"))))</f>
        <v>607.82000000000005</v>
      </c>
    </row>
    <row r="5" spans="1:9" x14ac:dyDescent="0.25">
      <c r="A5" s="38"/>
      <c r="B5" s="35"/>
      <c r="C5" s="36"/>
      <c r="D5" s="36"/>
      <c r="E5" s="37"/>
      <c r="F5" s="37"/>
      <c r="G5" s="5" t="s">
        <v>137</v>
      </c>
      <c r="H5" s="16">
        <v>609</v>
      </c>
      <c r="I5" s="17">
        <f t="shared" si="0"/>
        <v>609</v>
      </c>
    </row>
    <row r="6" spans="1:9" x14ac:dyDescent="0.25">
      <c r="A6" s="38"/>
      <c r="B6" s="35"/>
      <c r="C6" s="36"/>
      <c r="D6" s="36"/>
      <c r="E6" s="37"/>
      <c r="F6" s="37"/>
      <c r="G6" s="5" t="s">
        <v>121</v>
      </c>
      <c r="H6" s="16">
        <v>1450.4</v>
      </c>
      <c r="I6" s="17">
        <f t="shared" si="0"/>
        <v>1450.4</v>
      </c>
    </row>
    <row r="7" spans="1:9" x14ac:dyDescent="0.25">
      <c r="A7" s="38"/>
      <c r="B7" s="35"/>
      <c r="C7" s="36"/>
      <c r="D7" s="36"/>
      <c r="E7" s="37"/>
      <c r="F7" s="37"/>
      <c r="G7" s="5" t="s">
        <v>143</v>
      </c>
      <c r="H7" s="16">
        <v>2500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 t="s">
        <v>136</v>
      </c>
      <c r="H8" s="16">
        <v>798</v>
      </c>
      <c r="I8" s="17">
        <f t="shared" si="0"/>
        <v>798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761.62888087090471</v>
      </c>
      <c r="B20" s="8">
        <f>COUNT(H3:H17)</f>
        <v>6</v>
      </c>
      <c r="C20" s="9">
        <f>IF(B20&lt;2,"n/a",(A20/D20))</f>
        <v>0.69533558609281576</v>
      </c>
      <c r="D20" s="10">
        <f>IFERROR(ROUND(AVERAGE(H3:H17),2),"")</f>
        <v>1095.3399999999999</v>
      </c>
      <c r="E20" s="15">
        <f>IFERROR(ROUND(IF(B20&lt;2,"n/a",(IF(C20&lt;=25%,"n/a",AVERAGE(I3:I17)))),2),"n/a")</f>
        <v>814.41</v>
      </c>
      <c r="F20" s="10">
        <f>IFERROR(ROUND(MEDIAN(H3:H17),2),"")</f>
        <v>703.5</v>
      </c>
      <c r="G20" s="11" t="str">
        <f>IFERROR(INDEX(G3:G17,MATCH(H20,H3:H17,0)),"")</f>
        <v>STILLE TECNOLOGIA &amp; INOVACAO LTDA</v>
      </c>
      <c r="H20" s="12">
        <f>F3</f>
        <v>606.83000000000004</v>
      </c>
    </row>
    <row r="22" spans="1:9" x14ac:dyDescent="0.25">
      <c r="G22" s="13" t="s">
        <v>20</v>
      </c>
      <c r="H22" s="14">
        <f>IF(C20&lt;=25%,D20,MIN(E20:F20))</f>
        <v>703.5</v>
      </c>
    </row>
    <row r="23" spans="1:9" x14ac:dyDescent="0.25">
      <c r="G23" s="13" t="s">
        <v>6</v>
      </c>
      <c r="H23" s="14">
        <f>ROUND(H22,2)*D3</f>
        <v>1407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100</v>
      </c>
      <c r="C3" s="36" t="s">
        <v>7</v>
      </c>
      <c r="D3" s="36">
        <v>2377</v>
      </c>
      <c r="E3" s="37">
        <f>IF(C20&lt;=25%,D20,MIN(E20:F20))</f>
        <v>162.41999999999999</v>
      </c>
      <c r="F3" s="37">
        <f>MIN(H3:H17)</f>
        <v>79</v>
      </c>
      <c r="G3" s="5" t="s">
        <v>111</v>
      </c>
      <c r="H3" s="16">
        <v>79</v>
      </c>
      <c r="I3" s="17">
        <f>IF(H3="","",(IF($C$20&lt;25%,"n/a",IF(H3&lt;=($D$20+$A$20),H3,"Descartado"))))</f>
        <v>79</v>
      </c>
    </row>
    <row r="4" spans="1:9" x14ac:dyDescent="0.25">
      <c r="A4" s="38"/>
      <c r="B4" s="35"/>
      <c r="C4" s="36"/>
      <c r="D4" s="36"/>
      <c r="E4" s="37"/>
      <c r="F4" s="37"/>
      <c r="G4" s="5" t="s">
        <v>113</v>
      </c>
      <c r="H4" s="16">
        <v>82</v>
      </c>
      <c r="I4" s="17">
        <f t="shared" ref="I4:I17" si="0">IF(H4="","",(IF($C$20&lt;25%,"n/a",IF(H4&lt;=($D$20+$A$20),H4,"Descartado"))))</f>
        <v>82</v>
      </c>
    </row>
    <row r="5" spans="1:9" x14ac:dyDescent="0.25">
      <c r="A5" s="38"/>
      <c r="B5" s="35"/>
      <c r="C5" s="36"/>
      <c r="D5" s="36"/>
      <c r="E5" s="37"/>
      <c r="F5" s="37"/>
      <c r="G5" s="5" t="s">
        <v>123</v>
      </c>
      <c r="H5" s="16">
        <v>121</v>
      </c>
      <c r="I5" s="17">
        <f t="shared" si="0"/>
        <v>121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148</v>
      </c>
      <c r="I6" s="17">
        <f t="shared" si="0"/>
        <v>148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189</v>
      </c>
      <c r="I7" s="17">
        <f t="shared" si="0"/>
        <v>189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160</v>
      </c>
      <c r="I8" s="17">
        <f t="shared" si="0"/>
        <v>160</v>
      </c>
    </row>
    <row r="9" spans="1:9" x14ac:dyDescent="0.25">
      <c r="A9" s="38"/>
      <c r="B9" s="35"/>
      <c r="C9" s="36"/>
      <c r="D9" s="36"/>
      <c r="E9" s="37"/>
      <c r="F9" s="37"/>
      <c r="G9" s="5" t="s">
        <v>133</v>
      </c>
      <c r="H9" s="16">
        <v>220</v>
      </c>
      <c r="I9" s="17">
        <f t="shared" si="0"/>
        <v>220</v>
      </c>
    </row>
    <row r="10" spans="1:9" x14ac:dyDescent="0.25">
      <c r="A10" s="38"/>
      <c r="B10" s="35"/>
      <c r="C10" s="36"/>
      <c r="D10" s="36"/>
      <c r="E10" s="37"/>
      <c r="F10" s="37"/>
      <c r="G10" s="5" t="s">
        <v>135</v>
      </c>
      <c r="H10" s="16">
        <v>250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134</v>
      </c>
      <c r="H11" s="16">
        <v>240</v>
      </c>
      <c r="I11" s="17">
        <f t="shared" si="0"/>
        <v>240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270</v>
      </c>
      <c r="I12" s="17" t="str">
        <f t="shared" si="0"/>
        <v>Descartado</v>
      </c>
    </row>
    <row r="13" spans="1:9" x14ac:dyDescent="0.25">
      <c r="A13" s="38"/>
      <c r="B13" s="35"/>
      <c r="C13" s="36"/>
      <c r="D13" s="36"/>
      <c r="E13" s="37"/>
      <c r="F13" s="37"/>
      <c r="G13" s="5" t="s">
        <v>121</v>
      </c>
      <c r="H13" s="16">
        <v>120</v>
      </c>
      <c r="I13" s="17">
        <f t="shared" si="0"/>
        <v>120</v>
      </c>
    </row>
    <row r="14" spans="1:9" x14ac:dyDescent="0.25">
      <c r="A14" s="38"/>
      <c r="B14" s="35"/>
      <c r="C14" s="36"/>
      <c r="D14" s="36"/>
      <c r="E14" s="37"/>
      <c r="F14" s="37"/>
      <c r="G14" s="5" t="s">
        <v>122</v>
      </c>
      <c r="H14" s="16">
        <v>174.99</v>
      </c>
      <c r="I14" s="17">
        <f t="shared" si="0"/>
        <v>174.99</v>
      </c>
    </row>
    <row r="15" spans="1:9" x14ac:dyDescent="0.25">
      <c r="A15" s="38"/>
      <c r="B15" s="35"/>
      <c r="C15" s="36"/>
      <c r="D15" s="36"/>
      <c r="E15" s="37"/>
      <c r="F15" s="37"/>
      <c r="G15" s="5" t="s">
        <v>123</v>
      </c>
      <c r="H15" s="16">
        <v>175</v>
      </c>
      <c r="I15" s="17">
        <f t="shared" si="0"/>
        <v>175</v>
      </c>
    </row>
    <row r="16" spans="1:9" x14ac:dyDescent="0.25">
      <c r="A16" s="38"/>
      <c r="B16" s="35"/>
      <c r="C16" s="36"/>
      <c r="D16" s="36"/>
      <c r="E16" s="37"/>
      <c r="F16" s="37"/>
      <c r="G16" s="5" t="s">
        <v>126</v>
      </c>
      <c r="H16" s="16">
        <v>240</v>
      </c>
      <c r="I16" s="17">
        <f t="shared" si="0"/>
        <v>240</v>
      </c>
    </row>
    <row r="17" spans="1:9" x14ac:dyDescent="0.25">
      <c r="A17" s="38"/>
      <c r="B17" s="35"/>
      <c r="C17" s="36"/>
      <c r="D17" s="36"/>
      <c r="E17" s="37"/>
      <c r="F17" s="37"/>
      <c r="G17" s="5" t="s">
        <v>124</v>
      </c>
      <c r="H17" s="16">
        <v>280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65.509595131444101</v>
      </c>
      <c r="B20" s="8">
        <f>COUNT(H3:H17)</f>
        <v>15</v>
      </c>
      <c r="C20" s="9">
        <f>IF(B20&lt;2,"n/a",(A20/D20))</f>
        <v>0.3574485465785131</v>
      </c>
      <c r="D20" s="10">
        <f>IFERROR(ROUND(AVERAGE(H3:H17),2),"")</f>
        <v>183.27</v>
      </c>
      <c r="E20" s="15">
        <f>IFERROR(ROUND(IF(B20&lt;2,"n/a",(IF(C20&lt;=25%,"n/a",AVERAGE(I3:I17)))),2),"n/a")</f>
        <v>162.41999999999999</v>
      </c>
      <c r="F20" s="10">
        <f>IFERROR(ROUND(MEDIAN(H3:H17),2),"")</f>
        <v>175</v>
      </c>
      <c r="G20" s="11" t="str">
        <f>IFERROR(INDEX(G3:G17,MATCH(H20,H3:H17,0)),"")</f>
        <v>VISATTO CERTIFICADORA E SOLUCOES DIGITAIS LTDA</v>
      </c>
      <c r="H20" s="12">
        <f>F3</f>
        <v>79</v>
      </c>
    </row>
    <row r="22" spans="1:9" x14ac:dyDescent="0.25">
      <c r="G22" s="13" t="s">
        <v>20</v>
      </c>
      <c r="H22" s="14">
        <f>IF(C20&lt;=25%,D20,MIN(E20:F20))</f>
        <v>162.41999999999999</v>
      </c>
    </row>
    <row r="23" spans="1:9" x14ac:dyDescent="0.25">
      <c r="G23" s="13" t="s">
        <v>6</v>
      </c>
      <c r="H23" s="14">
        <f>ROUND(H22,2)*D3</f>
        <v>386072.33999999997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topLeftCell="A10" zoomScaleNormal="100" zoomScaleSheetLayoutView="100" workbookViewId="0">
      <selection activeCell="G20" sqref="G20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45" x14ac:dyDescent="0.25">
      <c r="A3" s="25" t="s">
        <v>98</v>
      </c>
      <c r="B3" s="25">
        <f>Item1!A3</f>
        <v>1</v>
      </c>
      <c r="C3" s="27" t="str">
        <f>Item1!B3</f>
        <v>Certificado digital para assinatura de código, tipo A3, OV, Padrão (Raiz Internacional).</v>
      </c>
      <c r="D3" s="25" t="str">
        <f>Item1!C3</f>
        <v>unidade</v>
      </c>
      <c r="E3" s="25">
        <f>Item1!D3</f>
        <v>17</v>
      </c>
      <c r="F3" s="26">
        <f>Item1!E3</f>
        <v>1470.19</v>
      </c>
      <c r="G3" s="26">
        <f>ROUND((E3*F3),2)</f>
        <v>24993.23</v>
      </c>
    </row>
    <row r="4" spans="1:7" ht="135" x14ac:dyDescent="0.25">
      <c r="A4" s="25">
        <v>1</v>
      </c>
      <c r="B4" s="25">
        <f>Item2!A3</f>
        <v>2</v>
      </c>
      <c r="C4" s="27" t="str">
        <f>Item2!B3</f>
        <v>Certificado Digital tipo e-CPF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v>
      </c>
      <c r="D4" s="25" t="str">
        <f>Item2!C3</f>
        <v>unidade</v>
      </c>
      <c r="E4" s="25">
        <f>Item2!D3</f>
        <v>2377</v>
      </c>
      <c r="F4" s="26">
        <f>Item2!E3</f>
        <v>162.41999999999999</v>
      </c>
      <c r="G4" s="26">
        <f t="shared" ref="G4:G14" si="0">ROUND((E4*F4),2)</f>
        <v>386072.34</v>
      </c>
    </row>
    <row r="5" spans="1:7" ht="105" x14ac:dyDescent="0.25">
      <c r="A5" s="25">
        <v>1</v>
      </c>
      <c r="B5" s="25">
        <f>Item3!A3</f>
        <v>3</v>
      </c>
      <c r="C5" s="27" t="str">
        <f>Item3!B3</f>
        <v>Certificado Digital tipo e-CPF A3 com validade de 36 (trinta e seis) meses, renovação, emitido por autoridade certificadora credenciada pela Infraestrutura de Chaves Públicas Brasileira (ICP-Brasil), cadeia de certificação AC JUS.</v>
      </c>
      <c r="D5" s="25" t="str">
        <f>Item3!C3</f>
        <v>unidade</v>
      </c>
      <c r="E5" s="25">
        <f>Item3!D3</f>
        <v>1275</v>
      </c>
      <c r="F5" s="26">
        <f>Item3!E3</f>
        <v>139.51</v>
      </c>
      <c r="G5" s="26">
        <f t="shared" si="0"/>
        <v>177875.25</v>
      </c>
    </row>
    <row r="6" spans="1:7" ht="105" x14ac:dyDescent="0.25">
      <c r="A6" s="25">
        <v>1</v>
      </c>
      <c r="B6" s="25">
        <f>Item4!A3</f>
        <v>4</v>
      </c>
      <c r="C6" s="27" t="str">
        <f>Item4!B3</f>
        <v>Certificado Digital tipo e-CPF A3 com validade de 36 (trinta e seis) meses, em nuvem, emitido por autoridade certificadora credenciada pela Infraestrutura de Chaves Públicas Brasileira (ICP-Brasil), cadeia de certificação AC JUS.</v>
      </c>
      <c r="D6" s="25" t="str">
        <f>Item4!C3</f>
        <v>unidade</v>
      </c>
      <c r="E6" s="25">
        <f>Item4!D3</f>
        <v>1635</v>
      </c>
      <c r="F6" s="26">
        <f>Item4!E3</f>
        <v>139.51</v>
      </c>
      <c r="G6" s="26">
        <f t="shared" si="0"/>
        <v>228098.85</v>
      </c>
    </row>
    <row r="7" spans="1:7" ht="135" x14ac:dyDescent="0.25">
      <c r="A7" s="25">
        <v>1</v>
      </c>
      <c r="B7" s="25">
        <f>Item5!A3</f>
        <v>5</v>
      </c>
      <c r="C7" s="27" t="str">
        <f>Item5!B3</f>
        <v>Certificado Digital tipo e-CNPJ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v>
      </c>
      <c r="D7" s="25" t="str">
        <f>Item5!C3</f>
        <v>unidade</v>
      </c>
      <c r="E7" s="25">
        <f>Item5!D3</f>
        <v>33</v>
      </c>
      <c r="F7" s="26">
        <f>Item5!E3</f>
        <v>287.72000000000003</v>
      </c>
      <c r="G7" s="26">
        <f t="shared" si="0"/>
        <v>9494.76</v>
      </c>
    </row>
    <row r="8" spans="1:7" ht="105" x14ac:dyDescent="0.25">
      <c r="A8" s="25">
        <v>1</v>
      </c>
      <c r="B8" s="25">
        <f>Item6!A3</f>
        <v>6</v>
      </c>
      <c r="C8" s="27" t="str">
        <f>Item6!B3</f>
        <v>Certificado Digital tipo e-CNPJ A3 com validade de 36 (trinta e seis) meses, renovação, emitido por autoridade certificadora credenciada pela Infraestrutura de Chaves Públicas Brasileira (ICP-Brasil), cadeia de certificação AC JUS.</v>
      </c>
      <c r="D8" s="25" t="str">
        <f>Item6!C3</f>
        <v>unidade</v>
      </c>
      <c r="E8" s="25">
        <f>Item6!D3</f>
        <v>33</v>
      </c>
      <c r="F8" s="26">
        <f>Item6!E3</f>
        <v>75.3</v>
      </c>
      <c r="G8" s="26">
        <f t="shared" si="0"/>
        <v>2484.9</v>
      </c>
    </row>
    <row r="9" spans="1:7" ht="105" x14ac:dyDescent="0.25">
      <c r="A9" s="25">
        <v>1</v>
      </c>
      <c r="B9" s="25">
        <f>Item7!A3</f>
        <v>7</v>
      </c>
      <c r="C9" s="27" t="str">
        <f>Item7!B3</f>
        <v>Certificado Digital tipo e-CNPJ A3 com validade de 36 (trinta e seis) meses, em nuvem, emitido por autoridade certificadora credenciada pela Infraestrutura de Chaves Públicas Brasileira (ICP-Brasil), cadeia de certificação AC JUS.</v>
      </c>
      <c r="D9" s="25" t="str">
        <f>Item7!C3</f>
        <v>unidade</v>
      </c>
      <c r="E9" s="25">
        <f>Item7!D3</f>
        <v>27</v>
      </c>
      <c r="F9" s="26">
        <f>Item7!E3</f>
        <v>75.3</v>
      </c>
      <c r="G9" s="26">
        <f t="shared" si="0"/>
        <v>2033.1</v>
      </c>
    </row>
    <row r="10" spans="1:7" ht="30" x14ac:dyDescent="0.25">
      <c r="A10" s="25">
        <v>1</v>
      </c>
      <c r="B10" s="25">
        <f>Item8!A3</f>
        <v>8</v>
      </c>
      <c r="C10" s="27" t="str">
        <f>Item8!B3</f>
        <v>Visita técnica para certificação presencial.</v>
      </c>
      <c r="D10" s="25" t="str">
        <f>Item8!C3</f>
        <v>unidade</v>
      </c>
      <c r="E10" s="25">
        <f>Item8!D3</f>
        <v>106</v>
      </c>
      <c r="F10" s="26">
        <f>Item8!E3</f>
        <v>133.5</v>
      </c>
      <c r="G10" s="26">
        <f t="shared" si="0"/>
        <v>14151</v>
      </c>
    </row>
    <row r="11" spans="1:7" ht="45" x14ac:dyDescent="0.25">
      <c r="A11" s="25">
        <v>2</v>
      </c>
      <c r="B11" s="25">
        <f>Item9!A3</f>
        <v>9</v>
      </c>
      <c r="C11" s="27" t="str">
        <f>Item9!B3</f>
        <v>Certificado Digital tipo SSL, OV, tipo A1 para servidor, com validade de 12 (dozes) meses, Padrão (Raiz Internacional).</v>
      </c>
      <c r="D11" s="25" t="str">
        <f>Item9!C3</f>
        <v>unidade</v>
      </c>
      <c r="E11" s="25">
        <f>Item9!D3</f>
        <v>56</v>
      </c>
      <c r="F11" s="26">
        <f>Item9!E3</f>
        <v>760.45</v>
      </c>
      <c r="G11" s="26">
        <f t="shared" si="0"/>
        <v>42585.2</v>
      </c>
    </row>
    <row r="12" spans="1:7" ht="45" x14ac:dyDescent="0.25">
      <c r="A12" s="25">
        <v>2</v>
      </c>
      <c r="B12" s="25">
        <f>Item10!A3</f>
        <v>10</v>
      </c>
      <c r="C12" s="27" t="str">
        <f>Item10!B3</f>
        <v>Certificado Digital tipo WildCard SSL, OV, com validade de 12 (dozes) meses, Padrão (Raiz Internacional).</v>
      </c>
      <c r="D12" s="25" t="str">
        <f>Item10!C3</f>
        <v>unidade</v>
      </c>
      <c r="E12" s="25">
        <f>Item10!D3</f>
        <v>40</v>
      </c>
      <c r="F12" s="26">
        <f>Item10!E3</f>
        <v>489.62</v>
      </c>
      <c r="G12" s="26">
        <f t="shared" si="0"/>
        <v>19584.8</v>
      </c>
    </row>
    <row r="13" spans="1:7" ht="90" x14ac:dyDescent="0.25">
      <c r="A13" s="25">
        <v>2</v>
      </c>
      <c r="B13" s="25">
        <f>Item11!A3</f>
        <v>11</v>
      </c>
      <c r="C13" s="27" t="str">
        <f>Item11!B3</f>
        <v>Certificado Digital tipo e-CNPJ A1 com validade de 12 (doze) meses, armazenado em computador, emitido por autoridade certificadora credenciada pela Infraestrutura de Chaves Públicas Brasileira (ICP-Brasil).</v>
      </c>
      <c r="D13" s="25" t="str">
        <f>Item11!C3</f>
        <v>unidade</v>
      </c>
      <c r="E13" s="25">
        <f>Item11!D3</f>
        <v>50</v>
      </c>
      <c r="F13" s="26">
        <f>Item11!E3</f>
        <v>68.040000000000006</v>
      </c>
      <c r="G13" s="26">
        <f t="shared" si="0"/>
        <v>3402</v>
      </c>
    </row>
    <row r="14" spans="1:7" ht="45" x14ac:dyDescent="0.25">
      <c r="A14" s="25">
        <v>2</v>
      </c>
      <c r="B14" s="25">
        <f>Item12!A3</f>
        <v>12</v>
      </c>
      <c r="C14" s="27" t="str">
        <f>Item12!B3</f>
        <v>Certificado Digital tipo WildCard SSL, DV, com validade de 12 (dozes) meses, Padrão (Raiz Internacional).</v>
      </c>
      <c r="D14" s="25" t="str">
        <f>Item12!C3</f>
        <v>unidade</v>
      </c>
      <c r="E14" s="25">
        <f>Item12!D3</f>
        <v>2</v>
      </c>
      <c r="F14" s="26">
        <f>Item12!E3</f>
        <v>703.5</v>
      </c>
      <c r="G14" s="26">
        <f t="shared" si="0"/>
        <v>1407</v>
      </c>
    </row>
    <row r="15" spans="1:7" x14ac:dyDescent="0.25">
      <c r="A15" s="28"/>
      <c r="B15" s="28"/>
      <c r="C15" s="29"/>
      <c r="D15" s="30"/>
      <c r="E15" s="30"/>
      <c r="F15" s="31"/>
      <c r="G15" s="31"/>
    </row>
    <row r="16" spans="1:7" ht="15.75" thickBot="1" x14ac:dyDescent="0.3"/>
    <row r="17" spans="4:6" ht="16.5" thickTop="1" thickBot="1" x14ac:dyDescent="0.3">
      <c r="D17" s="22"/>
      <c r="E17" s="23" t="s">
        <v>33</v>
      </c>
      <c r="F17" s="24">
        <f>SUM(G:G)</f>
        <v>912182.43</v>
      </c>
    </row>
    <row r="18" spans="4:6" ht="15.75" thickTop="1" x14ac:dyDescent="0.25">
      <c r="F18" s="3"/>
    </row>
    <row r="19" spans="4:6" x14ac:dyDescent="0.25">
      <c r="D19" s="21" t="s">
        <v>32</v>
      </c>
      <c r="E19" s="13">
        <f>MAX(A:A)</f>
        <v>2</v>
      </c>
    </row>
    <row r="21" spans="4:6" x14ac:dyDescent="0.25">
      <c r="D21" s="18" t="s">
        <v>31</v>
      </c>
      <c r="E21" s="19">
        <v>1</v>
      </c>
      <c r="F21" s="20">
        <f>SUMIF(A:A,E21,G:G)</f>
        <v>820210.20000000007</v>
      </c>
    </row>
    <row r="22" spans="4:6" x14ac:dyDescent="0.25">
      <c r="D22" s="18" t="s">
        <v>31</v>
      </c>
      <c r="E22" s="19">
        <v>2</v>
      </c>
      <c r="F22" s="20">
        <f>SUMIF(A:A,E22,G:G)</f>
        <v>66979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: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101</v>
      </c>
      <c r="C3" s="36" t="s">
        <v>7</v>
      </c>
      <c r="D3" s="36">
        <v>1275</v>
      </c>
      <c r="E3" s="37">
        <f>IF(C20&lt;=25%,D20,MIN(E20:F20))</f>
        <v>139.51</v>
      </c>
      <c r="F3" s="37">
        <f>MIN(H3:H17)</f>
        <v>77</v>
      </c>
      <c r="G3" s="5" t="s">
        <v>111</v>
      </c>
      <c r="H3" s="16">
        <v>80</v>
      </c>
      <c r="I3" s="17">
        <f>IF(H3="","",(IF($C$20&lt;25%,"n/a",IF(H3&lt;=($D$20+$A$20),H3,"Descartado"))))</f>
        <v>80</v>
      </c>
    </row>
    <row r="4" spans="1:9" x14ac:dyDescent="0.25">
      <c r="A4" s="38"/>
      <c r="B4" s="35"/>
      <c r="C4" s="36"/>
      <c r="D4" s="36"/>
      <c r="E4" s="37"/>
      <c r="F4" s="37"/>
      <c r="G4" s="5" t="s">
        <v>112</v>
      </c>
      <c r="H4" s="16">
        <v>101</v>
      </c>
      <c r="I4" s="17">
        <f t="shared" ref="I4:I17" si="0">IF(H4="","",(IF($C$20&lt;25%,"n/a",IF(H4&lt;=($D$20+$A$20),H4,"Descartado"))))</f>
        <v>101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77</v>
      </c>
      <c r="I5" s="17">
        <f t="shared" si="0"/>
        <v>77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90</v>
      </c>
      <c r="I6" s="17">
        <f t="shared" si="0"/>
        <v>90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129</v>
      </c>
      <c r="I7" s="17">
        <f t="shared" si="0"/>
        <v>129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205</v>
      </c>
      <c r="I8" s="17">
        <f t="shared" si="0"/>
        <v>205</v>
      </c>
    </row>
    <row r="9" spans="1:9" x14ac:dyDescent="0.25">
      <c r="A9" s="38"/>
      <c r="B9" s="35"/>
      <c r="C9" s="36"/>
      <c r="D9" s="36"/>
      <c r="E9" s="37"/>
      <c r="F9" s="37"/>
      <c r="G9" s="5" t="s">
        <v>117</v>
      </c>
      <c r="H9" s="16">
        <v>319.5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 t="s">
        <v>118</v>
      </c>
      <c r="H10" s="16">
        <v>200</v>
      </c>
      <c r="I10" s="17">
        <f t="shared" si="0"/>
        <v>200</v>
      </c>
    </row>
    <row r="11" spans="1:9" x14ac:dyDescent="0.25">
      <c r="A11" s="38"/>
      <c r="B11" s="35"/>
      <c r="C11" s="36"/>
      <c r="D11" s="36"/>
      <c r="E11" s="37"/>
      <c r="F11" s="37"/>
      <c r="G11" s="5" t="s">
        <v>119</v>
      </c>
      <c r="H11" s="16">
        <v>350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177</v>
      </c>
      <c r="I12" s="17">
        <f t="shared" si="0"/>
        <v>177</v>
      </c>
    </row>
    <row r="13" spans="1:9" x14ac:dyDescent="0.25">
      <c r="A13" s="38"/>
      <c r="B13" s="35"/>
      <c r="C13" s="36"/>
      <c r="D13" s="36"/>
      <c r="E13" s="37"/>
      <c r="F13" s="37"/>
      <c r="G13" s="5" t="s">
        <v>131</v>
      </c>
      <c r="H13" s="16">
        <v>110</v>
      </c>
      <c r="I13" s="17">
        <f t="shared" si="0"/>
        <v>110</v>
      </c>
    </row>
    <row r="14" spans="1:9" x14ac:dyDescent="0.25">
      <c r="A14" s="38"/>
      <c r="B14" s="35"/>
      <c r="C14" s="36"/>
      <c r="D14" s="36"/>
      <c r="E14" s="37"/>
      <c r="F14" s="37"/>
      <c r="G14" s="5" t="s">
        <v>132</v>
      </c>
      <c r="H14" s="16">
        <v>226.08</v>
      </c>
      <c r="I14" s="17">
        <f t="shared" si="0"/>
        <v>226.08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92.052291644313215</v>
      </c>
      <c r="B20" s="8">
        <f>COUNT(H3:H17)</f>
        <v>12</v>
      </c>
      <c r="C20" s="9">
        <f>IF(B20&lt;2,"n/a",(A20/D20))</f>
        <v>0.53503220949905961</v>
      </c>
      <c r="D20" s="10">
        <f>IFERROR(ROUND(AVERAGE(H3:H17),2),"")</f>
        <v>172.05</v>
      </c>
      <c r="E20" s="15">
        <f>IFERROR(ROUND(IF(B20&lt;2,"n/a",(IF(C20&lt;=25%,"n/a",AVERAGE(I3:I17)))),2),"n/a")</f>
        <v>139.51</v>
      </c>
      <c r="F20" s="10">
        <f>IFERROR(ROUND(MEDIAN(H3:H17),2),"")</f>
        <v>153</v>
      </c>
      <c r="G20" s="11" t="str">
        <f>IFERROR(INDEX(G3:G17,MATCH(H20,H3:H17,0)),"")</f>
        <v>GLOBALSEC TECNOLOGIA DA INFORMACAO LTDA</v>
      </c>
      <c r="H20" s="12">
        <f>F3</f>
        <v>77</v>
      </c>
    </row>
    <row r="22" spans="1:9" x14ac:dyDescent="0.25">
      <c r="G22" s="13" t="s">
        <v>20</v>
      </c>
      <c r="H22" s="14">
        <f>IF(C20&lt;=25%,D20,MIN(E20:F20))</f>
        <v>139.51</v>
      </c>
    </row>
    <row r="23" spans="1:9" x14ac:dyDescent="0.25">
      <c r="G23" s="13" t="s">
        <v>6</v>
      </c>
      <c r="H23" s="14">
        <f>ROUND(H22,2)*D3</f>
        <v>177875.25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102</v>
      </c>
      <c r="C3" s="36" t="s">
        <v>7</v>
      </c>
      <c r="D3" s="36">
        <v>1635</v>
      </c>
      <c r="E3" s="37">
        <f>IF(C20&lt;=25%,D20,MIN(E20:F20))</f>
        <v>139.51</v>
      </c>
      <c r="F3" s="37">
        <f>MIN(H3:H17)</f>
        <v>77</v>
      </c>
      <c r="G3" s="5" t="s">
        <v>111</v>
      </c>
      <c r="H3" s="16">
        <v>80</v>
      </c>
      <c r="I3" s="17">
        <f>IF(H3="","",(IF($C$20&lt;25%,"n/a",IF(H3&lt;=($D$20+$A$20),H3,"Descartado"))))</f>
        <v>80</v>
      </c>
    </row>
    <row r="4" spans="1:9" x14ac:dyDescent="0.25">
      <c r="A4" s="38"/>
      <c r="B4" s="35"/>
      <c r="C4" s="36"/>
      <c r="D4" s="36"/>
      <c r="E4" s="37"/>
      <c r="F4" s="37"/>
      <c r="G4" s="5" t="s">
        <v>112</v>
      </c>
      <c r="H4" s="16">
        <v>101</v>
      </c>
      <c r="I4" s="17">
        <f t="shared" ref="I4:I17" si="0">IF(H4="","",(IF($C$20&lt;25%,"n/a",IF(H4&lt;=($D$20+$A$20),H4,"Descartado"))))</f>
        <v>101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77</v>
      </c>
      <c r="I5" s="17">
        <f t="shared" si="0"/>
        <v>77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90</v>
      </c>
      <c r="I6" s="17">
        <f t="shared" si="0"/>
        <v>90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129</v>
      </c>
      <c r="I7" s="17">
        <f t="shared" si="0"/>
        <v>129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205</v>
      </c>
      <c r="I8" s="17">
        <f t="shared" si="0"/>
        <v>205</v>
      </c>
    </row>
    <row r="9" spans="1:9" x14ac:dyDescent="0.25">
      <c r="A9" s="38"/>
      <c r="B9" s="35"/>
      <c r="C9" s="36"/>
      <c r="D9" s="36"/>
      <c r="E9" s="37"/>
      <c r="F9" s="37"/>
      <c r="G9" s="5" t="s">
        <v>117</v>
      </c>
      <c r="H9" s="16">
        <v>319.5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 t="s">
        <v>118</v>
      </c>
      <c r="H10" s="16">
        <v>200</v>
      </c>
      <c r="I10" s="17">
        <f t="shared" si="0"/>
        <v>200</v>
      </c>
    </row>
    <row r="11" spans="1:9" x14ac:dyDescent="0.25">
      <c r="A11" s="38"/>
      <c r="B11" s="35"/>
      <c r="C11" s="36"/>
      <c r="D11" s="36"/>
      <c r="E11" s="37"/>
      <c r="F11" s="37"/>
      <c r="G11" s="5" t="s">
        <v>119</v>
      </c>
      <c r="H11" s="16">
        <v>350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177</v>
      </c>
      <c r="I12" s="17">
        <f t="shared" si="0"/>
        <v>177</v>
      </c>
    </row>
    <row r="13" spans="1:9" x14ac:dyDescent="0.25">
      <c r="A13" s="38"/>
      <c r="B13" s="35"/>
      <c r="C13" s="36"/>
      <c r="D13" s="36"/>
      <c r="E13" s="37"/>
      <c r="F13" s="37"/>
      <c r="G13" s="5" t="s">
        <v>131</v>
      </c>
      <c r="H13" s="16">
        <v>110</v>
      </c>
      <c r="I13" s="17">
        <f t="shared" si="0"/>
        <v>110</v>
      </c>
    </row>
    <row r="14" spans="1:9" x14ac:dyDescent="0.25">
      <c r="A14" s="38"/>
      <c r="B14" s="35"/>
      <c r="C14" s="36"/>
      <c r="D14" s="36"/>
      <c r="E14" s="37"/>
      <c r="F14" s="37"/>
      <c r="G14" s="5" t="s">
        <v>132</v>
      </c>
      <c r="H14" s="16">
        <v>226.08</v>
      </c>
      <c r="I14" s="17">
        <f t="shared" si="0"/>
        <v>226.08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92.052291644313215</v>
      </c>
      <c r="B20" s="8">
        <f>COUNT(H3:H17)</f>
        <v>12</v>
      </c>
      <c r="C20" s="9">
        <f>IF(B20&lt;2,"n/a",(A20/D20))</f>
        <v>0.53503220949905961</v>
      </c>
      <c r="D20" s="10">
        <f>IFERROR(ROUND(AVERAGE(H3:H17),2),"")</f>
        <v>172.05</v>
      </c>
      <c r="E20" s="15">
        <f>IFERROR(ROUND(IF(B20&lt;2,"n/a",(IF(C20&lt;=25%,"n/a",AVERAGE(I3:I17)))),2),"n/a")</f>
        <v>139.51</v>
      </c>
      <c r="F20" s="10">
        <f>IFERROR(ROUND(MEDIAN(H3:H17),2),"")</f>
        <v>153</v>
      </c>
      <c r="G20" s="11" t="str">
        <f>IFERROR(INDEX(G3:G17,MATCH(H20,H3:H17,0)),"")</f>
        <v>GLOBALSEC TECNOLOGIA DA INFORMACAO LTDA</v>
      </c>
      <c r="H20" s="12">
        <f>F3</f>
        <v>77</v>
      </c>
    </row>
    <row r="22" spans="1:9" x14ac:dyDescent="0.25">
      <c r="G22" s="13" t="s">
        <v>20</v>
      </c>
      <c r="H22" s="14">
        <f>IF(C20&lt;=25%,D20,MIN(E20:F20))</f>
        <v>139.51</v>
      </c>
    </row>
    <row r="23" spans="1:9" x14ac:dyDescent="0.25">
      <c r="G23" s="13" t="s">
        <v>6</v>
      </c>
      <c r="H23" s="14">
        <f>ROUND(H22,2)*D3</f>
        <v>228098.84999999998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6" sqref="H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103</v>
      </c>
      <c r="C3" s="36" t="s">
        <v>7</v>
      </c>
      <c r="D3" s="36">
        <v>33</v>
      </c>
      <c r="E3" s="37">
        <f>IF(C20&lt;=25%,D20,MIN(E20:F20))</f>
        <v>287.72000000000003</v>
      </c>
      <c r="F3" s="37">
        <f>MIN(H3:H17)</f>
        <v>174.89</v>
      </c>
      <c r="G3" s="5" t="s">
        <v>121</v>
      </c>
      <c r="H3" s="16">
        <v>174.89</v>
      </c>
      <c r="I3" s="17">
        <f>IF(H3="","",(IF($C$20&lt;25%,"n/a",IF(H3&lt;=($D$20+$A$20),H3,"Descartado"))))</f>
        <v>174.89</v>
      </c>
    </row>
    <row r="4" spans="1:9" x14ac:dyDescent="0.25">
      <c r="A4" s="38"/>
      <c r="B4" s="35"/>
      <c r="C4" s="36"/>
      <c r="D4" s="36"/>
      <c r="E4" s="37"/>
      <c r="F4" s="37"/>
      <c r="G4" s="5" t="s">
        <v>122</v>
      </c>
      <c r="H4" s="16">
        <v>174.99</v>
      </c>
      <c r="I4" s="17">
        <f t="shared" ref="I4:I17" si="0">IF(H4="","",(IF($C$20&lt;25%,"n/a",IF(H4&lt;=($D$20+$A$20),H4,"Descartado"))))</f>
        <v>174.99</v>
      </c>
    </row>
    <row r="5" spans="1:9" x14ac:dyDescent="0.25">
      <c r="A5" s="38"/>
      <c r="B5" s="35"/>
      <c r="C5" s="36"/>
      <c r="D5" s="36"/>
      <c r="E5" s="37"/>
      <c r="F5" s="37"/>
      <c r="G5" s="5" t="s">
        <v>123</v>
      </c>
      <c r="H5" s="16">
        <v>175</v>
      </c>
      <c r="I5" s="17">
        <f t="shared" si="0"/>
        <v>175</v>
      </c>
    </row>
    <row r="6" spans="1:9" x14ac:dyDescent="0.25">
      <c r="A6" s="38"/>
      <c r="B6" s="35"/>
      <c r="C6" s="36"/>
      <c r="D6" s="36"/>
      <c r="E6" s="37"/>
      <c r="F6" s="37"/>
      <c r="G6" s="5" t="s">
        <v>126</v>
      </c>
      <c r="H6" s="16">
        <v>240</v>
      </c>
      <c r="I6" s="17">
        <f t="shared" si="0"/>
        <v>240</v>
      </c>
    </row>
    <row r="7" spans="1:9" x14ac:dyDescent="0.25">
      <c r="A7" s="38"/>
      <c r="B7" s="35"/>
      <c r="C7" s="36"/>
      <c r="D7" s="36"/>
      <c r="E7" s="37"/>
      <c r="F7" s="37"/>
      <c r="G7" s="5" t="s">
        <v>125</v>
      </c>
      <c r="H7" s="16">
        <v>300</v>
      </c>
      <c r="I7" s="17">
        <f t="shared" si="0"/>
        <v>300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310</v>
      </c>
      <c r="I8" s="17">
        <f t="shared" si="0"/>
        <v>310</v>
      </c>
    </row>
    <row r="9" spans="1:9" x14ac:dyDescent="0.25">
      <c r="A9" s="38"/>
      <c r="B9" s="35"/>
      <c r="C9" s="36"/>
      <c r="D9" s="36"/>
      <c r="E9" s="37"/>
      <c r="F9" s="37"/>
      <c r="G9" s="5" t="s">
        <v>124</v>
      </c>
      <c r="H9" s="16">
        <v>330</v>
      </c>
      <c r="I9" s="17">
        <f t="shared" si="0"/>
        <v>330</v>
      </c>
    </row>
    <row r="10" spans="1:9" x14ac:dyDescent="0.25">
      <c r="A10" s="38"/>
      <c r="B10" s="35"/>
      <c r="C10" s="36"/>
      <c r="D10" s="36"/>
      <c r="E10" s="37"/>
      <c r="F10" s="37"/>
      <c r="G10" s="5" t="s">
        <v>127</v>
      </c>
      <c r="H10" s="16">
        <v>350</v>
      </c>
      <c r="I10" s="17">
        <f t="shared" si="0"/>
        <v>350</v>
      </c>
    </row>
    <row r="11" spans="1:9" x14ac:dyDescent="0.25">
      <c r="A11" s="38"/>
      <c r="B11" s="35"/>
      <c r="C11" s="36"/>
      <c r="D11" s="36"/>
      <c r="E11" s="37"/>
      <c r="F11" s="37"/>
      <c r="G11" s="5" t="s">
        <v>119</v>
      </c>
      <c r="H11" s="16">
        <v>350</v>
      </c>
      <c r="I11" s="17">
        <f t="shared" si="0"/>
        <v>350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360</v>
      </c>
      <c r="I12" s="17">
        <f t="shared" si="0"/>
        <v>360</v>
      </c>
    </row>
    <row r="13" spans="1:9" x14ac:dyDescent="0.25">
      <c r="A13" s="38"/>
      <c r="B13" s="35"/>
      <c r="C13" s="36"/>
      <c r="D13" s="36"/>
      <c r="E13" s="37"/>
      <c r="F13" s="37"/>
      <c r="G13" s="5" t="s">
        <v>128</v>
      </c>
      <c r="H13" s="16">
        <v>400</v>
      </c>
      <c r="I13" s="17">
        <f t="shared" si="0"/>
        <v>400</v>
      </c>
    </row>
    <row r="14" spans="1:9" x14ac:dyDescent="0.25">
      <c r="A14" s="38"/>
      <c r="B14" s="35"/>
      <c r="C14" s="36"/>
      <c r="D14" s="36"/>
      <c r="E14" s="37"/>
      <c r="F14" s="37"/>
      <c r="G14" s="5" t="s">
        <v>129</v>
      </c>
      <c r="H14" s="16">
        <v>483</v>
      </c>
      <c r="I14" s="17" t="str">
        <f t="shared" si="0"/>
        <v>Descartado</v>
      </c>
    </row>
    <row r="15" spans="1:9" x14ac:dyDescent="0.25">
      <c r="A15" s="38"/>
      <c r="B15" s="35"/>
      <c r="C15" s="36"/>
      <c r="D15" s="36"/>
      <c r="E15" s="37"/>
      <c r="F15" s="37"/>
      <c r="G15" s="5" t="s">
        <v>130</v>
      </c>
      <c r="H15" s="16">
        <v>600</v>
      </c>
      <c r="I15" s="17" t="str">
        <f t="shared" si="0"/>
        <v>Descartado</v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123.92361336726744</v>
      </c>
      <c r="B20" s="8">
        <f>COUNT(H3:H17)</f>
        <v>13</v>
      </c>
      <c r="C20" s="9">
        <f>IF(B20&lt;2,"n/a",(A20/D20))</f>
        <v>0.37924964306300479</v>
      </c>
      <c r="D20" s="10">
        <f>IFERROR(ROUND(AVERAGE(H3:H17),2),"")</f>
        <v>326.76</v>
      </c>
      <c r="E20" s="15">
        <f>IFERROR(ROUND(IF(B20&lt;2,"n/a",(IF(C20&lt;=25%,"n/a",AVERAGE(I3:I17)))),2),"n/a")</f>
        <v>287.72000000000003</v>
      </c>
      <c r="F20" s="10">
        <f>IFERROR(ROUND(MEDIAN(H3:H17),2),"")</f>
        <v>330</v>
      </c>
      <c r="G20" s="11" t="str">
        <f>IFERROR(INDEX(G3:G17,MATCH(H20,H3:H17,0)),"")</f>
        <v>AR RP CERTIFICACAO DIGITAL LTDA</v>
      </c>
      <c r="H20" s="12">
        <f>F3</f>
        <v>174.89</v>
      </c>
    </row>
    <row r="22" spans="1:9" x14ac:dyDescent="0.25">
      <c r="G22" s="13" t="s">
        <v>20</v>
      </c>
      <c r="H22" s="14">
        <f>IF(C20&lt;=25%,D20,MIN(E20:F20))</f>
        <v>287.72000000000003</v>
      </c>
    </row>
    <row r="23" spans="1:9" x14ac:dyDescent="0.25">
      <c r="G23" s="13" t="s">
        <v>6</v>
      </c>
      <c r="H23" s="14">
        <f>ROUND(H22,2)*D3</f>
        <v>9494.76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104</v>
      </c>
      <c r="C3" s="36" t="s">
        <v>7</v>
      </c>
      <c r="D3" s="36">
        <v>33</v>
      </c>
      <c r="E3" s="37">
        <f>IF(C20&lt;=25%,D20,MIN(E20:F20))</f>
        <v>75.3</v>
      </c>
      <c r="F3" s="37">
        <f>MIN(H3:H17)</f>
        <v>50.9</v>
      </c>
      <c r="G3" s="5" t="s">
        <v>131</v>
      </c>
      <c r="H3" s="16">
        <v>120</v>
      </c>
      <c r="I3" s="17">
        <f>IF(H3="","",(IF($C$20&lt;25%,"n/a",IF(H3&lt;=($D$20+$A$20),H3,"Descartado"))))</f>
        <v>120</v>
      </c>
    </row>
    <row r="4" spans="1:9" x14ac:dyDescent="0.25">
      <c r="A4" s="38"/>
      <c r="B4" s="35"/>
      <c r="C4" s="36"/>
      <c r="D4" s="36"/>
      <c r="E4" s="37"/>
      <c r="F4" s="37"/>
      <c r="G4" s="5" t="s">
        <v>132</v>
      </c>
      <c r="H4" s="16">
        <v>323.42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145</v>
      </c>
      <c r="H5" s="16">
        <v>50.9</v>
      </c>
      <c r="I5" s="17">
        <f t="shared" si="0"/>
        <v>50.9</v>
      </c>
    </row>
    <row r="6" spans="1:9" x14ac:dyDescent="0.25">
      <c r="A6" s="38"/>
      <c r="B6" s="35"/>
      <c r="C6" s="36"/>
      <c r="D6" s="36"/>
      <c r="E6" s="37"/>
      <c r="F6" s="37"/>
      <c r="G6" s="5" t="s">
        <v>146</v>
      </c>
      <c r="H6" s="16">
        <v>55</v>
      </c>
      <c r="I6" s="17">
        <f t="shared" si="0"/>
        <v>55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128.03409806245631</v>
      </c>
      <c r="B20" s="8">
        <f>COUNT(H3:H17)</f>
        <v>4</v>
      </c>
      <c r="C20" s="9">
        <f>IF(B20&lt;2,"n/a",(A20/D20))</f>
        <v>0.93230975069144617</v>
      </c>
      <c r="D20" s="10">
        <f>IFERROR(ROUND(AVERAGE(H3:H17),2),"")</f>
        <v>137.33000000000001</v>
      </c>
      <c r="E20" s="15">
        <f>IFERROR(ROUND(IF(B20&lt;2,"n/a",(IF(C20&lt;=25%,"n/a",AVERAGE(I3:I17)))),2),"n/a")</f>
        <v>75.3</v>
      </c>
      <c r="F20" s="10">
        <f>IFERROR(ROUND(MEDIAN(H3:H17),2),"")</f>
        <v>87.5</v>
      </c>
      <c r="G20" s="11" t="str">
        <f>IFERROR(INDEX(G3:G17,MATCH(H20,H3:H17,0)),"")</f>
        <v xml:space="preserve">GLOBALSEC TECNOLOGIA DA INFORMACAO LTDA </v>
      </c>
      <c r="H20" s="12">
        <f>F3</f>
        <v>50.9</v>
      </c>
    </row>
    <row r="22" spans="1:9" x14ac:dyDescent="0.25">
      <c r="G22" s="13" t="s">
        <v>20</v>
      </c>
      <c r="H22" s="14">
        <f>IF(C20&lt;=25%,D20,MIN(E20:F20))</f>
        <v>75.3</v>
      </c>
    </row>
    <row r="23" spans="1:9" x14ac:dyDescent="0.25">
      <c r="G23" s="13" t="s">
        <v>6</v>
      </c>
      <c r="H23" s="14">
        <f>ROUND(H22,2)*D3</f>
        <v>2484.9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105</v>
      </c>
      <c r="C3" s="36" t="s">
        <v>7</v>
      </c>
      <c r="D3" s="36">
        <v>27</v>
      </c>
      <c r="E3" s="37">
        <f>IF(C20&lt;=25%,D20,MIN(E20:F20))</f>
        <v>75.3</v>
      </c>
      <c r="F3" s="37">
        <f>MIN(H3:H17)</f>
        <v>50.9</v>
      </c>
      <c r="G3" s="5" t="s">
        <v>131</v>
      </c>
      <c r="H3" s="16">
        <v>120</v>
      </c>
      <c r="I3" s="17">
        <f>IF(H3="","",(IF($C$20&lt;25%,"n/a",IF(H3&lt;=($D$20+$A$20),H3,"Descartado"))))</f>
        <v>120</v>
      </c>
    </row>
    <row r="4" spans="1:9" x14ac:dyDescent="0.25">
      <c r="A4" s="38"/>
      <c r="B4" s="35"/>
      <c r="C4" s="36"/>
      <c r="D4" s="36"/>
      <c r="E4" s="37"/>
      <c r="F4" s="37"/>
      <c r="G4" s="5" t="s">
        <v>132</v>
      </c>
      <c r="H4" s="16">
        <v>323.42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145</v>
      </c>
      <c r="H5" s="16">
        <v>50.9</v>
      </c>
      <c r="I5" s="17">
        <f t="shared" si="0"/>
        <v>50.9</v>
      </c>
    </row>
    <row r="6" spans="1:9" x14ac:dyDescent="0.25">
      <c r="A6" s="38"/>
      <c r="B6" s="35"/>
      <c r="C6" s="36"/>
      <c r="D6" s="36"/>
      <c r="E6" s="37"/>
      <c r="F6" s="37"/>
      <c r="G6" s="5" t="s">
        <v>146</v>
      </c>
      <c r="H6" s="16">
        <v>55</v>
      </c>
      <c r="I6" s="17">
        <f t="shared" si="0"/>
        <v>55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128.03409806245631</v>
      </c>
      <c r="B20" s="8">
        <f>COUNT(H3:H17)</f>
        <v>4</v>
      </c>
      <c r="C20" s="9">
        <f>IF(B20&lt;2,"n/a",(A20/D20))</f>
        <v>0.93230975069144617</v>
      </c>
      <c r="D20" s="10">
        <f>IFERROR(ROUND(AVERAGE(H3:H17),2),"")</f>
        <v>137.33000000000001</v>
      </c>
      <c r="E20" s="15">
        <f>IFERROR(ROUND(IF(B20&lt;2,"n/a",(IF(C20&lt;=25%,"n/a",AVERAGE(I3:I17)))),2),"n/a")</f>
        <v>75.3</v>
      </c>
      <c r="F20" s="10">
        <f>IFERROR(ROUND(MEDIAN(H3:H17),2),"")</f>
        <v>87.5</v>
      </c>
      <c r="G20" s="11" t="str">
        <f>IFERROR(INDEX(G3:G17,MATCH(H20,H3:H17,0)),"")</f>
        <v xml:space="preserve">GLOBALSEC TECNOLOGIA DA INFORMACAO LTDA </v>
      </c>
      <c r="H20" s="12">
        <f>F3</f>
        <v>50.9</v>
      </c>
    </row>
    <row r="22" spans="1:9" x14ac:dyDescent="0.25">
      <c r="G22" s="13" t="s">
        <v>20</v>
      </c>
      <c r="H22" s="14">
        <f>IF(C20&lt;=25%,D20,MIN(E20:F20))</f>
        <v>75.3</v>
      </c>
    </row>
    <row r="23" spans="1:9" x14ac:dyDescent="0.25">
      <c r="G23" s="13" t="s">
        <v>6</v>
      </c>
      <c r="H23" s="14">
        <f>ROUND(H22,2)*D3</f>
        <v>2033.1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106</v>
      </c>
      <c r="C3" s="36" t="s">
        <v>7</v>
      </c>
      <c r="D3" s="36">
        <v>106</v>
      </c>
      <c r="E3" s="37">
        <f>IF(C20&lt;=25%,D20,MIN(E20:F20))</f>
        <v>133.5</v>
      </c>
      <c r="F3" s="37">
        <f>MIN(H3:H17)</f>
        <v>16</v>
      </c>
      <c r="G3" s="5" t="s">
        <v>111</v>
      </c>
      <c r="H3" s="16">
        <v>80</v>
      </c>
      <c r="I3" s="17">
        <f>IF(H3="","",(IF($C$20&lt;25%,"n/a",IF(H3&lt;=($D$20+$A$20),H3,"Descartado"))))</f>
        <v>80</v>
      </c>
    </row>
    <row r="4" spans="1:9" x14ac:dyDescent="0.25">
      <c r="A4" s="38"/>
      <c r="B4" s="35"/>
      <c r="C4" s="36"/>
      <c r="D4" s="36"/>
      <c r="E4" s="37"/>
      <c r="F4" s="37"/>
      <c r="G4" s="5" t="s">
        <v>112</v>
      </c>
      <c r="H4" s="16">
        <v>16</v>
      </c>
      <c r="I4" s="17">
        <f t="shared" ref="I4:I17" si="0">IF(H4="","",(IF($C$20&lt;25%,"n/a",IF(H4&lt;=($D$20+$A$20),H4,"Descartado"))))</f>
        <v>16</v>
      </c>
    </row>
    <row r="5" spans="1:9" x14ac:dyDescent="0.25">
      <c r="A5" s="38"/>
      <c r="B5" s="35"/>
      <c r="C5" s="36"/>
      <c r="D5" s="36"/>
      <c r="E5" s="37"/>
      <c r="F5" s="37"/>
      <c r="G5" s="5" t="s">
        <v>113</v>
      </c>
      <c r="H5" s="16">
        <v>48</v>
      </c>
      <c r="I5" s="17">
        <f t="shared" si="0"/>
        <v>48</v>
      </c>
    </row>
    <row r="6" spans="1:9" x14ac:dyDescent="0.25">
      <c r="A6" s="38"/>
      <c r="B6" s="35"/>
      <c r="C6" s="36"/>
      <c r="D6" s="36"/>
      <c r="E6" s="37"/>
      <c r="F6" s="37"/>
      <c r="G6" s="5" t="s">
        <v>114</v>
      </c>
      <c r="H6" s="16">
        <v>40</v>
      </c>
      <c r="I6" s="17">
        <f t="shared" si="0"/>
        <v>40</v>
      </c>
    </row>
    <row r="7" spans="1:9" x14ac:dyDescent="0.25">
      <c r="A7" s="38"/>
      <c r="B7" s="35"/>
      <c r="C7" s="36"/>
      <c r="D7" s="36"/>
      <c r="E7" s="37"/>
      <c r="F7" s="37"/>
      <c r="G7" s="5" t="s">
        <v>115</v>
      </c>
      <c r="H7" s="16">
        <v>50</v>
      </c>
      <c r="I7" s="17">
        <f t="shared" si="0"/>
        <v>50</v>
      </c>
    </row>
    <row r="8" spans="1:9" x14ac:dyDescent="0.25">
      <c r="A8" s="38"/>
      <c r="B8" s="35"/>
      <c r="C8" s="36"/>
      <c r="D8" s="36"/>
      <c r="E8" s="37"/>
      <c r="F8" s="37"/>
      <c r="G8" s="5" t="s">
        <v>116</v>
      </c>
      <c r="H8" s="16">
        <v>80</v>
      </c>
      <c r="I8" s="17">
        <f t="shared" si="0"/>
        <v>80</v>
      </c>
    </row>
    <row r="9" spans="1:9" x14ac:dyDescent="0.25">
      <c r="A9" s="38"/>
      <c r="B9" s="35"/>
      <c r="C9" s="36"/>
      <c r="D9" s="36"/>
      <c r="E9" s="37"/>
      <c r="F9" s="37"/>
      <c r="G9" s="5" t="s">
        <v>117</v>
      </c>
      <c r="H9" s="16">
        <v>238.5</v>
      </c>
      <c r="I9" s="17">
        <f t="shared" si="0"/>
        <v>238.5</v>
      </c>
    </row>
    <row r="10" spans="1:9" x14ac:dyDescent="0.25">
      <c r="A10" s="38"/>
      <c r="B10" s="35"/>
      <c r="C10" s="36"/>
      <c r="D10" s="36"/>
      <c r="E10" s="37"/>
      <c r="F10" s="37"/>
      <c r="G10" s="5" t="s">
        <v>118</v>
      </c>
      <c r="H10" s="16">
        <v>187</v>
      </c>
      <c r="I10" s="17">
        <f t="shared" si="0"/>
        <v>187</v>
      </c>
    </row>
    <row r="11" spans="1:9" x14ac:dyDescent="0.25">
      <c r="A11" s="38"/>
      <c r="B11" s="35"/>
      <c r="C11" s="36"/>
      <c r="D11" s="36"/>
      <c r="E11" s="37"/>
      <c r="F11" s="37"/>
      <c r="G11" s="5" t="s">
        <v>119</v>
      </c>
      <c r="H11" s="16">
        <v>350</v>
      </c>
      <c r="I11" s="17">
        <f t="shared" si="0"/>
        <v>350</v>
      </c>
    </row>
    <row r="12" spans="1:9" x14ac:dyDescent="0.25">
      <c r="A12" s="38"/>
      <c r="B12" s="35"/>
      <c r="C12" s="36"/>
      <c r="D12" s="36"/>
      <c r="E12" s="37"/>
      <c r="F12" s="37"/>
      <c r="G12" s="5" t="s">
        <v>120</v>
      </c>
      <c r="H12" s="16">
        <v>3000</v>
      </c>
      <c r="I12" s="17" t="str">
        <f t="shared" si="0"/>
        <v>Descartado</v>
      </c>
    </row>
    <row r="13" spans="1:9" x14ac:dyDescent="0.25">
      <c r="A13" s="38"/>
      <c r="B13" s="35"/>
      <c r="C13" s="36"/>
      <c r="D13" s="36"/>
      <c r="E13" s="37"/>
      <c r="F13" s="37"/>
      <c r="G13" s="5" t="s">
        <v>131</v>
      </c>
      <c r="H13" s="16">
        <v>200</v>
      </c>
      <c r="I13" s="17">
        <f t="shared" si="0"/>
        <v>200</v>
      </c>
    </row>
    <row r="14" spans="1:9" x14ac:dyDescent="0.25">
      <c r="A14" s="38"/>
      <c r="B14" s="35"/>
      <c r="C14" s="36"/>
      <c r="D14" s="36"/>
      <c r="E14" s="37"/>
      <c r="F14" s="37"/>
      <c r="G14" s="5" t="s">
        <v>132</v>
      </c>
      <c r="H14" s="16">
        <v>289.33</v>
      </c>
      <c r="I14" s="17">
        <f t="shared" si="0"/>
        <v>289.33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831.77699980724003</v>
      </c>
      <c r="B20" s="8">
        <f>COUNT(H3:H17)</f>
        <v>12</v>
      </c>
      <c r="C20" s="9">
        <f>IF(B20&lt;2,"n/a",(A20/D20))</f>
        <v>2.1798804932443328</v>
      </c>
      <c r="D20" s="10">
        <f>IFERROR(ROUND(AVERAGE(H3:H17),2),"")</f>
        <v>381.57</v>
      </c>
      <c r="E20" s="15">
        <f>IFERROR(ROUND(IF(B20&lt;2,"n/a",(IF(C20&lt;=25%,"n/a",AVERAGE(I3:I17)))),2),"n/a")</f>
        <v>143.53</v>
      </c>
      <c r="F20" s="10">
        <f>IFERROR(ROUND(MEDIAN(H3:H17),2),"")</f>
        <v>133.5</v>
      </c>
      <c r="G20" s="11" t="str">
        <f>IFERROR(INDEX(G3:G17,MATCH(H20,H3:H17,0)),"")</f>
        <v>CERTIMINAS CERTIFICACAO DIGITAL LTDA</v>
      </c>
      <c r="H20" s="12">
        <f>F3</f>
        <v>16</v>
      </c>
    </row>
    <row r="22" spans="1:9" x14ac:dyDescent="0.25">
      <c r="G22" s="13" t="s">
        <v>20</v>
      </c>
      <c r="H22" s="14">
        <f>IF(C20&lt;=25%,D20,MIN(E20:F20))</f>
        <v>133.5</v>
      </c>
    </row>
    <row r="23" spans="1:9" x14ac:dyDescent="0.25">
      <c r="G23" s="13" t="s">
        <v>6</v>
      </c>
      <c r="H23" s="14">
        <f>ROUND(H22,2)*D3</f>
        <v>14151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107</v>
      </c>
      <c r="C3" s="36" t="s">
        <v>7</v>
      </c>
      <c r="D3" s="36">
        <v>56</v>
      </c>
      <c r="E3" s="37">
        <f>IF(C20&lt;=25%,D20,MIN(E20:F20))</f>
        <v>760.45</v>
      </c>
      <c r="F3" s="37">
        <f>MIN(H3:H17)</f>
        <v>200</v>
      </c>
      <c r="G3" s="5" t="s">
        <v>112</v>
      </c>
      <c r="H3" s="16">
        <v>1250</v>
      </c>
      <c r="I3" s="17">
        <f>IF(H3="","",(IF($C$20&lt;25%,"n/a",IF(H3&lt;=($D$20+$A$20),H3,"Descartado"))))</f>
        <v>1250</v>
      </c>
    </row>
    <row r="4" spans="1:9" x14ac:dyDescent="0.25">
      <c r="A4" s="38"/>
      <c r="B4" s="35"/>
      <c r="C4" s="36"/>
      <c r="D4" s="36"/>
      <c r="E4" s="37"/>
      <c r="F4" s="37"/>
      <c r="G4" s="5" t="s">
        <v>131</v>
      </c>
      <c r="H4" s="16">
        <v>200</v>
      </c>
      <c r="I4" s="17">
        <f t="shared" ref="I4:I17" si="0">IF(H4="","",(IF($C$20&lt;25%,"n/a",IF(H4&lt;=($D$20+$A$20),H4,"Descartado"))))</f>
        <v>200</v>
      </c>
    </row>
    <row r="5" spans="1:9" x14ac:dyDescent="0.25">
      <c r="A5" s="38"/>
      <c r="B5" s="35"/>
      <c r="C5" s="36"/>
      <c r="D5" s="36"/>
      <c r="E5" s="37"/>
      <c r="F5" s="37"/>
      <c r="G5" s="5" t="s">
        <v>132</v>
      </c>
      <c r="H5" s="16">
        <v>831.35</v>
      </c>
      <c r="I5" s="17">
        <f t="shared" si="0"/>
        <v>831.35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528.57838349671465</v>
      </c>
      <c r="B20" s="8">
        <f>COUNT(H3:H17)</f>
        <v>3</v>
      </c>
      <c r="C20" s="9">
        <f>IF(B20&lt;2,"n/a",(A20/D20))</f>
        <v>0.69508630876022703</v>
      </c>
      <c r="D20" s="10">
        <f>IFERROR(ROUND(AVERAGE(H3:H17),2),"")</f>
        <v>760.45</v>
      </c>
      <c r="E20" s="15">
        <f>IFERROR(ROUND(IF(B20&lt;2,"n/a",(IF(C20&lt;=25%,"n/a",AVERAGE(I3:I17)))),2),"n/a")</f>
        <v>760.45</v>
      </c>
      <c r="F20" s="10">
        <f>IFERROR(ROUND(MEDIAN(H3:H17),2),"")</f>
        <v>831.35</v>
      </c>
      <c r="G20" s="11" t="str">
        <f>IFERROR(INDEX(G3:G17,MATCH(H20,H3:H17,0)),"")</f>
        <v>SOLUTI - SOLUCOES EM NEGOCIOS INTELIGENTES S/A</v>
      </c>
      <c r="H20" s="12">
        <f>F3</f>
        <v>200</v>
      </c>
    </row>
    <row r="22" spans="1:9" x14ac:dyDescent="0.25">
      <c r="G22" s="13" t="s">
        <v>20</v>
      </c>
      <c r="H22" s="14">
        <f>IF(C20&lt;=25%,D20,MIN(E20:F20))</f>
        <v>760.45</v>
      </c>
    </row>
    <row r="23" spans="1:9" x14ac:dyDescent="0.25">
      <c r="G23" s="13" t="s">
        <v>6</v>
      </c>
      <c r="H23" s="14">
        <f>ROUND(H22,2)*D3</f>
        <v>42585.200000000004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2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2024-06-06T14:17:08Z</dcterms:modified>
</cp:coreProperties>
</file>