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7" activeTab="25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total" sheetId="23" r:id="rId26"/>
  </sheets>
  <definedNames>
    <definedName name="_xlnm.Print_Area" localSheetId="25">total!$A$1:$F$40</definedName>
    <definedName name="_xlnm.Print_Titles" localSheetId="25">total!$1:$2</definedName>
  </definedNames>
  <calcPr calcId="145621"/>
</workbook>
</file>

<file path=xl/calcChain.xml><?xml version="1.0" encoding="utf-8"?>
<calcChain xmlns="http://schemas.openxmlformats.org/spreadsheetml/2006/main">
  <c r="B23" i="23" l="1"/>
  <c r="C23" i="23"/>
  <c r="D23" i="23"/>
  <c r="B24" i="23"/>
  <c r="C24" i="23"/>
  <c r="D24" i="23"/>
  <c r="B25" i="23"/>
  <c r="C25" i="23"/>
  <c r="D25" i="23"/>
  <c r="B26" i="23"/>
  <c r="C26" i="23"/>
  <c r="D26" i="23"/>
  <c r="B27" i="23"/>
  <c r="C27" i="23"/>
  <c r="D27" i="23"/>
  <c r="A27" i="23"/>
  <c r="A26" i="23"/>
  <c r="A25" i="23"/>
  <c r="A24" i="23"/>
  <c r="A23" i="23"/>
  <c r="F20" i="28"/>
  <c r="D20" i="28"/>
  <c r="B20" i="28"/>
  <c r="A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6" l="1"/>
  <c r="I3" i="26" s="1"/>
  <c r="C20" i="28"/>
  <c r="I4" i="28" s="1"/>
  <c r="C20" i="24"/>
  <c r="I8" i="24" s="1"/>
  <c r="I15" i="28"/>
  <c r="I14" i="28"/>
  <c r="I13" i="28"/>
  <c r="I16" i="28"/>
  <c r="I12" i="28"/>
  <c r="I17" i="28"/>
  <c r="I11" i="28"/>
  <c r="I10" i="28"/>
  <c r="I15" i="24"/>
  <c r="I13" i="24"/>
  <c r="I16" i="24"/>
  <c r="I17" i="24"/>
  <c r="I15" i="26"/>
  <c r="I9" i="26"/>
  <c r="I16" i="26"/>
  <c r="I14" i="26"/>
  <c r="I8" i="26"/>
  <c r="I13" i="26"/>
  <c r="I7" i="26"/>
  <c r="I12" i="26"/>
  <c r="I6" i="26"/>
  <c r="I10" i="26"/>
  <c r="I17" i="26"/>
  <c r="I11" i="26"/>
  <c r="C20" i="25"/>
  <c r="C20" i="27"/>
  <c r="B4" i="23"/>
  <c r="C4" i="23"/>
  <c r="D4" i="23"/>
  <c r="B5" i="23"/>
  <c r="C5" i="23"/>
  <c r="D5" i="23"/>
  <c r="B6" i="23"/>
  <c r="C6" i="23"/>
  <c r="D6" i="23"/>
  <c r="B7" i="23"/>
  <c r="C7" i="23"/>
  <c r="D7" i="23"/>
  <c r="B8" i="23"/>
  <c r="C8" i="23"/>
  <c r="D8" i="23"/>
  <c r="B9" i="23"/>
  <c r="C9" i="23"/>
  <c r="D9" i="23"/>
  <c r="B10" i="23"/>
  <c r="C10" i="23"/>
  <c r="D10" i="23"/>
  <c r="B11" i="23"/>
  <c r="C11" i="23"/>
  <c r="D11" i="23"/>
  <c r="B12" i="23"/>
  <c r="C12" i="23"/>
  <c r="D12" i="23"/>
  <c r="B13" i="23"/>
  <c r="C13" i="23"/>
  <c r="D13" i="23"/>
  <c r="B14" i="23"/>
  <c r="C14" i="23"/>
  <c r="D14" i="23"/>
  <c r="B15" i="23"/>
  <c r="C15" i="23"/>
  <c r="D15" i="23"/>
  <c r="B16" i="23"/>
  <c r="C16" i="23"/>
  <c r="D16" i="23"/>
  <c r="B17" i="23"/>
  <c r="C17" i="23"/>
  <c r="D17" i="23"/>
  <c r="B18" i="23"/>
  <c r="C18" i="23"/>
  <c r="D18" i="23"/>
  <c r="B19" i="23"/>
  <c r="C19" i="23"/>
  <c r="D19" i="23"/>
  <c r="B20" i="23"/>
  <c r="C20" i="23"/>
  <c r="D20" i="23"/>
  <c r="B21" i="23"/>
  <c r="C21" i="23"/>
  <c r="D21" i="23"/>
  <c r="B22" i="23"/>
  <c r="C22" i="23"/>
  <c r="D22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  <c r="B3" i="23"/>
  <c r="C3" i="23"/>
  <c r="D3" i="23"/>
  <c r="A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I8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I14" i="24" l="1"/>
  <c r="I4" i="26"/>
  <c r="E20" i="26" s="1"/>
  <c r="H22" i="26" s="1"/>
  <c r="H23" i="26" s="1"/>
  <c r="I5" i="26"/>
  <c r="I7" i="28"/>
  <c r="I9" i="28"/>
  <c r="I8" i="28"/>
  <c r="I6" i="28"/>
  <c r="I5" i="28"/>
  <c r="I3" i="28"/>
  <c r="I12" i="24"/>
  <c r="I3" i="24"/>
  <c r="I7" i="24"/>
  <c r="I11" i="24"/>
  <c r="I4" i="24"/>
  <c r="I10" i="24"/>
  <c r="I6" i="24"/>
  <c r="C20" i="16"/>
  <c r="I9" i="16" s="1"/>
  <c r="C20" i="5"/>
  <c r="I6" i="5" s="1"/>
  <c r="I5" i="24"/>
  <c r="I9" i="24"/>
  <c r="C20" i="22"/>
  <c r="I3" i="22" s="1"/>
  <c r="C20" i="20"/>
  <c r="I5" i="20" s="1"/>
  <c r="C20" i="18"/>
  <c r="I6" i="18" s="1"/>
  <c r="C20" i="12"/>
  <c r="I9" i="12" s="1"/>
  <c r="C20" i="9"/>
  <c r="I12" i="9" s="1"/>
  <c r="C20" i="6"/>
  <c r="I8" i="6" s="1"/>
  <c r="A20" i="7"/>
  <c r="C20" i="7" s="1"/>
  <c r="I16" i="7" s="1"/>
  <c r="A20" i="8"/>
  <c r="C20" i="8" s="1"/>
  <c r="I4" i="8" s="1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2"/>
  <c r="I14" i="22"/>
  <c r="I13" i="22"/>
  <c r="I17" i="22"/>
  <c r="I16" i="22"/>
  <c r="I10" i="22"/>
  <c r="C20" i="19"/>
  <c r="C20" i="21"/>
  <c r="I16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C20" i="10"/>
  <c r="I13" i="9"/>
  <c r="I9" i="9"/>
  <c r="I15" i="9"/>
  <c r="I15" i="7"/>
  <c r="I10" i="9"/>
  <c r="I17" i="7"/>
  <c r="I5" i="9"/>
  <c r="I11" i="9"/>
  <c r="I17" i="9"/>
  <c r="I6" i="9"/>
  <c r="I15" i="6"/>
  <c r="I3" i="6"/>
  <c r="I14" i="6"/>
  <c r="I7" i="6"/>
  <c r="I17" i="6"/>
  <c r="I16" i="6"/>
  <c r="I12" i="6"/>
  <c r="I6" i="6"/>
  <c r="I12" i="5"/>
  <c r="I17" i="5"/>
  <c r="I11" i="5"/>
  <c r="I16" i="5"/>
  <c r="I8" i="5"/>
  <c r="I13" i="5"/>
  <c r="I15" i="5"/>
  <c r="I14" i="5"/>
  <c r="A20" i="4"/>
  <c r="C20" i="4" s="1"/>
  <c r="C20" i="1"/>
  <c r="I5" i="6" l="1"/>
  <c r="I7" i="8"/>
  <c r="I7" i="9"/>
  <c r="I3" i="9"/>
  <c r="I3" i="18"/>
  <c r="I17" i="12"/>
  <c r="I16" i="12"/>
  <c r="I15" i="12"/>
  <c r="I14" i="12"/>
  <c r="I13" i="12"/>
  <c r="I11" i="12"/>
  <c r="E20" i="14"/>
  <c r="E3" i="14" s="1"/>
  <c r="E14" i="23" s="1"/>
  <c r="F14" i="23" s="1"/>
  <c r="I15" i="16"/>
  <c r="I17" i="16"/>
  <c r="I13" i="16"/>
  <c r="I14" i="16"/>
  <c r="I12" i="16"/>
  <c r="I11" i="16"/>
  <c r="I10" i="16"/>
  <c r="I6" i="16"/>
  <c r="I8" i="16"/>
  <c r="I16" i="20"/>
  <c r="I11" i="20"/>
  <c r="I17" i="20"/>
  <c r="I12" i="20"/>
  <c r="I14" i="20"/>
  <c r="I13" i="20"/>
  <c r="I15" i="20"/>
  <c r="E20" i="28"/>
  <c r="E3" i="28" s="1"/>
  <c r="E27" i="23" s="1"/>
  <c r="F27" i="23" s="1"/>
  <c r="E20" i="27"/>
  <c r="H22" i="27" s="1"/>
  <c r="H23" i="27" s="1"/>
  <c r="E20" i="24"/>
  <c r="E3" i="24" s="1"/>
  <c r="E23" i="23" s="1"/>
  <c r="F23" i="23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E20" i="12" s="1"/>
  <c r="I5" i="12"/>
  <c r="I6" i="8"/>
  <c r="I5" i="8"/>
  <c r="I3" i="8"/>
  <c r="I11" i="6"/>
  <c r="E20" i="6" s="1"/>
  <c r="H22" i="6" s="1"/>
  <c r="H23" i="6" s="1"/>
  <c r="I9" i="6"/>
  <c r="I4" i="6"/>
  <c r="I13" i="6"/>
  <c r="I10" i="6"/>
  <c r="I3" i="5"/>
  <c r="I10" i="5"/>
  <c r="I4" i="5"/>
  <c r="I9" i="5"/>
  <c r="I7" i="5"/>
  <c r="I5" i="5"/>
  <c r="E3" i="26"/>
  <c r="E25" i="23" s="1"/>
  <c r="F25" i="23" s="1"/>
  <c r="E20" i="25"/>
  <c r="H22" i="25" s="1"/>
  <c r="H23" i="25" s="1"/>
  <c r="E20" i="22"/>
  <c r="H22" i="22" s="1"/>
  <c r="H23" i="22" s="1"/>
  <c r="I11" i="22"/>
  <c r="I12" i="22"/>
  <c r="I9" i="22"/>
  <c r="I6" i="22"/>
  <c r="I5" i="22"/>
  <c r="I8" i="22"/>
  <c r="I4" i="22"/>
  <c r="I7" i="22"/>
  <c r="E20" i="18"/>
  <c r="H22" i="18" s="1"/>
  <c r="H23" i="18" s="1"/>
  <c r="I4" i="9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7" i="1"/>
  <c r="I13" i="1"/>
  <c r="I14" i="1"/>
  <c r="I9" i="1"/>
  <c r="I15" i="1"/>
  <c r="E20" i="8" l="1"/>
  <c r="H22" i="8" s="1"/>
  <c r="H23" i="8" s="1"/>
  <c r="E20" i="9"/>
  <c r="H22" i="9" s="1"/>
  <c r="H23" i="9" s="1"/>
  <c r="H22" i="14"/>
  <c r="H23" i="14" s="1"/>
  <c r="E20" i="16"/>
  <c r="H22" i="16" s="1"/>
  <c r="H23" i="16" s="1"/>
  <c r="H22" i="28"/>
  <c r="H23" i="28" s="1"/>
  <c r="E3" i="27"/>
  <c r="E26" i="23" s="1"/>
  <c r="F26" i="23" s="1"/>
  <c r="H22" i="24"/>
  <c r="H23" i="24" s="1"/>
  <c r="E20" i="20"/>
  <c r="E3" i="20" s="1"/>
  <c r="E20" i="23" s="1"/>
  <c r="F20" i="23" s="1"/>
  <c r="H22" i="12"/>
  <c r="H23" i="12" s="1"/>
  <c r="E3" i="12"/>
  <c r="E12" i="23" s="1"/>
  <c r="F12" i="23" s="1"/>
  <c r="E3" i="6"/>
  <c r="E6" i="23" s="1"/>
  <c r="F6" i="23" s="1"/>
  <c r="E20" i="5"/>
  <c r="E3" i="5" s="1"/>
  <c r="E5" i="23" s="1"/>
  <c r="F5" i="23" s="1"/>
  <c r="E3" i="25"/>
  <c r="E24" i="23" s="1"/>
  <c r="F24" i="23" s="1"/>
  <c r="E3" i="22"/>
  <c r="E22" i="23" s="1"/>
  <c r="F22" i="23" s="1"/>
  <c r="E20" i="21"/>
  <c r="H22" i="21" s="1"/>
  <c r="H23" i="21" s="1"/>
  <c r="E20" i="19"/>
  <c r="H22" i="19" s="1"/>
  <c r="H23" i="19" s="1"/>
  <c r="E3" i="18"/>
  <c r="E18" i="23" s="1"/>
  <c r="F18" i="23" s="1"/>
  <c r="E20" i="15"/>
  <c r="H22" i="15" s="1"/>
  <c r="H23" i="15" s="1"/>
  <c r="E20" i="13"/>
  <c r="E3" i="13" s="1"/>
  <c r="E13" i="23" s="1"/>
  <c r="F13" i="23" s="1"/>
  <c r="E20" i="11"/>
  <c r="H22" i="11" s="1"/>
  <c r="H23" i="11" s="1"/>
  <c r="E20" i="10"/>
  <c r="H22" i="10" s="1"/>
  <c r="H23" i="10" s="1"/>
  <c r="E20" i="7"/>
  <c r="E20" i="4"/>
  <c r="E3" i="4" s="1"/>
  <c r="E4" i="23" s="1"/>
  <c r="F4" i="23" s="1"/>
  <c r="E20" i="17"/>
  <c r="E20" i="1"/>
  <c r="E3" i="8" l="1"/>
  <c r="E8" i="23" s="1"/>
  <c r="F8" i="23" s="1"/>
  <c r="E3" i="9"/>
  <c r="E9" i="23" s="1"/>
  <c r="F9" i="23" s="1"/>
  <c r="E3" i="16"/>
  <c r="E16" i="23" s="1"/>
  <c r="F16" i="23" s="1"/>
  <c r="H22" i="20"/>
  <c r="H23" i="20" s="1"/>
  <c r="E3" i="21"/>
  <c r="E21" i="23" s="1"/>
  <c r="F21" i="23" s="1"/>
  <c r="E3" i="19"/>
  <c r="E19" i="23" s="1"/>
  <c r="F19" i="23" s="1"/>
  <c r="E3" i="15"/>
  <c r="E15" i="23" s="1"/>
  <c r="F15" i="23" s="1"/>
  <c r="H22" i="13"/>
  <c r="H23" i="13" s="1"/>
  <c r="E3" i="10"/>
  <c r="E10" i="23" s="1"/>
  <c r="F10" i="23" s="1"/>
  <c r="H22" i="5"/>
  <c r="H23" i="5" s="1"/>
  <c r="H22" i="4"/>
  <c r="H23" i="4" s="1"/>
  <c r="E3" i="11"/>
  <c r="E11" i="23" s="1"/>
  <c r="F11" i="23" s="1"/>
  <c r="H22" i="7"/>
  <c r="H23" i="7" s="1"/>
  <c r="E3" i="7"/>
  <c r="E7" i="23" s="1"/>
  <c r="F7" i="23" s="1"/>
  <c r="H22" i="17"/>
  <c r="H23" i="17" s="1"/>
  <c r="E3" i="17"/>
  <c r="E17" i="23" s="1"/>
  <c r="F17" i="23" s="1"/>
  <c r="E3" i="1"/>
  <c r="E3" i="23" s="1"/>
  <c r="F3" i="23" s="1"/>
  <c r="H22" i="1"/>
  <c r="H23" i="1" s="1"/>
  <c r="E30" i="23" l="1"/>
</calcChain>
</file>

<file path=xl/sharedStrings.xml><?xml version="1.0" encoding="utf-8"?>
<sst xmlns="http://schemas.openxmlformats.org/spreadsheetml/2006/main" count="871" uniqueCount="187">
  <si>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</si>
  <si>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</si>
  <si>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</si>
  <si>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</si>
  <si>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</si>
  <si>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</si>
  <si>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</si>
  <si>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</si>
  <si>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</si>
  <si>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</si>
  <si>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</si>
  <si>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</si>
  <si>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</si>
  <si>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</si>
  <si>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</si>
  <si>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</si>
  <si>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</si>
  <si>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</si>
  <si>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</si>
  <si>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</si>
  <si>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</si>
  <si>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</si>
  <si>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</si>
  <si>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</si>
  <si>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</si>
  <si>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</si>
  <si>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</si>
  <si>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</si>
  <si>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valor total do item</t>
  </si>
  <si>
    <t>total estimado</t>
  </si>
  <si>
    <t>R JUAREZ DE ALMEIDA</t>
  </si>
  <si>
    <t xml:space="preserve">CARTUCHO DE TONER
COMPATÍVEL COM IMPRESSORA
TALLY GENICOM 9330
Referência 04872
Cor: Preta
Não se admitindo produtos
remanufaturados ou recondicionados.
Acondicionado em caixa individual, com
indicação impressa de compatibilidade.
Prazo de validade: mínimo de 11 meses,
contados da data de recebimento
definitivo.
</t>
  </si>
  <si>
    <t xml:space="preserve">CARTUCHO DE TONER
COMPATÍVEL COM IMPRESSORA
OKIDATA B410
Não admitidos produtos remanufaturados
ou recondicionados.
Referência 43979101
Acondicionado em caixa individual, com
indicação impressa de compatibilidade.
Prazo de validade não inferior a 11
meses, contados da data de recebimento
definitivo.
</t>
  </si>
  <si>
    <t xml:space="preserve">CILINDRO FOTOCONDUTOR
PARA IMPRESSORA OKIDATA
B410
Compatível com a impressora Okidata
B410. 
</t>
  </si>
  <si>
    <t xml:space="preserve">CARTUCHO DE TONER
COMPATÍVEL COM IMPRESSORA
HP LASERJET P2015
Não admitidos produtos remanufaturados
ou recondicionados.
Referência: Q7553X.
Acondicionado em caixa individual, com
indicação impressa de compatibilidade.
Prazo de validade: mínimo de 11 meses,
contados da data de recebimento
definitivo. 
</t>
  </si>
  <si>
    <t xml:space="preserve">CARTUCHO DE TONER
COMPATÍVEL COM IMPRESSORA
SAMSUNG 4070FR
Não se admitindo produtos
remanufaturados ou recondicionados.
Referência: D203U.
Acondicionado em embalagem
individual, com indicação impressa de
compatibilidade.
Prazo de validade: mínimo de 11 meses,
contados da data de recebimento
definitivo. 
</t>
  </si>
  <si>
    <t xml:space="preserve">CARTUCHO DE TONER
COMPATÍVEL COM A
IMPRESSORA SAMSUNG ML-3310
Não admitidos produtos remanufaturados
ou recondicionados.
Referência: MLT – D205L.
Acondicionado em caixa individual, com
indicação impressa de compatibilidade.
Prazo de validade: mínimo de 11 meses,
contados da data de recebimento
definitivo. 
</t>
  </si>
  <si>
    <t xml:space="preserve">CARTUCHO DE TONER
COMPATÍVEL COM IMPRESSORA
SAMSUNG ML – 3750ND
Referência: MLT – D305L.
Não admitidos produtos remanufaturados
ou recondicionados.
Acondicionado em caixa individual, com
indicação impressa de compatibilidade.
Prazo de validade: mínimo de 11 meses,
contados da data de recebimento
definitivo. 
</t>
  </si>
  <si>
    <t>CARTUCHO DE TONER
COMPATÍVEL COM IMPRESSORA
SAMSUNG SL – M3325
Referência: MLT – D204L.
Não admitidos produtos remanufaturados
ou recondicionados.Acondicionado em
caixa individual, com indicação impressa
de compatibilidade. Prazo de validade:
mínimo de 11 meses, contados da data de recebimento definitivo.</t>
  </si>
  <si>
    <t xml:space="preserve">CILINDRO FOTOCONDUTOR
PARA IMPRESSORA SAMSUNG SLM3325
Compatível com a impressora Samsung
SL-M3325. Referência: MLT-R204. </t>
  </si>
  <si>
    <t xml:space="preserve">MOUSE OPTICO
Com 02 (dois) botões para seleção (click)
e um botão de rolagem “scroll”.
Sensor: Laser
Cor preta. Conexão: USB. </t>
  </si>
  <si>
    <t xml:space="preserve">FILTRO DE LINHA
Mínimo de 5 tomadas 2P+T.
Comprimento mínimo do fio: 3 m.
10 amperes
Tensão nominal: 127/220V (bivolt).
Formato tipo retangular.
Conexão à rede elétrica no padrão
brasileiro
Em conformidade com a norma ABNT
NBR 14136. 
</t>
  </si>
  <si>
    <t xml:space="preserve">EXTENSÃO DE TOMADA
Mínimo de 4 tomadas 2P+T. 10 amperes
Comprimento mínimo do fio: 3 m.Tensão
nominal: 127/220V (bivolt). Formato tipo
retangular /axial.
Tomadas dispostas em diagonal
conforme MODELO - ANEXO B
Conexão à rede elétrica no padrão
brasileiro. 
</t>
  </si>
  <si>
    <t xml:space="preserve">PILHA ALCALINA PEQUENA TIPO
AA
Embalagem com 02 unidades. Tensão:
1,5 V . Adequada à Resolução nº
401/2008 – CONAMA.
Indicação expressa do nome do
fabricante.
Indicação de prazo de validade não
inferior a um ano contado da data de
recebimento definitivo. 
</t>
  </si>
  <si>
    <t>embalagem</t>
  </si>
  <si>
    <t xml:space="preserve">PILHA ALCALINA PALITO TIPO
AAA
Embalagem com 02 unidades.
Adequada à Resolução nº 401/2008 –
CONAMA. Indicação expressa do nome
do fabricante.
Indicação de prazo de validade não
inferior a um ano, contado da data de
recebimento definitivo. </t>
  </si>
  <si>
    <t xml:space="preserve">PILHA 9V
Alcalina; Tensão nominal: 9 V
Embalagem com 01 unidade
Adequada à Resolução nº 401/2008 -
CONAMA
Indicação expressa do nome do
fabricante;
Indicação de prazo de validade não
inferior a um ano contado da data de
recebimento definitivo. </t>
  </si>
  <si>
    <t xml:space="preserve">BATERIA 3,6V
1200mah
1/2aa
Lithium
Embalagem com 01 unidade
Adequada à Resolução nº 401/2008 –
CONAMA
Indicação de prazo de validade não
inferior a um ano contado da data de
recebimento definitivo. 
</t>
  </si>
  <si>
    <t>kit</t>
  </si>
  <si>
    <t xml:space="preserve">PILHAS RECARREGÁVEIS COM
CARREGADOR
Tamanho da pilha: pequena Tipo AA
Capacidade mínima de 2450 mAh cada
Composição: Ni-MH
Adequada à Resolução nº 401/2008 -
CONAMA
Carregador Bivolt para, no mínimo, 4
pilhas simultaneamente
Kit com 1 carregador e mínimo de 4 pilhas AA
Marcas de referência: Philips, Multilaser,
Duracell, Sony, Elgin </t>
  </si>
  <si>
    <t>PEN DRIVE
Dispositivo de armazenamento em
memória flash com conector USB, do tipo
pendrive.
Padrão USB 3.0, compatível com os
padrões USB 2.0 e USB 1.1;
Capacidade de armazenamento mínimo
de 32GB;
Taxas de leitura e gravação mínimas de:
70MB/s e 20MB/s;
Conector USB tipo A macho, com
estrutura de proteção aos contatos do
conector conforme figura 1, e
profundidade mínima de 12mm conforme
item A da figura 2 do modelo apresentado
no Anexo B;
Estrutura com alça para fixação em
chaveiro (não está representada nas
figuras do Anexo B);
Com dimensões mínimas de 12mm x
25mm (D x C), figura 2 do modelo
apresentado no Anexo B;
Garantia mínima de 1 ano</t>
  </si>
  <si>
    <t xml:space="preserve">CABO EXTENSOR USB
Conectores USB 2.0 A macho X USB
2.0 A fêmea
Comprimento: 30 cm, no mínimo. </t>
  </si>
  <si>
    <t>CAIXAS DE SOM PARA
COMPUTADOR
Conexão Plug P2; Alimentação USB 2.0;
Som estéreo; Com controle de volume e LED Indicador;
Potência 1W RMS (mínima)</t>
  </si>
  <si>
    <t>FITA PARA GRAVAÇÃO DE DADOS
PADRÃO ULTRIUM LTO-8
Aplicação: armazenamento de dados;
Capacidade mínima nativa (sem
compressão) de 12 (doze) Terabytes;
Deve permitir compressão no padrão
2,5:1, totalizando 30 (trinta) Terabytes de
capacidade;
Fornecidos em embalagem lacrada.
Não serão admitidos produtos
remanufaturados ou recondicionados.
Compatível com drives de gravação e
leitura padrão Ultrium LTO-8.
Garantia contra defeitos de fabricação
pelo período mínimo de 12 (doze) meses.</t>
  </si>
  <si>
    <t xml:space="preserve">CÂMERAS DE VÍDEO USB TIPO
WEBCAM
Especificações mínimas:
Vídeochamada Full HD de 1080p (até
1920 x 1080 pixels);
Campo de visão de 78º graus;
Tecnologia RightLight 2 ™ de otimização
de luz e cor;
Claridade em diversas condições de
iluminação, mesmo com pouca luz;
Foco automático; Cortina de privacidade integrada;
Dois microfones unidirecionais;
USB 2.0 certificado de alta velocidade
(pronto para USB 3.0);
Clipe universal pronto para tripés que se
ajuste a monitores de laptop, LCD ou
CRT. 
 </t>
  </si>
  <si>
    <t xml:space="preserve">APOIO DE PUNHO PARA
TECLADO
Material: elastômero, tecido e gelatina de
silicone ou poliuretano macio.
Com base antiderrapante que mantém o
apoio fixo na superfície onde está sendo
utilizado.
Cor: Preta.
Comprimento: 450 MM, admitida
variação de 50 MM para mais ou para
menos;
Largura: 65 MM, admitida variação de 5
MM para menos ou 30 MM para mais;
ALTURA: 22 MM, admitida variação de
5 MM para menos ou 10 MM para mais. 
</t>
  </si>
  <si>
    <t xml:space="preserve">MOUSE PAD
Material: Elastômero e Gelatina de
Silicone
Comprimento aproximado: 25 CM,
admitida variação de 2 CM para mais ou para menos;
Largura aproximada: 22 CM, admitida
variação de 2 CM para mais ou para
menos;
Espessura: 2,5 MM, admitida variação de
0,2 MM para mais ou para menos;
Acabamento Superficial: Tecido
Características Adicionais: Ergonômico,
com Apoio para o punho em Gel
Cor: Preta </t>
  </si>
  <si>
    <t xml:space="preserve">FONE DE OUVIDO COM
MICROFONE
Tipo headphone
Haste ajustável
Concha em couro
Cor predominante: preta
Entrada tipo USB
Acondicionados em embalagem
individual com o nome do fabricante e
especificações técnicas
</t>
  </si>
  <si>
    <t>DARLU INDUSTRIA TEXTIL LTDA</t>
  </si>
  <si>
    <t>J &amp; A E-COMMERCE LTDA</t>
  </si>
  <si>
    <t>KIVER - COMERCIO DE SUPRIMENTOS PARA INFORMATICA LTDA</t>
  </si>
  <si>
    <t>CLEONE FERREIRA DOS SANTOS</t>
  </si>
  <si>
    <t>JT PAPELARIA LTDA</t>
  </si>
  <si>
    <t>XP COMPANY IMPORTACAO E EXPORTACAO LTDA</t>
  </si>
  <si>
    <t>LRF DISTRIBUIDORA LTDA</t>
  </si>
  <si>
    <t>WHALE ELECTRONICS INDUSTRIA E COMERCIO LTDA</t>
  </si>
  <si>
    <t>ESTACAO DA MUSICA LTDA</t>
  </si>
  <si>
    <t>C. E. N. BARROS LTDA</t>
  </si>
  <si>
    <t>NOVI GAMING COMERCIO DE PRODUTOS PARA INFORMATICA LTDA</t>
  </si>
  <si>
    <t>JULIANA DE BONI LAURENTINO</t>
  </si>
  <si>
    <t>LUZOR GROUP LTDA</t>
  </si>
  <si>
    <t>MAX QUALITY COMERCIO LTDA</t>
  </si>
  <si>
    <t>R3S TELECOMUNICACOES LTDA</t>
  </si>
  <si>
    <t>MAXXI LAGO COMERCIAL E SERVICOS LTDA</t>
  </si>
  <si>
    <t>SOS INFORMATICA LTDA</t>
  </si>
  <si>
    <t>TECPARTS IMPORTACAO E DISTRIBUICAO DE PECAS LTDA</t>
  </si>
  <si>
    <t>VS DATA COMERCIO &amp; DISTRIBUICAO LTDA</t>
  </si>
  <si>
    <t>MTSI COMERCIO E SERVICOS DE IMPRESSAO LTDA</t>
  </si>
  <si>
    <t>LUANDA COMERCIO DE SUPRIMENTOS PARA INFORMATICA LTDA</t>
  </si>
  <si>
    <t>ACE TECNOLOGIA COMERCIO E SERVICO LTDA</t>
  </si>
  <si>
    <t>MSI COMERCIO E SERVICOS LTDA</t>
  </si>
  <si>
    <t>PRIMETECH INFORMATICA LTDA</t>
  </si>
  <si>
    <t>PORTUGAL BRASIL PRODUTOS ESPECIAIS LTDA</t>
  </si>
  <si>
    <t>SUNHELP ENERGIA SOLAR E TI LTDA</t>
  </si>
  <si>
    <t>SEPROL IT SERVICES &amp; CONSULTING LTDA</t>
  </si>
  <si>
    <t>MMKM COMERCIO DE INFORMATICA LTDA</t>
  </si>
  <si>
    <t>45.590.340 WELITON GOMES PEREIRA</t>
  </si>
  <si>
    <t>CONTIGO SOLUCOES PARA GESTAO PUBLICA LTDA</t>
  </si>
  <si>
    <t>DIGITAL HOME LTDA</t>
  </si>
  <si>
    <t>SANTOS &amp; DUARTE SUPRIMENTOS PARA INFORMATICA LTDA</t>
  </si>
  <si>
    <t>LILIBYTE COMERCIAL VIRTUAL LTDA</t>
  </si>
  <si>
    <t>DANIEL PATRICIO DA SILVA CAETANO</t>
  </si>
  <si>
    <t>REGINA CELIA CUNHA DE SOUSA 00641565755</t>
  </si>
  <si>
    <t>35.471.891 RONIOMAR KOSLOSKI JUNIOR</t>
  </si>
  <si>
    <t>KINGDOM COMERCIO DE LICITACOES LTDA</t>
  </si>
  <si>
    <t>TIMO PAPER SUPRIMENTOS PARA ESCRITORIO LTDA</t>
  </si>
  <si>
    <t>JOAO DOMINGOS SUTIL</t>
  </si>
  <si>
    <t>30.662.603 JOAO PAULO ANSELMO CHUROCOF</t>
  </si>
  <si>
    <t>CECILHANDO KIDS LTDA</t>
  </si>
  <si>
    <t>HESAM COMERCIO E SERVICOS LTDA</t>
  </si>
  <si>
    <t>44.010.279 IRENE DE OLIVEIRA</t>
  </si>
  <si>
    <t>AEF BID COMERCIO LTDA</t>
  </si>
  <si>
    <t>VRM COMERCIO E SERVICOS LTDA</t>
  </si>
  <si>
    <t>50.829.058 WAGNER EUSTAQUIO SIQUEIRA NETO</t>
  </si>
  <si>
    <t>QUIK DISTRIBUIDORA DE ARMARINHOS LTDA</t>
  </si>
  <si>
    <t>J R PRODUTOS, EQUIPAMENTOS E UTILIDADES LTDA</t>
  </si>
  <si>
    <t>LIVRARIA E PAPELARIA RENASCER LTDA</t>
  </si>
  <si>
    <t>LPT COMERCIO IMPORTACAO E SERVICOS LTDA</t>
  </si>
  <si>
    <t>COMERCIAL K &amp; D LTDA</t>
  </si>
  <si>
    <t>ULTRA PRESTADORA DE SERVICOS E DISTRIBUIDORA LTDA</t>
  </si>
  <si>
    <t>TIAGO ANDRE BAR</t>
  </si>
  <si>
    <t>RCB SOLUCOES.COM COMERCIO E SERVICOS LTDA ME</t>
  </si>
  <si>
    <t>RAFA PAPER DISTRIBUIDORA LTDA</t>
  </si>
  <si>
    <t>ZAPPE COMERCIO E DISTRIBUICAO LTDA</t>
  </si>
  <si>
    <t>COMERCIAL SPONCHIADO LTDA</t>
  </si>
  <si>
    <t>COMERCIAL AGUIAR DE MATERIAL ELETRICO LTDA</t>
  </si>
  <si>
    <t>LAGO COMERCIO E SERVICOS LTDA</t>
  </si>
  <si>
    <t>mouse</t>
  </si>
  <si>
    <t>LICITA SHOP COMERCIO E SERVICOS LTDA</t>
  </si>
  <si>
    <t>NEP SOLUCOES E INFORMATICA - COMERCIO E SERVICOS LTDA</t>
  </si>
  <si>
    <t>ERAGON COMERCIO E SERVICOS DE INFORMATICA E PAPELARIA LTDA</t>
  </si>
  <si>
    <t>E TUDO BARATO COMERCIO DE ELETROELETRONICOS LTDA</t>
  </si>
  <si>
    <t>KEK COMERCIO E SOLUCOES LTDA</t>
  </si>
  <si>
    <t>BEL COMERCIO VAREJISTA DE ARTIGOS DE INFORMATICA LTDA</t>
  </si>
  <si>
    <t>DCG COMERCIAL LTDA</t>
  </si>
  <si>
    <t>32.853.578 DANIELLE SCHMID BRIGIDO</t>
  </si>
  <si>
    <t>COMPUSET INFORMATICA LTDA</t>
  </si>
  <si>
    <t>ASSUNCAO &amp; LAVOR TECNOLOGIA LTDA</t>
  </si>
  <si>
    <t>F O DE VASCONCELLOS LTDA</t>
  </si>
  <si>
    <t>J. L. MARTINS - INFORMATICA</t>
  </si>
  <si>
    <t>ANGEL EQUIPAMENTOS FOTOGRÁFICOS</t>
  </si>
  <si>
    <t>CASA DA ROBÓTICA</t>
  </si>
  <si>
    <t>ELETRU'S COMPONENTES ELETRÔNICOS</t>
  </si>
  <si>
    <t>ELETROPEÇAS COMERCIAL ELETRÔNICA LTDA</t>
  </si>
  <si>
    <t>OFICINA DOS BITS</t>
  </si>
  <si>
    <t>PICHAU</t>
  </si>
  <si>
    <t>COFERMETA</t>
  </si>
  <si>
    <t>OCEANO B2B</t>
  </si>
  <si>
    <t>NET ELÉTRICA</t>
  </si>
  <si>
    <t>LOJA DURACELL</t>
  </si>
  <si>
    <t>OPTISOM</t>
  </si>
  <si>
    <t>PIXEL EQUIPAMENTOS FOTOGRÁFICOS</t>
  </si>
  <si>
    <t>LONDRITECH</t>
  </si>
  <si>
    <t>AUMAX</t>
  </si>
  <si>
    <t>ECOTRON COMPONENTES ELETRÔNICOS</t>
  </si>
  <si>
    <t>A3X IMPORTS</t>
  </si>
  <si>
    <t>BULLPAD</t>
  </si>
  <si>
    <t>ZEMA</t>
  </si>
  <si>
    <t>IGANTEC</t>
  </si>
  <si>
    <t>PARADADOS</t>
  </si>
  <si>
    <t>CREATIVE CÓPIAS</t>
  </si>
  <si>
    <t>ACESSO SHOP</t>
  </si>
  <si>
    <t>CASA DAS IMPRESSORAS</t>
  </si>
  <si>
    <t>LEROY MERLIN</t>
  </si>
  <si>
    <t>MADEIRA MADEIRA</t>
  </si>
  <si>
    <t>CREATIVE  CÓPIAS</t>
  </si>
  <si>
    <t>IT QUALITY INFORMÁTICA</t>
  </si>
  <si>
    <t>CARTUCHONET.COM</t>
  </si>
  <si>
    <t>INTER SUPRI</t>
  </si>
  <si>
    <t>CARTUCHO NET</t>
  </si>
  <si>
    <t>PRINT LOJA</t>
  </si>
  <si>
    <t>INTERSUPRI</t>
  </si>
  <si>
    <t>SUPRILOJA</t>
  </si>
  <si>
    <t>CARTUCHOS WEB</t>
  </si>
  <si>
    <t>B10 TONER</t>
  </si>
  <si>
    <t>CARTUCHO E CIA</t>
  </si>
  <si>
    <t xml:space="preserve">CARTUCHO E CIA </t>
  </si>
  <si>
    <t>PROTONER</t>
  </si>
  <si>
    <t>CARTUCHO FÁCIL.COM</t>
  </si>
  <si>
    <t>ECOMANDO</t>
  </si>
  <si>
    <t>GALPÃO DO TONER</t>
  </si>
  <si>
    <t>PONTO CERTO SUPRIMENTOS EIRELI</t>
  </si>
  <si>
    <t>EFF COMERCIO VAREJISTA DE ARTIGOS ESPORTIVOS LTDA</t>
  </si>
  <si>
    <t>LKA BRINDES E SERVICOS LTDA</t>
  </si>
  <si>
    <t>47.703.967 MATHEUS DE JESUS SANTOS</t>
  </si>
  <si>
    <t>SOBRAL NUNES COMERCIO E TECNOLOGIA LTDA</t>
  </si>
  <si>
    <t>PLANEJAR DISTRIBUIDORA E IMPORTADORA LTDA</t>
  </si>
  <si>
    <t>44.334.097 ERIVAN ALVES DA SILVA</t>
  </si>
  <si>
    <t>NORTE SOLUCOES COMECIAIS LTDA</t>
  </si>
  <si>
    <t>BEM FIX MATERIAIS ELETRICOS LTDA</t>
  </si>
  <si>
    <t>TROGON COMERCIO DE INFORMATICA LTDA</t>
  </si>
  <si>
    <t>D'COLAR GRAFICA E ETIQUETAS LTDA</t>
  </si>
  <si>
    <t>P A N DE SIQUEIRA JUNIOR COMERCIO VAREJISTA E SERVICOS DE EQUIPAMENTOS DE INFORM</t>
  </si>
  <si>
    <t>GOLD LICITACAO E COBRANCA LTDA</t>
  </si>
  <si>
    <t>48.440.352 GRACIELE ARAUJO BARBOSA RIOS</t>
  </si>
  <si>
    <t>BELPARA COMERCIAL LTDA</t>
  </si>
  <si>
    <t>R1 COMERCIO E SERVICOS EM INFORMATICA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</si>
</sst>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/>
    <xf numFmtId="0" fontId="8" fillId="2" borderId="3" xfId="0" applyFont="1" applyFill="1" applyBorder="1" applyAlignment="1">
      <alignment horizontal="right"/>
    </xf>
    <xf numFmtId="44" fontId="8" fillId="2" borderId="4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4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I4" sqref="I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</v>
      </c>
      <c r="B3" s="31" t="s">
        <v>31</v>
      </c>
      <c r="C3" s="33" t="s">
        <v>6</v>
      </c>
      <c r="D3" s="33">
        <v>30</v>
      </c>
      <c r="E3" s="34">
        <f>IF(C20&lt;=25%,D20,MIN(E20:F20))</f>
        <v>257.68</v>
      </c>
      <c r="F3" s="34">
        <f>MIN(H3:H17)</f>
        <v>257.68</v>
      </c>
      <c r="G3" s="5" t="s">
        <v>171</v>
      </c>
      <c r="H3" s="16">
        <v>257.68</v>
      </c>
      <c r="I3" s="17">
        <v>257.68</v>
      </c>
    </row>
    <row r="4" spans="1:9" x14ac:dyDescent="0.25">
      <c r="A4" s="35"/>
      <c r="B4" s="32"/>
      <c r="C4" s="33"/>
      <c r="D4" s="33"/>
      <c r="E4" s="34"/>
      <c r="F4" s="34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5"/>
      <c r="B5" s="32"/>
      <c r="C5" s="33"/>
      <c r="D5" s="33"/>
      <c r="E5" s="34"/>
      <c r="F5" s="34"/>
      <c r="G5" s="5"/>
      <c r="H5" s="16"/>
      <c r="I5" s="17" t="str">
        <f t="shared" si="0"/>
        <v/>
      </c>
    </row>
    <row r="6" spans="1:9" x14ac:dyDescent="0.25">
      <c r="A6" s="35"/>
      <c r="B6" s="32"/>
      <c r="C6" s="33"/>
      <c r="D6" s="33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 t="str">
        <f>IF(B20&lt;2,"n/a",(_xlfn.STDEV.S(H3:H17)))</f>
        <v>n/a</v>
      </c>
      <c r="B20" s="8">
        <f>COUNT(H3:H17)</f>
        <v>1</v>
      </c>
      <c r="C20" s="9" t="str">
        <f>IF(B20&lt;2,"n/a",(A20/D20))</f>
        <v>n/a</v>
      </c>
      <c r="D20" s="10">
        <f>IFERROR(ROUND(AVERAGE(H3:H17),2),"")</f>
        <v>257.68</v>
      </c>
      <c r="E20" s="15" t="str">
        <f>IFERROR(ROUND(IF(B20&lt;2,"n/a",(IF(C20&lt;=25%,"n/a",AVERAGE(I3:I17)))),2),"n/a")</f>
        <v>n/a</v>
      </c>
      <c r="F20" s="10">
        <f>IFERROR(ROUND(MEDIAN(H3:H17),2),"")</f>
        <v>257.68</v>
      </c>
      <c r="G20" s="11" t="str">
        <f>IFERROR(INDEX(G3:G17,MATCH(H20,H3:H17,0)),"")</f>
        <v>PONTO CERTO SUPRIMENTOS EIRELI</v>
      </c>
      <c r="H20" s="12">
        <f>F3</f>
        <v>257.68</v>
      </c>
    </row>
    <row r="22" spans="1:9" x14ac:dyDescent="0.25">
      <c r="G22" s="13" t="s">
        <v>19</v>
      </c>
      <c r="H22" s="14">
        <f>IF(C20&lt;=25%,D20,MIN(E20:F20))</f>
        <v>257.68</v>
      </c>
    </row>
    <row r="23" spans="1:9" x14ac:dyDescent="0.25">
      <c r="G23" s="13" t="s">
        <v>5</v>
      </c>
      <c r="H23" s="14">
        <f>ROUND(H22,2)*D3</f>
        <v>7730.4000000000005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10</v>
      </c>
      <c r="B3" s="31" t="s">
        <v>40</v>
      </c>
      <c r="C3" s="33" t="s">
        <v>6</v>
      </c>
      <c r="D3" s="33">
        <v>50</v>
      </c>
      <c r="E3" s="34">
        <f>IF(C20&lt;=25%,D20,MIN(E20:F20))</f>
        <v>5.82</v>
      </c>
      <c r="F3" s="34">
        <f>MIN(H3:H17)</f>
        <v>4.5</v>
      </c>
      <c r="G3" s="5" t="s">
        <v>91</v>
      </c>
      <c r="H3" s="16">
        <v>4.5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97</v>
      </c>
      <c r="H4" s="16">
        <v>4.75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118</v>
      </c>
      <c r="H5" s="16">
        <v>5.5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119</v>
      </c>
      <c r="H6" s="16">
        <v>5.5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120</v>
      </c>
      <c r="H7" s="16">
        <v>5.5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 t="s">
        <v>121</v>
      </c>
      <c r="H8" s="16">
        <v>5.75</v>
      </c>
      <c r="I8" s="17" t="str">
        <f t="shared" si="0"/>
        <v>n/a</v>
      </c>
    </row>
    <row r="9" spans="1:9" x14ac:dyDescent="0.25">
      <c r="A9" s="35"/>
      <c r="B9" s="32"/>
      <c r="C9" s="33"/>
      <c r="D9" s="33"/>
      <c r="E9" s="34"/>
      <c r="F9" s="34"/>
      <c r="G9" s="5" t="s">
        <v>122</v>
      </c>
      <c r="H9" s="16">
        <v>5.8</v>
      </c>
      <c r="I9" s="17" t="str">
        <f t="shared" si="0"/>
        <v>n/a</v>
      </c>
    </row>
    <row r="10" spans="1:9" x14ac:dyDescent="0.25">
      <c r="A10" s="35"/>
      <c r="B10" s="32"/>
      <c r="C10" s="33"/>
      <c r="D10" s="33"/>
      <c r="E10" s="34"/>
      <c r="F10" s="34"/>
      <c r="G10" s="5" t="s">
        <v>123</v>
      </c>
      <c r="H10" s="16">
        <v>5.85</v>
      </c>
      <c r="I10" s="17" t="str">
        <f t="shared" si="0"/>
        <v>n/a</v>
      </c>
    </row>
    <row r="11" spans="1:9" x14ac:dyDescent="0.25">
      <c r="A11" s="35"/>
      <c r="B11" s="32"/>
      <c r="C11" s="33"/>
      <c r="D11" s="33"/>
      <c r="E11" s="34"/>
      <c r="F11" s="34"/>
      <c r="G11" s="5" t="s">
        <v>87</v>
      </c>
      <c r="H11" s="16">
        <v>5.89</v>
      </c>
      <c r="I11" s="17" t="str">
        <f t="shared" si="0"/>
        <v>n/a</v>
      </c>
    </row>
    <row r="12" spans="1:9" x14ac:dyDescent="0.25">
      <c r="A12" s="35"/>
      <c r="B12" s="32"/>
      <c r="C12" s="33"/>
      <c r="D12" s="33"/>
      <c r="E12" s="34"/>
      <c r="F12" s="34"/>
      <c r="G12" s="5" t="s">
        <v>124</v>
      </c>
      <c r="H12" s="16">
        <v>5.98</v>
      </c>
      <c r="I12" s="17" t="str">
        <f t="shared" si="0"/>
        <v>n/a</v>
      </c>
    </row>
    <row r="13" spans="1:9" x14ac:dyDescent="0.25">
      <c r="A13" s="35"/>
      <c r="B13" s="32"/>
      <c r="C13" s="33"/>
      <c r="D13" s="33"/>
      <c r="E13" s="34"/>
      <c r="F13" s="34"/>
      <c r="G13" s="5" t="s">
        <v>125</v>
      </c>
      <c r="H13" s="16">
        <v>6</v>
      </c>
      <c r="I13" s="17" t="str">
        <f t="shared" si="0"/>
        <v>n/a</v>
      </c>
    </row>
    <row r="14" spans="1:9" x14ac:dyDescent="0.25">
      <c r="A14" s="35"/>
      <c r="B14" s="32"/>
      <c r="C14" s="33"/>
      <c r="D14" s="33"/>
      <c r="E14" s="34"/>
      <c r="F14" s="34"/>
      <c r="G14" s="5" t="s">
        <v>126</v>
      </c>
      <c r="H14" s="16">
        <v>6</v>
      </c>
      <c r="I14" s="17" t="str">
        <f t="shared" si="0"/>
        <v>n/a</v>
      </c>
    </row>
    <row r="15" spans="1:9" x14ac:dyDescent="0.25">
      <c r="A15" s="35"/>
      <c r="B15" s="32"/>
      <c r="C15" s="33"/>
      <c r="D15" s="33"/>
      <c r="E15" s="34"/>
      <c r="F15" s="34"/>
      <c r="G15" s="5" t="s">
        <v>127</v>
      </c>
      <c r="H15" s="16">
        <v>6.45</v>
      </c>
      <c r="I15" s="17" t="str">
        <f t="shared" si="0"/>
        <v>n/a</v>
      </c>
    </row>
    <row r="16" spans="1:9" x14ac:dyDescent="0.25">
      <c r="A16" s="35"/>
      <c r="B16" s="32"/>
      <c r="C16" s="33"/>
      <c r="D16" s="33"/>
      <c r="E16" s="34"/>
      <c r="F16" s="34"/>
      <c r="G16" s="5" t="s">
        <v>128</v>
      </c>
      <c r="H16" s="16">
        <v>6.86</v>
      </c>
      <c r="I16" s="17" t="str">
        <f t="shared" si="0"/>
        <v>n/a</v>
      </c>
    </row>
    <row r="17" spans="1:9" x14ac:dyDescent="0.25">
      <c r="A17" s="35"/>
      <c r="B17" s="32"/>
      <c r="C17" s="33"/>
      <c r="D17" s="33"/>
      <c r="E17" s="34"/>
      <c r="F17" s="34"/>
      <c r="G17" s="5" t="s">
        <v>129</v>
      </c>
      <c r="H17" s="16">
        <v>6.9</v>
      </c>
      <c r="I17" s="17" t="str">
        <f t="shared" si="0"/>
        <v>n/a</v>
      </c>
    </row>
    <row r="18" spans="1:9" x14ac:dyDescent="0.25">
      <c r="D18" s="1" t="s">
        <v>117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0.65140361272152969</v>
      </c>
      <c r="B20" s="8">
        <f>COUNT(H3:H17)</f>
        <v>15</v>
      </c>
      <c r="C20" s="9">
        <f>IF(B20&lt;2,"n/a",(A20/D20))</f>
        <v>0.11192501936796043</v>
      </c>
      <c r="D20" s="10">
        <f>IFERROR(ROUND(AVERAGE(H3:H17),2),"")</f>
        <v>5.82</v>
      </c>
      <c r="E20" s="15" t="str">
        <f>IFERROR(ROUND(IF(B20&lt;2,"n/a",(IF(C20&lt;=25%,"n/a",AVERAGE(I3:I17)))),2),"n/a")</f>
        <v>n/a</v>
      </c>
      <c r="F20" s="10">
        <f>IFERROR(ROUND(MEDIAN(H3:H17),2),"")</f>
        <v>5.85</v>
      </c>
      <c r="G20" s="11" t="str">
        <f>IFERROR(INDEX(G3:G17,MATCH(H20,H3:H17,0)),"")</f>
        <v>DANIEL PATRICIO DA SILVA CAETANO</v>
      </c>
      <c r="H20" s="12">
        <f>F3</f>
        <v>4.5</v>
      </c>
    </row>
    <row r="22" spans="1:9" x14ac:dyDescent="0.25">
      <c r="G22" s="13" t="s">
        <v>19</v>
      </c>
      <c r="H22" s="14">
        <f>IF(C20&lt;=25%,D20,MIN(E20:F20))</f>
        <v>5.82</v>
      </c>
    </row>
    <row r="23" spans="1:9" x14ac:dyDescent="0.25">
      <c r="G23" s="13" t="s">
        <v>5</v>
      </c>
      <c r="H23" s="14">
        <f>ROUND(H22,2)*D3</f>
        <v>291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11</v>
      </c>
      <c r="B3" s="31" t="s">
        <v>41</v>
      </c>
      <c r="C3" s="33" t="s">
        <v>6</v>
      </c>
      <c r="D3" s="33">
        <v>400</v>
      </c>
      <c r="E3" s="34">
        <f>IF(C20&lt;=25%,D20,MIN(E20:F20))</f>
        <v>45.45</v>
      </c>
      <c r="F3" s="34">
        <f>MIN(H3:H17)</f>
        <v>31.47</v>
      </c>
      <c r="G3" s="5" t="s">
        <v>138</v>
      </c>
      <c r="H3" s="16">
        <v>31.47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134</v>
      </c>
      <c r="H4" s="16">
        <v>42.9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135</v>
      </c>
      <c r="H5" s="16">
        <v>59.99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136</v>
      </c>
      <c r="H6" s="16">
        <v>44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137</v>
      </c>
      <c r="H7" s="16">
        <v>48.9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10.336337359045482</v>
      </c>
      <c r="B20" s="8">
        <f>COUNT(H3:H17)</f>
        <v>5</v>
      </c>
      <c r="C20" s="9">
        <f>IF(B20&lt;2,"n/a",(A20/D20))</f>
        <v>0.22742216411541213</v>
      </c>
      <c r="D20" s="10">
        <f>IFERROR(ROUND(AVERAGE(H3:H17),2),"")</f>
        <v>45.45</v>
      </c>
      <c r="E20" s="15" t="str">
        <f>IFERROR(ROUND(IF(B20&lt;2,"n/a",(IF(C20&lt;=25%,"n/a",AVERAGE(I3:I17)))),2),"n/a")</f>
        <v>n/a</v>
      </c>
      <c r="F20" s="10">
        <f>IFERROR(ROUND(MEDIAN(H3:H17),2),"")</f>
        <v>44</v>
      </c>
      <c r="G20" s="11" t="str">
        <f>IFERROR(INDEX(G3:G17,MATCH(H20,H3:H17,0)),"")</f>
        <v>NET ELÉTRICA</v>
      </c>
      <c r="H20" s="12">
        <f>F3</f>
        <v>31.47</v>
      </c>
    </row>
    <row r="22" spans="1:9" x14ac:dyDescent="0.25">
      <c r="G22" s="13" t="s">
        <v>19</v>
      </c>
      <c r="H22" s="14">
        <f>IF(C20&lt;=25%,D20,MIN(E20:F20))</f>
        <v>45.45</v>
      </c>
    </row>
    <row r="23" spans="1:9" x14ac:dyDescent="0.25">
      <c r="G23" s="13" t="s">
        <v>5</v>
      </c>
      <c r="H23" s="14">
        <f>ROUND(H22,2)*D3</f>
        <v>18180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12</v>
      </c>
      <c r="B3" s="31" t="s">
        <v>42</v>
      </c>
      <c r="C3" s="33" t="s">
        <v>6</v>
      </c>
      <c r="D3" s="33">
        <v>100</v>
      </c>
      <c r="E3" s="34">
        <f>IF(C20&lt;=25%,D20,MIN(E20:F20))</f>
        <v>27.45</v>
      </c>
      <c r="F3" s="34">
        <f>MIN(H3:H17)</f>
        <v>17.36</v>
      </c>
      <c r="G3" s="5" t="s">
        <v>114</v>
      </c>
      <c r="H3" s="16">
        <v>17.36</v>
      </c>
      <c r="I3" s="17">
        <f>IF(H3="","",(IF($C$20&lt;25%,"n/a",IF(H3&lt;=($D$20+$A$20),H3,"Descartado"))))</f>
        <v>17.36</v>
      </c>
    </row>
    <row r="4" spans="1:9" x14ac:dyDescent="0.25">
      <c r="A4" s="35"/>
      <c r="B4" s="32"/>
      <c r="C4" s="33"/>
      <c r="D4" s="33"/>
      <c r="E4" s="34"/>
      <c r="F4" s="34"/>
      <c r="G4" s="5" t="s">
        <v>115</v>
      </c>
      <c r="H4" s="16">
        <v>30</v>
      </c>
      <c r="I4" s="17">
        <f t="shared" ref="I4:I17" si="0">IF(H4="","",(IF($C$20&lt;25%,"n/a",IF(H4&lt;=($D$20+$A$20),H4,"Descartado"))))</f>
        <v>30</v>
      </c>
    </row>
    <row r="5" spans="1:9" x14ac:dyDescent="0.25">
      <c r="A5" s="35"/>
      <c r="B5" s="32"/>
      <c r="C5" s="33"/>
      <c r="D5" s="33"/>
      <c r="E5" s="34"/>
      <c r="F5" s="34"/>
      <c r="G5" s="5" t="s">
        <v>116</v>
      </c>
      <c r="H5" s="16">
        <v>35</v>
      </c>
      <c r="I5" s="17">
        <f t="shared" si="0"/>
        <v>35</v>
      </c>
    </row>
    <row r="6" spans="1:9" x14ac:dyDescent="0.25">
      <c r="A6" s="35"/>
      <c r="B6" s="32"/>
      <c r="C6" s="33"/>
      <c r="D6" s="33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8" spans="1:9" x14ac:dyDescent="0.25">
      <c r="D18" s="1">
        <v>17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9.0915638552084808</v>
      </c>
      <c r="B20" s="8">
        <f>COUNT(H3:H17)</f>
        <v>3</v>
      </c>
      <c r="C20" s="9">
        <f>IF(B20&lt;2,"n/a",(A20/D20))</f>
        <v>0.33120451202945284</v>
      </c>
      <c r="D20" s="10">
        <f>IFERROR(ROUND(AVERAGE(H3:H17),2),"")</f>
        <v>27.45</v>
      </c>
      <c r="E20" s="15">
        <f>IFERROR(ROUND(IF(B20&lt;2,"n/a",(IF(C20&lt;=25%,"n/a",AVERAGE(I3:I17)))),2),"n/a")</f>
        <v>27.45</v>
      </c>
      <c r="F20" s="10">
        <f>IFERROR(ROUND(MEDIAN(H3:H17),2),"")</f>
        <v>30</v>
      </c>
      <c r="G20" s="11" t="str">
        <f>IFERROR(INDEX(G3:G17,MATCH(H20,H3:H17,0)),"")</f>
        <v>COMERCIAL SPONCHIADO LTDA</v>
      </c>
      <c r="H20" s="12">
        <f>F3</f>
        <v>17.36</v>
      </c>
    </row>
    <row r="22" spans="1:9" x14ac:dyDescent="0.25">
      <c r="G22" s="13" t="s">
        <v>19</v>
      </c>
      <c r="H22" s="14">
        <f>IF(C20&lt;=25%,D20,MIN(E20:F20))</f>
        <v>27.45</v>
      </c>
    </row>
    <row r="23" spans="1:9" x14ac:dyDescent="0.25">
      <c r="G23" s="13" t="s">
        <v>5</v>
      </c>
      <c r="H23" s="14">
        <f>ROUND(H22,2)*D3</f>
        <v>2745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13</v>
      </c>
      <c r="B3" s="31" t="s">
        <v>43</v>
      </c>
      <c r="C3" s="33" t="s">
        <v>44</v>
      </c>
      <c r="D3" s="33">
        <v>600</v>
      </c>
      <c r="E3" s="34">
        <f>IF(C20&lt;=25%,D20,MIN(E20:F20))</f>
        <v>2.4</v>
      </c>
      <c r="F3" s="34">
        <f>MIN(H3:H17)</f>
        <v>1.03</v>
      </c>
      <c r="G3" s="5" t="s">
        <v>92</v>
      </c>
      <c r="H3" s="16">
        <v>1.03</v>
      </c>
      <c r="I3" s="17">
        <f>IF(H3="","",(IF($C$20&lt;25%,"n/a",IF(H3&lt;=($D$20+$A$20),H3,"Descartado"))))</f>
        <v>1.03</v>
      </c>
    </row>
    <row r="4" spans="1:9" x14ac:dyDescent="0.25">
      <c r="A4" s="35"/>
      <c r="B4" s="32"/>
      <c r="C4" s="33"/>
      <c r="D4" s="33"/>
      <c r="E4" s="34"/>
      <c r="F4" s="34"/>
      <c r="G4" s="5" t="s">
        <v>107</v>
      </c>
      <c r="H4" s="16">
        <v>1.44</v>
      </c>
      <c r="I4" s="17">
        <f t="shared" ref="I4:I17" si="0">IF(H4="","",(IF($C$20&lt;25%,"n/a",IF(H4&lt;=($D$20+$A$20),H4,"Descartado"))))</f>
        <v>1.44</v>
      </c>
    </row>
    <row r="5" spans="1:9" x14ac:dyDescent="0.25">
      <c r="A5" s="35"/>
      <c r="B5" s="32"/>
      <c r="C5" s="33"/>
      <c r="D5" s="33"/>
      <c r="E5" s="34"/>
      <c r="F5" s="34"/>
      <c r="G5" s="5" t="s">
        <v>93</v>
      </c>
      <c r="H5" s="16">
        <v>1.69</v>
      </c>
      <c r="I5" s="17">
        <f t="shared" si="0"/>
        <v>1.69</v>
      </c>
    </row>
    <row r="6" spans="1:9" x14ac:dyDescent="0.25">
      <c r="A6" s="35"/>
      <c r="B6" s="32"/>
      <c r="C6" s="33"/>
      <c r="D6" s="33"/>
      <c r="E6" s="34"/>
      <c r="F6" s="34"/>
      <c r="G6" s="5" t="s">
        <v>94</v>
      </c>
      <c r="H6" s="16">
        <v>1.9</v>
      </c>
      <c r="I6" s="17">
        <f t="shared" si="0"/>
        <v>1.9</v>
      </c>
    </row>
    <row r="7" spans="1:9" x14ac:dyDescent="0.25">
      <c r="A7" s="35"/>
      <c r="B7" s="32"/>
      <c r="C7" s="33"/>
      <c r="D7" s="33"/>
      <c r="E7" s="34"/>
      <c r="F7" s="34"/>
      <c r="G7" s="5" t="s">
        <v>97</v>
      </c>
      <c r="H7" s="16">
        <v>2.1800000000000002</v>
      </c>
      <c r="I7" s="17">
        <f t="shared" si="0"/>
        <v>2.1800000000000002</v>
      </c>
    </row>
    <row r="8" spans="1:9" x14ac:dyDescent="0.25">
      <c r="A8" s="35"/>
      <c r="B8" s="32"/>
      <c r="C8" s="33"/>
      <c r="D8" s="33"/>
      <c r="E8" s="34"/>
      <c r="F8" s="34"/>
      <c r="G8" s="5" t="s">
        <v>98</v>
      </c>
      <c r="H8" s="16">
        <v>2.4</v>
      </c>
      <c r="I8" s="17">
        <f t="shared" si="0"/>
        <v>2.4</v>
      </c>
    </row>
    <row r="9" spans="1:9" x14ac:dyDescent="0.25">
      <c r="A9" s="35"/>
      <c r="B9" s="32"/>
      <c r="C9" s="33"/>
      <c r="D9" s="33"/>
      <c r="E9" s="34"/>
      <c r="F9" s="34"/>
      <c r="G9" s="5" t="s">
        <v>108</v>
      </c>
      <c r="H9" s="16">
        <v>2.5</v>
      </c>
      <c r="I9" s="17">
        <f t="shared" si="0"/>
        <v>2.5</v>
      </c>
    </row>
    <row r="10" spans="1:9" x14ac:dyDescent="0.25">
      <c r="A10" s="35"/>
      <c r="B10" s="32"/>
      <c r="C10" s="33"/>
      <c r="D10" s="33"/>
      <c r="E10" s="34"/>
      <c r="F10" s="34"/>
      <c r="G10" s="5" t="s">
        <v>109</v>
      </c>
      <c r="H10" s="16">
        <v>2.66</v>
      </c>
      <c r="I10" s="17">
        <f t="shared" si="0"/>
        <v>2.66</v>
      </c>
    </row>
    <row r="11" spans="1:9" x14ac:dyDescent="0.25">
      <c r="A11" s="35"/>
      <c r="B11" s="32"/>
      <c r="C11" s="33"/>
      <c r="D11" s="33"/>
      <c r="E11" s="34"/>
      <c r="F11" s="34"/>
      <c r="G11" s="5" t="s">
        <v>110</v>
      </c>
      <c r="H11" s="16">
        <v>2.7</v>
      </c>
      <c r="I11" s="17">
        <f t="shared" si="0"/>
        <v>2.7</v>
      </c>
    </row>
    <row r="12" spans="1:9" x14ac:dyDescent="0.25">
      <c r="A12" s="35"/>
      <c r="B12" s="32"/>
      <c r="C12" s="33"/>
      <c r="D12" s="33"/>
      <c r="E12" s="34"/>
      <c r="F12" s="34"/>
      <c r="G12" s="5" t="s">
        <v>103</v>
      </c>
      <c r="H12" s="16">
        <v>2.8</v>
      </c>
      <c r="I12" s="17">
        <f t="shared" si="0"/>
        <v>2.8</v>
      </c>
    </row>
    <row r="13" spans="1:9" x14ac:dyDescent="0.25">
      <c r="A13" s="35"/>
      <c r="B13" s="32"/>
      <c r="C13" s="33"/>
      <c r="D13" s="33"/>
      <c r="E13" s="34"/>
      <c r="F13" s="34"/>
      <c r="G13" s="5" t="s">
        <v>104</v>
      </c>
      <c r="H13" s="16">
        <v>2.9</v>
      </c>
      <c r="I13" s="17">
        <f t="shared" si="0"/>
        <v>2.9</v>
      </c>
    </row>
    <row r="14" spans="1:9" x14ac:dyDescent="0.25">
      <c r="A14" s="35"/>
      <c r="B14" s="32"/>
      <c r="C14" s="33"/>
      <c r="D14" s="33"/>
      <c r="E14" s="34"/>
      <c r="F14" s="34"/>
      <c r="G14" s="5" t="s">
        <v>100</v>
      </c>
      <c r="H14" s="16">
        <v>2.91</v>
      </c>
      <c r="I14" s="17">
        <f t="shared" si="0"/>
        <v>2.91</v>
      </c>
    </row>
    <row r="15" spans="1:9" x14ac:dyDescent="0.25">
      <c r="A15" s="35"/>
      <c r="B15" s="32"/>
      <c r="C15" s="33"/>
      <c r="D15" s="33"/>
      <c r="E15" s="34"/>
      <c r="F15" s="34"/>
      <c r="G15" s="5" t="s">
        <v>111</v>
      </c>
      <c r="H15" s="16">
        <v>2.93</v>
      </c>
      <c r="I15" s="17">
        <f t="shared" si="0"/>
        <v>2.93</v>
      </c>
    </row>
    <row r="16" spans="1:9" x14ac:dyDescent="0.25">
      <c r="A16" s="35"/>
      <c r="B16" s="32"/>
      <c r="C16" s="33"/>
      <c r="D16" s="33"/>
      <c r="E16" s="34"/>
      <c r="F16" s="34"/>
      <c r="G16" s="5" t="s">
        <v>112</v>
      </c>
      <c r="H16" s="16">
        <v>2.93</v>
      </c>
      <c r="I16" s="17">
        <f t="shared" si="0"/>
        <v>2.93</v>
      </c>
    </row>
    <row r="17" spans="1:9" x14ac:dyDescent="0.25">
      <c r="A17" s="35"/>
      <c r="B17" s="32"/>
      <c r="C17" s="33"/>
      <c r="D17" s="33"/>
      <c r="E17" s="34"/>
      <c r="F17" s="34"/>
      <c r="G17" s="5" t="s">
        <v>113</v>
      </c>
      <c r="H17" s="16">
        <v>3.02</v>
      </c>
      <c r="I17" s="17">
        <f t="shared" si="0"/>
        <v>3.02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0.62018967912666723</v>
      </c>
      <c r="B20" s="8">
        <f>COUNT(H3:H17)</f>
        <v>15</v>
      </c>
      <c r="C20" s="9">
        <f>IF(B20&lt;2,"n/a",(A20/D20))</f>
        <v>0.25841236630277803</v>
      </c>
      <c r="D20" s="10">
        <f>IFERROR(ROUND(AVERAGE(H3:H17),2),"")</f>
        <v>2.4</v>
      </c>
      <c r="E20" s="15">
        <f>IFERROR(ROUND(IF(B20&lt;2,"n/a",(IF(C20&lt;=25%,"n/a",AVERAGE(I3:I17)))),2),"n/a")</f>
        <v>2.4</v>
      </c>
      <c r="F20" s="10">
        <f>IFERROR(ROUND(MEDIAN(H3:H17),2),"")</f>
        <v>2.66</v>
      </c>
      <c r="G20" s="11" t="str">
        <f>IFERROR(INDEX(G3:G17,MATCH(H20,H3:H17,0)),"")</f>
        <v>REGINA CELIA CUNHA DE SOUSA 00641565755</v>
      </c>
      <c r="H20" s="12">
        <f>F3</f>
        <v>1.03</v>
      </c>
    </row>
    <row r="22" spans="1:9" x14ac:dyDescent="0.25">
      <c r="G22" s="13" t="s">
        <v>19</v>
      </c>
      <c r="H22" s="14">
        <f>IF(C20&lt;=25%,D20,MIN(E20:F20))</f>
        <v>2.4</v>
      </c>
    </row>
    <row r="23" spans="1:9" x14ac:dyDescent="0.25">
      <c r="G23" s="13" t="s">
        <v>5</v>
      </c>
      <c r="H23" s="14">
        <f>ROUND(H22,2)*D3</f>
        <v>1440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14</v>
      </c>
      <c r="B3" s="31" t="s">
        <v>45</v>
      </c>
      <c r="C3" s="33" t="s">
        <v>44</v>
      </c>
      <c r="D3" s="33">
        <v>1000</v>
      </c>
      <c r="E3" s="34">
        <f>IF(C20&lt;=25%,D20,MIN(E20:F20))</f>
        <v>2.2000000000000002</v>
      </c>
      <c r="F3" s="34">
        <f>MIN(H3:H17)</f>
        <v>0.94</v>
      </c>
      <c r="G3" s="5" t="s">
        <v>92</v>
      </c>
      <c r="H3" s="16">
        <v>0.94</v>
      </c>
      <c r="I3" s="17">
        <f>IF(H3="","",(IF($C$20&lt;25%,"n/a",IF(H3&lt;=($D$20+$A$20),H3,"Descartado"))))</f>
        <v>0.94</v>
      </c>
    </row>
    <row r="4" spans="1:9" x14ac:dyDescent="0.25">
      <c r="A4" s="35"/>
      <c r="B4" s="32"/>
      <c r="C4" s="33"/>
      <c r="D4" s="33"/>
      <c r="E4" s="34"/>
      <c r="F4" s="34"/>
      <c r="G4" s="5" t="s">
        <v>93</v>
      </c>
      <c r="H4" s="16">
        <v>1.69</v>
      </c>
      <c r="I4" s="17">
        <f t="shared" ref="I4:I17" si="0">IF(H4="","",(IF($C$20&lt;25%,"n/a",IF(H4&lt;=($D$20+$A$20),H4,"Descartado"))))</f>
        <v>1.69</v>
      </c>
    </row>
    <row r="5" spans="1:9" x14ac:dyDescent="0.25">
      <c r="A5" s="35"/>
      <c r="B5" s="32"/>
      <c r="C5" s="33"/>
      <c r="D5" s="33"/>
      <c r="E5" s="34"/>
      <c r="F5" s="34"/>
      <c r="G5" s="5" t="s">
        <v>94</v>
      </c>
      <c r="H5" s="16">
        <v>1.7</v>
      </c>
      <c r="I5" s="17">
        <f t="shared" si="0"/>
        <v>1.7</v>
      </c>
    </row>
    <row r="6" spans="1:9" x14ac:dyDescent="0.25">
      <c r="A6" s="35"/>
      <c r="B6" s="32"/>
      <c r="C6" s="33"/>
      <c r="D6" s="33"/>
      <c r="E6" s="34"/>
      <c r="F6" s="34"/>
      <c r="G6" s="5" t="s">
        <v>95</v>
      </c>
      <c r="H6" s="16">
        <v>1.75</v>
      </c>
      <c r="I6" s="17">
        <f t="shared" si="0"/>
        <v>1.75</v>
      </c>
    </row>
    <row r="7" spans="1:9" x14ac:dyDescent="0.25">
      <c r="A7" s="35"/>
      <c r="B7" s="32"/>
      <c r="C7" s="33"/>
      <c r="D7" s="33"/>
      <c r="E7" s="34"/>
      <c r="F7" s="34"/>
      <c r="G7" s="5" t="s">
        <v>96</v>
      </c>
      <c r="H7" s="16">
        <v>1.98</v>
      </c>
      <c r="I7" s="17">
        <f t="shared" si="0"/>
        <v>1.98</v>
      </c>
    </row>
    <row r="8" spans="1:9" x14ac:dyDescent="0.25">
      <c r="A8" s="35"/>
      <c r="B8" s="32"/>
      <c r="C8" s="33"/>
      <c r="D8" s="33"/>
      <c r="E8" s="34"/>
      <c r="F8" s="34"/>
      <c r="G8" s="5" t="s">
        <v>97</v>
      </c>
      <c r="H8" s="16">
        <v>2</v>
      </c>
      <c r="I8" s="17">
        <f t="shared" si="0"/>
        <v>2</v>
      </c>
    </row>
    <row r="9" spans="1:9" x14ac:dyDescent="0.25">
      <c r="A9" s="35"/>
      <c r="B9" s="32"/>
      <c r="C9" s="33"/>
      <c r="D9" s="33"/>
      <c r="E9" s="34"/>
      <c r="F9" s="34"/>
      <c r="G9" s="28" t="s">
        <v>98</v>
      </c>
      <c r="H9" s="16">
        <v>2.4</v>
      </c>
      <c r="I9" s="17">
        <f t="shared" si="0"/>
        <v>2.4</v>
      </c>
    </row>
    <row r="10" spans="1:9" x14ac:dyDescent="0.25">
      <c r="A10" s="35"/>
      <c r="B10" s="32"/>
      <c r="C10" s="33"/>
      <c r="D10" s="33"/>
      <c r="E10" s="34"/>
      <c r="F10" s="34"/>
      <c r="G10" s="5" t="s">
        <v>99</v>
      </c>
      <c r="H10" s="16">
        <v>2.4500000000000002</v>
      </c>
      <c r="I10" s="17">
        <f t="shared" si="0"/>
        <v>2.4500000000000002</v>
      </c>
    </row>
    <row r="11" spans="1:9" x14ac:dyDescent="0.25">
      <c r="A11" s="35"/>
      <c r="B11" s="32"/>
      <c r="C11" s="33"/>
      <c r="D11" s="33"/>
      <c r="E11" s="34"/>
      <c r="F11" s="34"/>
      <c r="G11" s="5" t="s">
        <v>100</v>
      </c>
      <c r="H11" s="16">
        <v>2.4700000000000002</v>
      </c>
      <c r="I11" s="17">
        <f t="shared" si="0"/>
        <v>2.4700000000000002</v>
      </c>
    </row>
    <row r="12" spans="1:9" x14ac:dyDescent="0.25">
      <c r="A12" s="35"/>
      <c r="B12" s="32"/>
      <c r="C12" s="33"/>
      <c r="D12" s="33"/>
      <c r="E12" s="34"/>
      <c r="F12" s="34"/>
      <c r="G12" s="5" t="s">
        <v>101</v>
      </c>
      <c r="H12" s="16">
        <v>2.7</v>
      </c>
      <c r="I12" s="17">
        <f t="shared" si="0"/>
        <v>2.7</v>
      </c>
    </row>
    <row r="13" spans="1:9" x14ac:dyDescent="0.25">
      <c r="A13" s="35"/>
      <c r="B13" s="32"/>
      <c r="C13" s="33"/>
      <c r="D13" s="33"/>
      <c r="E13" s="34"/>
      <c r="F13" s="34"/>
      <c r="G13" s="5" t="s">
        <v>102</v>
      </c>
      <c r="H13" s="16">
        <v>2.82</v>
      </c>
      <c r="I13" s="17">
        <f t="shared" si="0"/>
        <v>2.82</v>
      </c>
    </row>
    <row r="14" spans="1:9" x14ac:dyDescent="0.25">
      <c r="A14" s="35"/>
      <c r="B14" s="32"/>
      <c r="C14" s="33"/>
      <c r="D14" s="33"/>
      <c r="E14" s="34"/>
      <c r="F14" s="34"/>
      <c r="G14" s="5" t="s">
        <v>103</v>
      </c>
      <c r="H14" s="16">
        <v>2.85</v>
      </c>
      <c r="I14" s="17">
        <f t="shared" si="0"/>
        <v>2.85</v>
      </c>
    </row>
    <row r="15" spans="1:9" x14ac:dyDescent="0.25">
      <c r="A15" s="35"/>
      <c r="B15" s="32"/>
      <c r="C15" s="33"/>
      <c r="D15" s="33"/>
      <c r="E15" s="34"/>
      <c r="F15" s="34"/>
      <c r="G15" s="5" t="s">
        <v>104</v>
      </c>
      <c r="H15" s="16">
        <v>2.9</v>
      </c>
      <c r="I15" s="17">
        <f t="shared" si="0"/>
        <v>2.9</v>
      </c>
    </row>
    <row r="16" spans="1:9" x14ac:dyDescent="0.25">
      <c r="A16" s="35"/>
      <c r="B16" s="32"/>
      <c r="C16" s="33"/>
      <c r="D16" s="33"/>
      <c r="E16" s="34"/>
      <c r="F16" s="34"/>
      <c r="G16" s="5" t="s">
        <v>105</v>
      </c>
      <c r="H16" s="16">
        <v>3.19</v>
      </c>
      <c r="I16" s="17" t="str">
        <f t="shared" si="0"/>
        <v>Descartado</v>
      </c>
    </row>
    <row r="17" spans="1:9" x14ac:dyDescent="0.25">
      <c r="A17" s="35"/>
      <c r="B17" s="32"/>
      <c r="C17" s="33"/>
      <c r="D17" s="33"/>
      <c r="E17" s="34"/>
      <c r="F17" s="34"/>
      <c r="G17" s="5" t="s">
        <v>106</v>
      </c>
      <c r="H17" s="16">
        <v>3.2</v>
      </c>
      <c r="I17" s="17" t="str">
        <f t="shared" si="0"/>
        <v>Descartado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0.6444022701032992</v>
      </c>
      <c r="B20" s="8">
        <f>COUNT(H3:H17)</f>
        <v>15</v>
      </c>
      <c r="C20" s="9">
        <f>IF(B20&lt;2,"n/a",(A20/D20))</f>
        <v>0.27538558551423042</v>
      </c>
      <c r="D20" s="10">
        <f>IFERROR(ROUND(AVERAGE(H3:H17),2),"")</f>
        <v>2.34</v>
      </c>
      <c r="E20" s="15">
        <f>IFERROR(ROUND(IF(B20&lt;2,"n/a",(IF(C20&lt;=25%,"n/a",AVERAGE(I3:I17)))),2),"n/a")</f>
        <v>2.2000000000000002</v>
      </c>
      <c r="F20" s="10">
        <f>IFERROR(ROUND(MEDIAN(H3:H17),2),"")</f>
        <v>2.4500000000000002</v>
      </c>
      <c r="G20" s="11" t="str">
        <f>IFERROR(INDEX(G3:G17,MATCH(H20,H3:H17,0)),"")</f>
        <v>REGINA CELIA CUNHA DE SOUSA 00641565755</v>
      </c>
      <c r="H20" s="12">
        <f>F3</f>
        <v>0.94</v>
      </c>
    </row>
    <row r="22" spans="1:9" x14ac:dyDescent="0.25">
      <c r="G22" s="13" t="s">
        <v>19</v>
      </c>
      <c r="H22" s="14">
        <f>IF(C20&lt;=25%,D20,MIN(E20:F20))</f>
        <v>2.2000000000000002</v>
      </c>
    </row>
    <row r="23" spans="1:9" x14ac:dyDescent="0.25">
      <c r="G23" s="13" t="s">
        <v>5</v>
      </c>
      <c r="H23" s="14">
        <f>ROUND(H22,2)*D3</f>
        <v>2200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5" sqref="G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15</v>
      </c>
      <c r="B3" s="31" t="s">
        <v>46</v>
      </c>
      <c r="C3" s="33" t="s">
        <v>44</v>
      </c>
      <c r="D3" s="33">
        <v>100</v>
      </c>
      <c r="E3" s="34">
        <f>IF(C20&lt;=25%,D20,MIN(E20:F20))</f>
        <v>24.07</v>
      </c>
      <c r="F3" s="34">
        <f>MIN(H3:H17)</f>
        <v>18.29</v>
      </c>
      <c r="G3" s="5" t="s">
        <v>130</v>
      </c>
      <c r="H3" s="16">
        <v>28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133</v>
      </c>
      <c r="H4" s="16">
        <v>18.29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131</v>
      </c>
      <c r="H5" s="16">
        <v>21.99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132</v>
      </c>
      <c r="H6" s="16">
        <v>28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4.7827676785169801</v>
      </c>
      <c r="B20" s="8">
        <f>COUNT(H3:H17)</f>
        <v>4</v>
      </c>
      <c r="C20" s="9">
        <f>IF(B20&lt;2,"n/a",(A20/D20))</f>
        <v>0.19870243782787619</v>
      </c>
      <c r="D20" s="10">
        <f>IFERROR(ROUND(AVERAGE(H3:H17),2),"")</f>
        <v>24.07</v>
      </c>
      <c r="E20" s="15" t="str">
        <f>IFERROR(ROUND(IF(B20&lt;2,"n/a",(IF(C20&lt;=25%,"n/a",AVERAGE(I3:I17)))),2),"n/a")</f>
        <v>n/a</v>
      </c>
      <c r="F20" s="10">
        <f>IFERROR(ROUND(MEDIAN(H3:H17),2),"")</f>
        <v>25</v>
      </c>
      <c r="G20" s="11" t="str">
        <f>IFERROR(INDEX(G3:G17,MATCH(H20,H3:H17,0)),"")</f>
        <v>ELETROPEÇAS COMERCIAL ELETRÔNICA LTDA</v>
      </c>
      <c r="H20" s="12">
        <f>F3</f>
        <v>18.29</v>
      </c>
    </row>
    <row r="22" spans="1:9" x14ac:dyDescent="0.25">
      <c r="G22" s="13" t="s">
        <v>19</v>
      </c>
      <c r="H22" s="14">
        <f>IF(C20&lt;=25%,D20,MIN(E20:F20))</f>
        <v>24.07</v>
      </c>
    </row>
    <row r="23" spans="1:9" x14ac:dyDescent="0.25">
      <c r="G23" s="13" t="s">
        <v>5</v>
      </c>
      <c r="H23" s="14">
        <f>ROUND(H22,2)*D3</f>
        <v>2407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16</v>
      </c>
      <c r="B3" s="31" t="s">
        <v>47</v>
      </c>
      <c r="C3" s="33" t="s">
        <v>6</v>
      </c>
      <c r="D3" s="33">
        <v>150</v>
      </c>
      <c r="E3" s="34">
        <f>IF(C20&lt;=25%,D20,MIN(E20:F20))</f>
        <v>41.98</v>
      </c>
      <c r="F3" s="34">
        <f>MIN(H3:H17)</f>
        <v>25</v>
      </c>
      <c r="G3" s="5" t="s">
        <v>143</v>
      </c>
      <c r="H3" s="16">
        <v>52</v>
      </c>
      <c r="I3" s="17">
        <f>IF(H3="","",(IF($C$20&lt;25%,"n/a",IF(H3&lt;=($D$20+$A$20),H3,"Descartado"))))</f>
        <v>52</v>
      </c>
    </row>
    <row r="4" spans="1:9" x14ac:dyDescent="0.25">
      <c r="A4" s="35"/>
      <c r="B4" s="32"/>
      <c r="C4" s="33"/>
      <c r="D4" s="33"/>
      <c r="E4" s="34"/>
      <c r="F4" s="34"/>
      <c r="G4" s="5" t="s">
        <v>132</v>
      </c>
      <c r="H4" s="16">
        <v>44.3</v>
      </c>
      <c r="I4" s="17">
        <f t="shared" ref="I4:I17" si="0">IF(H4="","",(IF($C$20&lt;25%,"n/a",IF(H4&lt;=($D$20+$A$20),H4,"Descartado"))))</f>
        <v>44.3</v>
      </c>
    </row>
    <row r="5" spans="1:9" x14ac:dyDescent="0.25">
      <c r="A5" s="35"/>
      <c r="B5" s="32"/>
      <c r="C5" s="33"/>
      <c r="D5" s="33"/>
      <c r="E5" s="34"/>
      <c r="F5" s="34"/>
      <c r="G5" s="5" t="s">
        <v>133</v>
      </c>
      <c r="H5" s="16">
        <v>46.6</v>
      </c>
      <c r="I5" s="17">
        <f t="shared" si="0"/>
        <v>46.6</v>
      </c>
    </row>
    <row r="6" spans="1:9" x14ac:dyDescent="0.25">
      <c r="A6" s="35"/>
      <c r="B6" s="32"/>
      <c r="C6" s="33"/>
      <c r="D6" s="33"/>
      <c r="E6" s="34"/>
      <c r="F6" s="34"/>
      <c r="G6" s="5" t="s">
        <v>144</v>
      </c>
      <c r="H6" s="16">
        <v>25</v>
      </c>
      <c r="I6" s="17">
        <f t="shared" si="0"/>
        <v>25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11.767858768697026</v>
      </c>
      <c r="B20" s="8">
        <f>COUNT(H3:H17)</f>
        <v>4</v>
      </c>
      <c r="C20" s="9">
        <f>IF(B20&lt;2,"n/a",(A20/D20))</f>
        <v>0.28032059954018645</v>
      </c>
      <c r="D20" s="10">
        <f>IFERROR(ROUND(AVERAGE(H3:H17),2),"")</f>
        <v>41.98</v>
      </c>
      <c r="E20" s="15">
        <f>IFERROR(ROUND(IF(B20&lt;2,"n/a",(IF(C20&lt;=25%,"n/a",AVERAGE(I3:I17)))),2),"n/a")</f>
        <v>41.98</v>
      </c>
      <c r="F20" s="10">
        <f>IFERROR(ROUND(MEDIAN(H3:H17),2),"")</f>
        <v>45.45</v>
      </c>
      <c r="G20" s="11" t="str">
        <f>IFERROR(INDEX(G3:G17,MATCH(H20,H3:H17,0)),"")</f>
        <v>ECOTRON COMPONENTES ELETRÔNICOS</v>
      </c>
      <c r="H20" s="12">
        <f>F3</f>
        <v>25</v>
      </c>
    </row>
    <row r="22" spans="1:9" x14ac:dyDescent="0.25">
      <c r="G22" s="13" t="s">
        <v>19</v>
      </c>
      <c r="H22" s="14">
        <f>IF(C20&lt;=25%,D20,MIN(E20:F20))</f>
        <v>41.98</v>
      </c>
    </row>
    <row r="23" spans="1:9" x14ac:dyDescent="0.25">
      <c r="G23" s="13" t="s">
        <v>5</v>
      </c>
      <c r="H23" s="14">
        <f>ROUND(H22,2)*D3</f>
        <v>6296.9999999999991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17</v>
      </c>
      <c r="B3" s="31" t="s">
        <v>49</v>
      </c>
      <c r="C3" s="33" t="s">
        <v>48</v>
      </c>
      <c r="D3" s="33">
        <v>10</v>
      </c>
      <c r="E3" s="34">
        <f>IF(C20&lt;=25%,D20,MIN(E20:F20))</f>
        <v>153.33000000000001</v>
      </c>
      <c r="F3" s="34">
        <f>MIN(H3:H17)</f>
        <v>99.9</v>
      </c>
      <c r="G3" s="5" t="s">
        <v>139</v>
      </c>
      <c r="H3" s="16">
        <v>189.9</v>
      </c>
      <c r="I3" s="17">
        <f>IF(H3="","",(IF($C$20&lt;25%,"n/a",IF(H3&lt;=($D$20+$A$20),H3,"Descartado"))))</f>
        <v>189.9</v>
      </c>
    </row>
    <row r="4" spans="1:9" x14ac:dyDescent="0.25">
      <c r="A4" s="35"/>
      <c r="B4" s="32"/>
      <c r="C4" s="33"/>
      <c r="D4" s="33"/>
      <c r="E4" s="34"/>
      <c r="F4" s="34"/>
      <c r="G4" s="5" t="s">
        <v>140</v>
      </c>
      <c r="H4" s="16">
        <v>193.53</v>
      </c>
      <c r="I4" s="17">
        <f t="shared" ref="I4:I17" si="0">IF(H4="","",(IF($C$20&lt;25%,"n/a",IF(H4&lt;=($D$20+$A$20),H4,"Descartado"))))</f>
        <v>193.53</v>
      </c>
    </row>
    <row r="5" spans="1:9" x14ac:dyDescent="0.25">
      <c r="A5" s="35"/>
      <c r="B5" s="32"/>
      <c r="C5" s="33"/>
      <c r="D5" s="33"/>
      <c r="E5" s="34"/>
      <c r="F5" s="34"/>
      <c r="G5" s="5" t="s">
        <v>141</v>
      </c>
      <c r="H5" s="16">
        <v>129.99</v>
      </c>
      <c r="I5" s="17">
        <f t="shared" si="0"/>
        <v>129.99</v>
      </c>
    </row>
    <row r="6" spans="1:9" x14ac:dyDescent="0.25">
      <c r="A6" s="35"/>
      <c r="B6" s="32"/>
      <c r="C6" s="33"/>
      <c r="D6" s="33"/>
      <c r="E6" s="34"/>
      <c r="F6" s="34"/>
      <c r="G6" s="5" t="s">
        <v>142</v>
      </c>
      <c r="H6" s="16">
        <v>99.9</v>
      </c>
      <c r="I6" s="17">
        <f t="shared" si="0"/>
        <v>99.9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46.017842191915115</v>
      </c>
      <c r="B20" s="8">
        <f>COUNT(H3:H17)</f>
        <v>4</v>
      </c>
      <c r="C20" s="9">
        <f>IF(B20&lt;2,"n/a",(A20/D20))</f>
        <v>0.30012288653176228</v>
      </c>
      <c r="D20" s="10">
        <f>IFERROR(ROUND(AVERAGE(H3:H17),2),"")</f>
        <v>153.33000000000001</v>
      </c>
      <c r="E20" s="15">
        <f>IFERROR(ROUND(IF(B20&lt;2,"n/a",(IF(C20&lt;=25%,"n/a",AVERAGE(I3:I17)))),2),"n/a")</f>
        <v>153.33000000000001</v>
      </c>
      <c r="F20" s="10">
        <f>IFERROR(ROUND(MEDIAN(H3:H17),2),"")</f>
        <v>159.94999999999999</v>
      </c>
      <c r="G20" s="11" t="str">
        <f>IFERROR(INDEX(G3:G17,MATCH(H20,H3:H17,0)),"")</f>
        <v>LONDRITECH</v>
      </c>
      <c r="H20" s="12">
        <f>F3</f>
        <v>99.9</v>
      </c>
    </row>
    <row r="22" spans="1:9" x14ac:dyDescent="0.25">
      <c r="G22" s="13" t="s">
        <v>19</v>
      </c>
      <c r="H22" s="14">
        <f>IF(C20&lt;=25%,D20,MIN(E20:F20))</f>
        <v>153.33000000000001</v>
      </c>
    </row>
    <row r="23" spans="1:9" x14ac:dyDescent="0.25">
      <c r="G23" s="13" t="s">
        <v>5</v>
      </c>
      <c r="H23" s="14">
        <f>ROUND(H22,2)*D3</f>
        <v>1533.3000000000002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18</v>
      </c>
      <c r="B3" s="31" t="s">
        <v>50</v>
      </c>
      <c r="C3" s="33" t="s">
        <v>6</v>
      </c>
      <c r="D3" s="33">
        <v>3500</v>
      </c>
      <c r="E3" s="34">
        <f>IF(C20&lt;=25%,D20,MIN(E20:F20))</f>
        <v>33.83</v>
      </c>
      <c r="F3" s="34">
        <f>MIN(H3:H17)</f>
        <v>22.6</v>
      </c>
      <c r="G3" s="5" t="s">
        <v>172</v>
      </c>
      <c r="H3" s="16">
        <v>22.6</v>
      </c>
      <c r="I3" s="17">
        <f>IF(H3="","",(IF($C$20&lt;25%,"n/a",IF(H3&lt;=($D$20+$A$20),H3,"Descartado"))))</f>
        <v>22.6</v>
      </c>
    </row>
    <row r="4" spans="1:9" x14ac:dyDescent="0.25">
      <c r="A4" s="35"/>
      <c r="B4" s="32"/>
      <c r="C4" s="33"/>
      <c r="D4" s="33"/>
      <c r="E4" s="34"/>
      <c r="F4" s="34"/>
      <c r="G4" s="5" t="s">
        <v>173</v>
      </c>
      <c r="H4" s="16">
        <v>26.24</v>
      </c>
      <c r="I4" s="17">
        <f t="shared" ref="I4:I17" si="0">IF(H4="","",(IF($C$20&lt;25%,"n/a",IF(H4&lt;=($D$20+$A$20),H4,"Descartado"))))</f>
        <v>26.24</v>
      </c>
    </row>
    <row r="5" spans="1:9" x14ac:dyDescent="0.25">
      <c r="A5" s="35"/>
      <c r="B5" s="32"/>
      <c r="C5" s="33"/>
      <c r="D5" s="33"/>
      <c r="E5" s="34"/>
      <c r="F5" s="34"/>
      <c r="G5" s="5" t="s">
        <v>174</v>
      </c>
      <c r="H5" s="16">
        <v>24.5</v>
      </c>
      <c r="I5" s="17">
        <f t="shared" si="0"/>
        <v>24.5</v>
      </c>
    </row>
    <row r="6" spans="1:9" x14ac:dyDescent="0.25">
      <c r="A6" s="35"/>
      <c r="B6" s="32"/>
      <c r="C6" s="33"/>
      <c r="D6" s="33"/>
      <c r="E6" s="34"/>
      <c r="F6" s="34"/>
      <c r="G6" s="5" t="s">
        <v>175</v>
      </c>
      <c r="H6" s="16">
        <v>36.71</v>
      </c>
      <c r="I6" s="17">
        <f t="shared" si="0"/>
        <v>36.71</v>
      </c>
    </row>
    <row r="7" spans="1:9" x14ac:dyDescent="0.25">
      <c r="A7" s="35"/>
      <c r="B7" s="32"/>
      <c r="C7" s="33"/>
      <c r="D7" s="33"/>
      <c r="E7" s="34"/>
      <c r="F7" s="34"/>
      <c r="G7" s="5" t="s">
        <v>176</v>
      </c>
      <c r="H7" s="16">
        <v>39.479999999999997</v>
      </c>
      <c r="I7" s="17">
        <f t="shared" si="0"/>
        <v>39.479999999999997</v>
      </c>
    </row>
    <row r="8" spans="1:9" x14ac:dyDescent="0.25">
      <c r="A8" s="35"/>
      <c r="B8" s="32"/>
      <c r="C8" s="33"/>
      <c r="D8" s="33"/>
      <c r="E8" s="34"/>
      <c r="F8" s="34"/>
      <c r="G8" s="5" t="s">
        <v>177</v>
      </c>
      <c r="H8" s="16">
        <v>30.98</v>
      </c>
      <c r="I8" s="17">
        <f t="shared" si="0"/>
        <v>30.98</v>
      </c>
    </row>
    <row r="9" spans="1:9" x14ac:dyDescent="0.25">
      <c r="A9" s="35"/>
      <c r="B9" s="32"/>
      <c r="C9" s="33"/>
      <c r="D9" s="33"/>
      <c r="E9" s="34"/>
      <c r="F9" s="34"/>
      <c r="G9" s="5" t="s">
        <v>178</v>
      </c>
      <c r="H9" s="16">
        <v>39.479999999999997</v>
      </c>
      <c r="I9" s="17">
        <f t="shared" si="0"/>
        <v>39.479999999999997</v>
      </c>
    </row>
    <row r="10" spans="1:9" x14ac:dyDescent="0.25">
      <c r="A10" s="35"/>
      <c r="B10" s="32"/>
      <c r="C10" s="33"/>
      <c r="D10" s="33"/>
      <c r="E10" s="34"/>
      <c r="F10" s="34"/>
      <c r="G10" s="5" t="s">
        <v>179</v>
      </c>
      <c r="H10" s="16">
        <v>39.479999999999997</v>
      </c>
      <c r="I10" s="17">
        <f t="shared" si="0"/>
        <v>39.479999999999997</v>
      </c>
    </row>
    <row r="11" spans="1:9" x14ac:dyDescent="0.25">
      <c r="A11" s="35"/>
      <c r="B11" s="32"/>
      <c r="C11" s="33"/>
      <c r="D11" s="33"/>
      <c r="E11" s="34"/>
      <c r="F11" s="34"/>
      <c r="G11" s="5" t="s">
        <v>180</v>
      </c>
      <c r="H11" s="16">
        <v>100</v>
      </c>
      <c r="I11" s="17" t="str">
        <f t="shared" si="0"/>
        <v>Descartado</v>
      </c>
    </row>
    <row r="12" spans="1:9" x14ac:dyDescent="0.25">
      <c r="A12" s="35"/>
      <c r="B12" s="32"/>
      <c r="C12" s="33"/>
      <c r="D12" s="33"/>
      <c r="E12" s="34"/>
      <c r="F12" s="34"/>
      <c r="G12" s="5" t="s">
        <v>181</v>
      </c>
      <c r="H12" s="16">
        <v>39.479999999999997</v>
      </c>
      <c r="I12" s="17">
        <f t="shared" si="0"/>
        <v>39.479999999999997</v>
      </c>
    </row>
    <row r="13" spans="1:9" x14ac:dyDescent="0.25">
      <c r="A13" s="35"/>
      <c r="B13" s="32"/>
      <c r="C13" s="33"/>
      <c r="D13" s="33"/>
      <c r="E13" s="34"/>
      <c r="F13" s="34"/>
      <c r="G13" s="5" t="s">
        <v>182</v>
      </c>
      <c r="H13" s="16">
        <v>31.62</v>
      </c>
      <c r="I13" s="17">
        <f t="shared" si="0"/>
        <v>31.62</v>
      </c>
    </row>
    <row r="14" spans="1:9" x14ac:dyDescent="0.25">
      <c r="A14" s="35"/>
      <c r="B14" s="32"/>
      <c r="C14" s="33"/>
      <c r="D14" s="33"/>
      <c r="E14" s="34"/>
      <c r="F14" s="34"/>
      <c r="G14" s="5" t="s">
        <v>183</v>
      </c>
      <c r="H14" s="16">
        <v>39.479999999999997</v>
      </c>
      <c r="I14" s="17">
        <f t="shared" si="0"/>
        <v>39.479999999999997</v>
      </c>
    </row>
    <row r="15" spans="1:9" x14ac:dyDescent="0.25">
      <c r="A15" s="35"/>
      <c r="B15" s="32"/>
      <c r="C15" s="33"/>
      <c r="D15" s="33"/>
      <c r="E15" s="34"/>
      <c r="F15" s="34"/>
      <c r="G15" s="5" t="s">
        <v>184</v>
      </c>
      <c r="H15" s="16">
        <v>37.979999999999997</v>
      </c>
      <c r="I15" s="17">
        <f t="shared" si="0"/>
        <v>37.979999999999997</v>
      </c>
    </row>
    <row r="16" spans="1:9" x14ac:dyDescent="0.25">
      <c r="A16" s="35"/>
      <c r="B16" s="32"/>
      <c r="C16" s="33"/>
      <c r="D16" s="33"/>
      <c r="E16" s="34"/>
      <c r="F16" s="34"/>
      <c r="G16" s="5" t="s">
        <v>185</v>
      </c>
      <c r="H16" s="16">
        <v>33.78</v>
      </c>
      <c r="I16" s="17">
        <f t="shared" si="0"/>
        <v>33.78</v>
      </c>
    </row>
    <row r="17" spans="1:9" x14ac:dyDescent="0.25">
      <c r="A17" s="35"/>
      <c r="B17" s="32"/>
      <c r="C17" s="33"/>
      <c r="D17" s="33"/>
      <c r="E17" s="34"/>
      <c r="F17" s="34"/>
      <c r="G17" s="5" t="s">
        <v>186</v>
      </c>
      <c r="H17" s="16">
        <v>31.79</v>
      </c>
      <c r="I17" s="17">
        <f t="shared" si="0"/>
        <v>31.79</v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18.047194875025394</v>
      </c>
      <c r="B20" s="8">
        <f>COUNT(H3:H17)</f>
        <v>15</v>
      </c>
      <c r="C20" s="9">
        <f>IF(B20&lt;2,"n/a",(A20/D20))</f>
        <v>0.4719454726732582</v>
      </c>
      <c r="D20" s="10">
        <f>IFERROR(ROUND(AVERAGE(H3:H17),2),"")</f>
        <v>38.24</v>
      </c>
      <c r="E20" s="15">
        <f>IFERROR(ROUND(IF(B20&lt;2,"n/a",(IF(C20&lt;=25%,"n/a",AVERAGE(I3:I17)))),2),"n/a")</f>
        <v>33.83</v>
      </c>
      <c r="F20" s="10">
        <f>IFERROR(ROUND(MEDIAN(H3:H17),2),"")</f>
        <v>36.71</v>
      </c>
      <c r="G20" s="11" t="str">
        <f>IFERROR(INDEX(G3:G17,MATCH(H20,H3:H17,0)),"")</f>
        <v>EFF COMERCIO VAREJISTA DE ARTIGOS ESPORTIVOS LTDA</v>
      </c>
      <c r="H20" s="12">
        <f>F3</f>
        <v>22.6</v>
      </c>
    </row>
    <row r="22" spans="1:9" x14ac:dyDescent="0.25">
      <c r="G22" s="13" t="s">
        <v>19</v>
      </c>
      <c r="H22" s="14">
        <f>IF(C20&lt;=25%,D20,MIN(E20:F20))</f>
        <v>33.83</v>
      </c>
    </row>
    <row r="23" spans="1:9" x14ac:dyDescent="0.25">
      <c r="G23" s="13" t="s">
        <v>5</v>
      </c>
      <c r="H23" s="14">
        <f>ROUND(H22,2)*D3</f>
        <v>118405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19</v>
      </c>
      <c r="B3" s="31" t="s">
        <v>51</v>
      </c>
      <c r="C3" s="33" t="s">
        <v>6</v>
      </c>
      <c r="D3" s="33">
        <v>1500</v>
      </c>
      <c r="E3" s="34">
        <f>IF(C20&lt;=25%,D20,MIN(E20:F20))</f>
        <v>11</v>
      </c>
      <c r="F3" s="34">
        <f>MIN(H3:H17)</f>
        <v>4.3</v>
      </c>
      <c r="G3" s="5" t="s">
        <v>86</v>
      </c>
      <c r="H3" s="16">
        <v>4.3</v>
      </c>
      <c r="I3" s="17">
        <f>IF(H3="","",(IF($C$20&lt;25%,"n/a",IF(H3&lt;=($D$20+$A$20),H3,"Descartado"))))</f>
        <v>4.3</v>
      </c>
    </row>
    <row r="4" spans="1:9" x14ac:dyDescent="0.25">
      <c r="A4" s="35"/>
      <c r="B4" s="32"/>
      <c r="C4" s="33"/>
      <c r="D4" s="33"/>
      <c r="E4" s="34"/>
      <c r="F4" s="34"/>
      <c r="G4" s="5" t="s">
        <v>87</v>
      </c>
      <c r="H4" s="16">
        <v>6</v>
      </c>
      <c r="I4" s="17">
        <f t="shared" ref="I4:I17" si="0">IF(H4="","",(IF($C$20&lt;25%,"n/a",IF(H4&lt;=($D$20+$A$20),H4,"Descartado"))))</f>
        <v>6</v>
      </c>
    </row>
    <row r="5" spans="1:9" x14ac:dyDescent="0.25">
      <c r="A5" s="35"/>
      <c r="B5" s="32"/>
      <c r="C5" s="33"/>
      <c r="D5" s="33"/>
      <c r="E5" s="34"/>
      <c r="F5" s="34"/>
      <c r="G5" s="5" t="s">
        <v>88</v>
      </c>
      <c r="H5" s="16">
        <v>6.89</v>
      </c>
      <c r="I5" s="17">
        <f t="shared" si="0"/>
        <v>6.89</v>
      </c>
    </row>
    <row r="6" spans="1:9" x14ac:dyDescent="0.25">
      <c r="A6" s="35"/>
      <c r="B6" s="32"/>
      <c r="C6" s="33"/>
      <c r="D6" s="33"/>
      <c r="E6" s="34"/>
      <c r="F6" s="34"/>
      <c r="G6" s="5" t="s">
        <v>89</v>
      </c>
      <c r="H6" s="16">
        <v>11</v>
      </c>
      <c r="I6" s="17">
        <f t="shared" si="0"/>
        <v>11</v>
      </c>
    </row>
    <row r="7" spans="1:9" x14ac:dyDescent="0.25">
      <c r="A7" s="35"/>
      <c r="B7" s="32"/>
      <c r="C7" s="33"/>
      <c r="D7" s="33"/>
      <c r="E7" s="34"/>
      <c r="F7" s="34"/>
      <c r="G7" s="5" t="s">
        <v>87</v>
      </c>
      <c r="H7" s="16">
        <v>25</v>
      </c>
      <c r="I7" s="17">
        <f t="shared" si="0"/>
        <v>25</v>
      </c>
    </row>
    <row r="8" spans="1:9" x14ac:dyDescent="0.25">
      <c r="A8" s="35"/>
      <c r="B8" s="32"/>
      <c r="C8" s="33"/>
      <c r="D8" s="33"/>
      <c r="E8" s="34"/>
      <c r="F8" s="34"/>
      <c r="G8" s="5" t="s">
        <v>71</v>
      </c>
      <c r="H8" s="16">
        <v>46.85</v>
      </c>
      <c r="I8" s="17">
        <f t="shared" si="0"/>
        <v>46.85</v>
      </c>
    </row>
    <row r="9" spans="1:9" x14ac:dyDescent="0.25">
      <c r="A9" s="35"/>
      <c r="B9" s="32"/>
      <c r="C9" s="33"/>
      <c r="D9" s="33"/>
      <c r="E9" s="34"/>
      <c r="F9" s="34"/>
      <c r="G9" s="5" t="s">
        <v>90</v>
      </c>
      <c r="H9" s="16">
        <v>80</v>
      </c>
      <c r="I9" s="17" t="str">
        <f t="shared" si="0"/>
        <v>Descartado</v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28.320357224677334</v>
      </c>
      <c r="B20" s="8">
        <f>COUNT(H3:H17)</f>
        <v>7</v>
      </c>
      <c r="C20" s="9">
        <f>IF(B20&lt;2,"n/a",(A20/D20))</f>
        <v>1.1011025359516848</v>
      </c>
      <c r="D20" s="10">
        <f>IFERROR(ROUND(AVERAGE(H3:H17),2),"")</f>
        <v>25.72</v>
      </c>
      <c r="E20" s="15">
        <f>IFERROR(ROUND(IF(B20&lt;2,"n/a",(IF(C20&lt;=25%,"n/a",AVERAGE(I3:I17)))),2),"n/a")</f>
        <v>16.670000000000002</v>
      </c>
      <c r="F20" s="10">
        <f>IFERROR(ROUND(MEDIAN(H3:H17),2),"")</f>
        <v>11</v>
      </c>
      <c r="G20" s="11" t="str">
        <f>IFERROR(INDEX(G3:G17,MATCH(H20,H3:H17,0)),"")</f>
        <v>45.590.340 WELITON GOMES PEREIRA</v>
      </c>
      <c r="H20" s="12">
        <f>F3</f>
        <v>4.3</v>
      </c>
    </row>
    <row r="22" spans="1:9" x14ac:dyDescent="0.25">
      <c r="G22" s="13" t="s">
        <v>19</v>
      </c>
      <c r="H22" s="14">
        <f>IF(C20&lt;=25%,D20,MIN(E20:F20))</f>
        <v>11</v>
      </c>
    </row>
    <row r="23" spans="1:9" x14ac:dyDescent="0.25">
      <c r="G23" s="13" t="s">
        <v>5</v>
      </c>
      <c r="H23" s="14">
        <f>ROUND(H22,2)*D3</f>
        <v>16500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2</v>
      </c>
      <c r="B3" s="31" t="s">
        <v>32</v>
      </c>
      <c r="C3" s="33" t="s">
        <v>6</v>
      </c>
      <c r="D3" s="33">
        <v>20</v>
      </c>
      <c r="E3" s="34">
        <f>IF(C20&lt;=25%,D20,MIN(E20:F20))</f>
        <v>38.76</v>
      </c>
      <c r="F3" s="34">
        <f>MIN(H3:H17)</f>
        <v>29.6</v>
      </c>
      <c r="G3" s="5" t="s">
        <v>150</v>
      </c>
      <c r="H3" s="16">
        <v>45.03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160</v>
      </c>
      <c r="H4" s="16">
        <v>29.6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166</v>
      </c>
      <c r="H5" s="16">
        <v>35.840000000000003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159</v>
      </c>
      <c r="H6" s="16">
        <v>44.55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7.4222391051039072</v>
      </c>
      <c r="B20" s="8">
        <f>COUNT(H3:H17)</f>
        <v>4</v>
      </c>
      <c r="C20" s="9">
        <f>IF(B20&lt;2,"n/a",(A20/D20))</f>
        <v>0.19149223697378503</v>
      </c>
      <c r="D20" s="10">
        <f>IFERROR(ROUND(AVERAGE(H3:H17),2),"")</f>
        <v>38.76</v>
      </c>
      <c r="E20" s="15" t="str">
        <f>IFERROR(ROUND(IF(B20&lt;2,"n/a",(IF(C20&lt;=25%,"n/a",AVERAGE(I3:I17)))),2),"n/a")</f>
        <v>n/a</v>
      </c>
      <c r="F20" s="10">
        <f>IFERROR(ROUND(MEDIAN(H3:H17),2),"")</f>
        <v>40.200000000000003</v>
      </c>
      <c r="G20" s="11" t="str">
        <f>IFERROR(INDEX(G3:G17,MATCH(H20,H3:H17,0)),"")</f>
        <v>PRINT LOJA</v>
      </c>
      <c r="H20" s="12">
        <f>F3</f>
        <v>29.6</v>
      </c>
    </row>
    <row r="22" spans="1:9" x14ac:dyDescent="0.25">
      <c r="G22" s="13" t="s">
        <v>19</v>
      </c>
      <c r="H22" s="14">
        <f>IF(C20&lt;=25%,D20,MIN(E20:F20))</f>
        <v>38.76</v>
      </c>
    </row>
    <row r="23" spans="1:9" x14ac:dyDescent="0.25">
      <c r="G23" s="13" t="s">
        <v>5</v>
      </c>
      <c r="H23" s="14">
        <f>ROUND(H22,2)*D3</f>
        <v>775.19999999999993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20</v>
      </c>
      <c r="B3" s="31" t="s">
        <v>52</v>
      </c>
      <c r="C3" s="33" t="s">
        <v>6</v>
      </c>
      <c r="D3" s="33">
        <v>200</v>
      </c>
      <c r="E3" s="34">
        <f>IF(C20&lt;=25%,D20,MIN(E20:F20))</f>
        <v>37</v>
      </c>
      <c r="F3" s="34">
        <f>MIN(H3:H17)</f>
        <v>29.9</v>
      </c>
      <c r="G3" s="5" t="s">
        <v>134</v>
      </c>
      <c r="H3" s="16">
        <v>35.9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145</v>
      </c>
      <c r="H4" s="16">
        <v>35.36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146</v>
      </c>
      <c r="H5" s="16">
        <v>29.9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135</v>
      </c>
      <c r="H6" s="16">
        <v>49.99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147</v>
      </c>
      <c r="H7" s="16">
        <v>33.159999999999997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 t="s">
        <v>148</v>
      </c>
      <c r="H8" s="16">
        <v>37.71</v>
      </c>
      <c r="I8" s="17" t="str">
        <f t="shared" si="0"/>
        <v>n/a</v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6.9036125808642028</v>
      </c>
      <c r="B20" s="8">
        <f>COUNT(H3:H17)</f>
        <v>6</v>
      </c>
      <c r="C20" s="9">
        <f>IF(B20&lt;2,"n/a",(A20/D20))</f>
        <v>0.18658412380714062</v>
      </c>
      <c r="D20" s="10">
        <f>IFERROR(ROUND(AVERAGE(H3:H17),2),"")</f>
        <v>37</v>
      </c>
      <c r="E20" s="15" t="str">
        <f>IFERROR(ROUND(IF(B20&lt;2,"n/a",(IF(C20&lt;=25%,"n/a",AVERAGE(I3:I17)))),2),"n/a")</f>
        <v>n/a</v>
      </c>
      <c r="F20" s="10">
        <f>IFERROR(ROUND(MEDIAN(H3:H17),2),"")</f>
        <v>35.630000000000003</v>
      </c>
      <c r="G20" s="11" t="str">
        <f>IFERROR(INDEX(G3:G17,MATCH(H20,H3:H17,0)),"")</f>
        <v>BULLPAD</v>
      </c>
      <c r="H20" s="12">
        <f>F3</f>
        <v>29.9</v>
      </c>
    </row>
    <row r="22" spans="1:9" x14ac:dyDescent="0.25">
      <c r="G22" s="13" t="s">
        <v>19</v>
      </c>
      <c r="H22" s="14">
        <f>IF(C20&lt;=25%,D20,MIN(E20:F20))</f>
        <v>37</v>
      </c>
    </row>
    <row r="23" spans="1:9" x14ac:dyDescent="0.25">
      <c r="G23" s="13" t="s">
        <v>5</v>
      </c>
      <c r="H23" s="14">
        <f>ROUND(H22,2)*D3</f>
        <v>7400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5">
        <v>21</v>
      </c>
      <c r="B3" s="31" t="s">
        <v>53</v>
      </c>
      <c r="C3" s="33" t="s">
        <v>6</v>
      </c>
      <c r="D3" s="33">
        <v>200</v>
      </c>
      <c r="E3" s="34">
        <f>IF(C20&lt;=25%,D20,MIN(E20:F20))</f>
        <v>321.57</v>
      </c>
      <c r="F3" s="34">
        <f>MIN(H3:H17)</f>
        <v>8.0500000000000007</v>
      </c>
      <c r="G3" s="5" t="s">
        <v>74</v>
      </c>
      <c r="H3" s="16">
        <v>8.0500000000000007</v>
      </c>
      <c r="I3" s="17">
        <f>IF(H3="","",(IF($C$20&lt;25%,"n/a",IF(H3&lt;=($D$20+$A$20),H3,"Descartado"))))</f>
        <v>8.0500000000000007</v>
      </c>
    </row>
    <row r="4" spans="1:9" x14ac:dyDescent="0.25">
      <c r="A4" s="35"/>
      <c r="B4" s="32"/>
      <c r="C4" s="33"/>
      <c r="D4" s="33"/>
      <c r="E4" s="34"/>
      <c r="F4" s="34"/>
      <c r="G4" s="5" t="s">
        <v>75</v>
      </c>
      <c r="H4" s="16">
        <v>150</v>
      </c>
      <c r="I4" s="17">
        <f t="shared" ref="I4:I17" si="0">IF(H4="","",(IF($C$20&lt;25%,"n/a",IF(H4&lt;=($D$20+$A$20),H4,"Descartado"))))</f>
        <v>150</v>
      </c>
    </row>
    <row r="5" spans="1:9" x14ac:dyDescent="0.25">
      <c r="A5" s="35"/>
      <c r="B5" s="32"/>
      <c r="C5" s="33"/>
      <c r="D5" s="33"/>
      <c r="E5" s="34"/>
      <c r="F5" s="34"/>
      <c r="G5" s="5" t="s">
        <v>76</v>
      </c>
      <c r="H5" s="16">
        <v>299</v>
      </c>
      <c r="I5" s="17">
        <f t="shared" si="0"/>
        <v>299</v>
      </c>
    </row>
    <row r="6" spans="1:9" x14ac:dyDescent="0.25">
      <c r="A6" s="35"/>
      <c r="B6" s="32"/>
      <c r="C6" s="33"/>
      <c r="D6" s="33"/>
      <c r="E6" s="34"/>
      <c r="F6" s="34"/>
      <c r="G6" s="5" t="s">
        <v>77</v>
      </c>
      <c r="H6" s="16">
        <v>361</v>
      </c>
      <c r="I6" s="17">
        <f t="shared" si="0"/>
        <v>361</v>
      </c>
    </row>
    <row r="7" spans="1:9" x14ac:dyDescent="0.25">
      <c r="A7" s="35"/>
      <c r="B7" s="32"/>
      <c r="C7" s="33"/>
      <c r="D7" s="33"/>
      <c r="E7" s="34"/>
      <c r="F7" s="34"/>
      <c r="G7" s="5" t="s">
        <v>78</v>
      </c>
      <c r="H7" s="16">
        <v>380</v>
      </c>
      <c r="I7" s="17">
        <f t="shared" si="0"/>
        <v>380</v>
      </c>
    </row>
    <row r="8" spans="1:9" x14ac:dyDescent="0.25">
      <c r="A8" s="35"/>
      <c r="B8" s="32"/>
      <c r="C8" s="33"/>
      <c r="D8" s="33"/>
      <c r="E8" s="34"/>
      <c r="F8" s="34"/>
      <c r="G8" s="5" t="s">
        <v>79</v>
      </c>
      <c r="H8" s="16">
        <v>410</v>
      </c>
      <c r="I8" s="17">
        <f t="shared" si="0"/>
        <v>410</v>
      </c>
    </row>
    <row r="9" spans="1:9" x14ac:dyDescent="0.25">
      <c r="A9" s="35"/>
      <c r="B9" s="32"/>
      <c r="C9" s="33"/>
      <c r="D9" s="33"/>
      <c r="E9" s="34"/>
      <c r="F9" s="34"/>
      <c r="G9" s="5" t="s">
        <v>80</v>
      </c>
      <c r="H9" s="16">
        <v>411.04</v>
      </c>
      <c r="I9" s="17">
        <f t="shared" si="0"/>
        <v>411.04</v>
      </c>
    </row>
    <row r="10" spans="1:9" x14ac:dyDescent="0.25">
      <c r="A10" s="35"/>
      <c r="B10" s="32"/>
      <c r="C10" s="33"/>
      <c r="D10" s="33"/>
      <c r="E10" s="34"/>
      <c r="F10" s="34"/>
      <c r="G10" s="5" t="s">
        <v>81</v>
      </c>
      <c r="H10" s="16">
        <v>425</v>
      </c>
      <c r="I10" s="17">
        <f t="shared" si="0"/>
        <v>425</v>
      </c>
    </row>
    <row r="11" spans="1:9" x14ac:dyDescent="0.25">
      <c r="A11" s="35"/>
      <c r="B11" s="32"/>
      <c r="C11" s="33"/>
      <c r="D11" s="33"/>
      <c r="E11" s="34"/>
      <c r="F11" s="34"/>
      <c r="G11" s="5" t="s">
        <v>82</v>
      </c>
      <c r="H11" s="16">
        <v>450</v>
      </c>
      <c r="I11" s="17">
        <f t="shared" si="0"/>
        <v>450</v>
      </c>
    </row>
    <row r="12" spans="1:9" x14ac:dyDescent="0.25">
      <c r="A12" s="35"/>
      <c r="B12" s="32"/>
      <c r="C12" s="33"/>
      <c r="D12" s="33"/>
      <c r="E12" s="34"/>
      <c r="F12" s="34"/>
      <c r="G12" s="5" t="s">
        <v>83</v>
      </c>
      <c r="H12" s="16">
        <v>895.5</v>
      </c>
      <c r="I12" s="17" t="str">
        <f t="shared" si="0"/>
        <v>Descartado</v>
      </c>
    </row>
    <row r="13" spans="1:9" x14ac:dyDescent="0.25">
      <c r="A13" s="35"/>
      <c r="B13" s="32"/>
      <c r="C13" s="33"/>
      <c r="D13" s="33"/>
      <c r="E13" s="34"/>
      <c r="F13" s="34"/>
      <c r="G13" s="5" t="s">
        <v>84</v>
      </c>
      <c r="H13" s="16">
        <v>900</v>
      </c>
      <c r="I13" s="17" t="str">
        <f t="shared" si="0"/>
        <v>Descartado</v>
      </c>
    </row>
    <row r="14" spans="1:9" x14ac:dyDescent="0.25">
      <c r="A14" s="35"/>
      <c r="B14" s="32"/>
      <c r="C14" s="33"/>
      <c r="D14" s="33"/>
      <c r="E14" s="34"/>
      <c r="F14" s="34"/>
      <c r="G14" s="5" t="s">
        <v>85</v>
      </c>
      <c r="H14" s="16">
        <v>980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301.58646733741324</v>
      </c>
      <c r="B20" s="8">
        <f>COUNT(H3:H17)</f>
        <v>12</v>
      </c>
      <c r="C20" s="9">
        <f>IF(B20&lt;2,"n/a",(A20/D20))</f>
        <v>0.63831876592675352</v>
      </c>
      <c r="D20" s="10">
        <f>IFERROR(ROUND(AVERAGE(H3:H17),2),"")</f>
        <v>472.47</v>
      </c>
      <c r="E20" s="15">
        <f>IFERROR(ROUND(IF(B20&lt;2,"n/a",(IF(C20&lt;=25%,"n/a",AVERAGE(I3:I17)))),2),"n/a")</f>
        <v>321.57</v>
      </c>
      <c r="F20" s="10">
        <f>IFERROR(ROUND(MEDIAN(H3:H17),2),"")</f>
        <v>410.52</v>
      </c>
      <c r="G20" s="11" t="str">
        <f>IFERROR(INDEX(G3:G17,MATCH(H20,H3:H17,0)),"")</f>
        <v>SOS INFORMATICA LTDA</v>
      </c>
      <c r="H20" s="12">
        <f>F3</f>
        <v>8.0500000000000007</v>
      </c>
    </row>
    <row r="22" spans="1:9" x14ac:dyDescent="0.25">
      <c r="G22" s="13" t="s">
        <v>19</v>
      </c>
      <c r="H22" s="14">
        <f>IF(C20&lt;=25%,D20,MIN(E20:F20))</f>
        <v>321.57</v>
      </c>
    </row>
    <row r="23" spans="1:9" x14ac:dyDescent="0.25">
      <c r="G23" s="13" t="s">
        <v>5</v>
      </c>
      <c r="H23" s="14">
        <f>ROUND(H22,2)*D3</f>
        <v>64314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5">
        <v>22</v>
      </c>
      <c r="B3" s="31" t="s">
        <v>54</v>
      </c>
      <c r="C3" s="33" t="s">
        <v>6</v>
      </c>
      <c r="D3" s="33">
        <v>600</v>
      </c>
      <c r="E3" s="34">
        <f>IF(C20&lt;=25%,D20,MIN(E20:F20))</f>
        <v>63.53</v>
      </c>
      <c r="F3" s="34">
        <f>MIN(H3:H17)</f>
        <v>29.2</v>
      </c>
      <c r="G3" s="5" t="s">
        <v>70</v>
      </c>
      <c r="H3" s="16">
        <v>29.2</v>
      </c>
      <c r="I3" s="17">
        <f>IF(H3="","",(IF($C$20&lt;25%,"n/a",IF(H3&lt;=($D$20+$A$20),H3,"Descartado"))))</f>
        <v>29.2</v>
      </c>
    </row>
    <row r="4" spans="1:9" x14ac:dyDescent="0.25">
      <c r="A4" s="35"/>
      <c r="B4" s="32"/>
      <c r="C4" s="33"/>
      <c r="D4" s="33"/>
      <c r="E4" s="34"/>
      <c r="F4" s="34"/>
      <c r="G4" s="5" t="s">
        <v>71</v>
      </c>
      <c r="H4" s="16">
        <v>66.900000000000006</v>
      </c>
      <c r="I4" s="17">
        <f t="shared" ref="I4:I17" si="0">IF(H4="","",(IF($C$20&lt;25%,"n/a",IF(H4&lt;=($D$20+$A$20),H4,"Descartado"))))</f>
        <v>66.900000000000006</v>
      </c>
    </row>
    <row r="5" spans="1:9" x14ac:dyDescent="0.25">
      <c r="A5" s="35"/>
      <c r="B5" s="32"/>
      <c r="C5" s="33"/>
      <c r="D5" s="33"/>
      <c r="E5" s="34"/>
      <c r="F5" s="34"/>
      <c r="G5" s="5" t="s">
        <v>72</v>
      </c>
      <c r="H5" s="16">
        <v>69</v>
      </c>
      <c r="I5" s="17">
        <f t="shared" si="0"/>
        <v>69</v>
      </c>
    </row>
    <row r="6" spans="1:9" x14ac:dyDescent="0.25">
      <c r="A6" s="35"/>
      <c r="B6" s="32"/>
      <c r="C6" s="33"/>
      <c r="D6" s="33"/>
      <c r="E6" s="34"/>
      <c r="F6" s="34"/>
      <c r="G6" s="5" t="s">
        <v>30</v>
      </c>
      <c r="H6" s="16">
        <v>89</v>
      </c>
      <c r="I6" s="17">
        <f t="shared" si="0"/>
        <v>89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228.9</v>
      </c>
      <c r="I7" s="17" t="str">
        <f t="shared" si="0"/>
        <v>Descartado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77.051378962352103</v>
      </c>
      <c r="B20" s="8">
        <f>COUNT(H3:H17)</f>
        <v>5</v>
      </c>
      <c r="C20" s="9">
        <f>IF(B20&lt;2,"n/a",(A20/D20))</f>
        <v>0.79763332259163677</v>
      </c>
      <c r="D20" s="10">
        <f>IFERROR(ROUND(AVERAGE(H3:H17),2),"")</f>
        <v>96.6</v>
      </c>
      <c r="E20" s="15">
        <f>IFERROR(ROUND(IF(B20&lt;2,"n/a",(IF(C20&lt;=25%,"n/a",AVERAGE(I3:I17)))),2),"n/a")</f>
        <v>63.53</v>
      </c>
      <c r="F20" s="10">
        <f>IFERROR(ROUND(MEDIAN(H3:H17),2),"")</f>
        <v>69</v>
      </c>
      <c r="G20" s="11" t="str">
        <f>IFERROR(INDEX(G3:G17,MATCH(H20,H3:H17,0)),"")</f>
        <v>LUZOR GROUP LTDA</v>
      </c>
      <c r="H20" s="12">
        <f>F3</f>
        <v>29.2</v>
      </c>
    </row>
    <row r="22" spans="1:9" x14ac:dyDescent="0.25">
      <c r="G22" s="13" t="s">
        <v>19</v>
      </c>
      <c r="H22" s="14">
        <f>IF(C20&lt;=25%,D20,MIN(E20:F20))</f>
        <v>63.53</v>
      </c>
    </row>
    <row r="23" spans="1:9" x14ac:dyDescent="0.25">
      <c r="G23" s="13" t="s">
        <v>5</v>
      </c>
      <c r="H23" s="14">
        <f>ROUND(H22,2)*D3</f>
        <v>38118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5">
        <v>23</v>
      </c>
      <c r="B3" s="31" t="s">
        <v>55</v>
      </c>
      <c r="C3" s="33" t="s">
        <v>6</v>
      </c>
      <c r="D3" s="33">
        <v>400</v>
      </c>
      <c r="E3" s="34">
        <f>IF(C20&lt;=25%,D20,MIN(E20:F20))</f>
        <v>24.61</v>
      </c>
      <c r="F3" s="34">
        <f>MIN(H3:H17)</f>
        <v>16.95</v>
      </c>
      <c r="G3" s="5" t="s">
        <v>58</v>
      </c>
      <c r="H3" s="16">
        <v>16.95</v>
      </c>
      <c r="I3" s="17">
        <f>IF(H3="","",(IF($C$20&lt;25%,"n/a",IF(H3&lt;=($D$20+$A$20),H3,"Descartado"))))</f>
        <v>16.95</v>
      </c>
    </row>
    <row r="4" spans="1:9" x14ac:dyDescent="0.25">
      <c r="A4" s="35"/>
      <c r="B4" s="32"/>
      <c r="C4" s="33"/>
      <c r="D4" s="33"/>
      <c r="E4" s="34"/>
      <c r="F4" s="34"/>
      <c r="G4" s="5" t="s">
        <v>68</v>
      </c>
      <c r="H4" s="16">
        <v>25</v>
      </c>
      <c r="I4" s="17">
        <f t="shared" ref="I4:I17" si="0">IF(H4="","",(IF($C$20&lt;25%,"n/a",IF(H4&lt;=($D$20+$A$20),H4,"Descartado"))))</f>
        <v>25</v>
      </c>
    </row>
    <row r="5" spans="1:9" x14ac:dyDescent="0.25">
      <c r="A5" s="35"/>
      <c r="B5" s="32"/>
      <c r="C5" s="33"/>
      <c r="D5" s="33"/>
      <c r="E5" s="34"/>
      <c r="F5" s="34"/>
      <c r="G5" s="5" t="s">
        <v>60</v>
      </c>
      <c r="H5" s="16">
        <v>25</v>
      </c>
      <c r="I5" s="17">
        <f t="shared" si="0"/>
        <v>25</v>
      </c>
    </row>
    <row r="6" spans="1:9" x14ac:dyDescent="0.25">
      <c r="A6" s="35"/>
      <c r="B6" s="32"/>
      <c r="C6" s="33"/>
      <c r="D6" s="33"/>
      <c r="E6" s="34"/>
      <c r="F6" s="34"/>
      <c r="G6" s="5" t="s">
        <v>69</v>
      </c>
      <c r="H6" s="16">
        <v>31.5</v>
      </c>
      <c r="I6" s="17">
        <f t="shared" si="0"/>
        <v>31.5</v>
      </c>
    </row>
    <row r="7" spans="1:9" x14ac:dyDescent="0.25">
      <c r="A7" s="35"/>
      <c r="B7" s="32"/>
      <c r="C7" s="33"/>
      <c r="D7" s="33"/>
      <c r="E7" s="34"/>
      <c r="F7" s="34"/>
      <c r="G7" s="5" t="s">
        <v>64</v>
      </c>
      <c r="H7" s="16">
        <v>35.950000000000003</v>
      </c>
      <c r="I7" s="17" t="str">
        <f t="shared" si="0"/>
        <v>Descartado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7.2333083716927193</v>
      </c>
      <c r="B20" s="8">
        <f>COUNT(H3:H17)</f>
        <v>5</v>
      </c>
      <c r="C20" s="9">
        <f>IF(B20&lt;2,"n/a",(A20/D20))</f>
        <v>0.26909629358975889</v>
      </c>
      <c r="D20" s="10">
        <f>IFERROR(ROUND(AVERAGE(H3:H17),2),"")</f>
        <v>26.88</v>
      </c>
      <c r="E20" s="15">
        <f>IFERROR(ROUND(IF(B20&lt;2,"n/a",(IF(C20&lt;=25%,"n/a",AVERAGE(I3:I17)))),2),"n/a")</f>
        <v>24.61</v>
      </c>
      <c r="F20" s="10">
        <f>IFERROR(ROUND(MEDIAN(H3:H17),2),"")</f>
        <v>25</v>
      </c>
      <c r="G20" s="11" t="str">
        <f>IFERROR(INDEX(G3:G17,MATCH(H20,H3:H17,0)),"")</f>
        <v>DARLU INDUSTRIA TEXTIL LTDA</v>
      </c>
      <c r="H20" s="12">
        <f>F3</f>
        <v>16.95</v>
      </c>
    </row>
    <row r="22" spans="1:9" x14ac:dyDescent="0.25">
      <c r="G22" s="13" t="s">
        <v>19</v>
      </c>
      <c r="H22" s="14">
        <f>IF(C20&lt;=25%,D20,MIN(E20:F20))</f>
        <v>24.61</v>
      </c>
    </row>
    <row r="23" spans="1:9" x14ac:dyDescent="0.25">
      <c r="G23" s="13" t="s">
        <v>5</v>
      </c>
      <c r="H23" s="14">
        <f>ROUND(H22,2)*D3</f>
        <v>9844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5">
        <v>24</v>
      </c>
      <c r="B3" s="31" t="s">
        <v>56</v>
      </c>
      <c r="C3" s="33" t="s">
        <v>6</v>
      </c>
      <c r="D3" s="33">
        <v>400</v>
      </c>
      <c r="E3" s="34">
        <f>IF(C20&lt;=25%,D20,MIN(E20:F20))</f>
        <v>20.92</v>
      </c>
      <c r="F3" s="34">
        <f>MIN(H3:H17)</f>
        <v>14</v>
      </c>
      <c r="G3" s="5" t="s">
        <v>58</v>
      </c>
      <c r="H3" s="16">
        <v>14</v>
      </c>
      <c r="I3" s="17">
        <f>IF(H3="","",(IF($C$20&lt;25%,"n/a",IF(H3&lt;=($D$20+$A$20),H3,"Descartado"))))</f>
        <v>14</v>
      </c>
    </row>
    <row r="4" spans="1:9" x14ac:dyDescent="0.25">
      <c r="A4" s="35"/>
      <c r="B4" s="32"/>
      <c r="C4" s="33"/>
      <c r="D4" s="33"/>
      <c r="E4" s="34"/>
      <c r="F4" s="34"/>
      <c r="G4" s="5" t="s">
        <v>59</v>
      </c>
      <c r="H4" s="16">
        <v>17.899999999999999</v>
      </c>
      <c r="I4" s="17">
        <f t="shared" ref="I4:I17" si="0">IF(H4="","",(IF($C$20&lt;25%,"n/a",IF(H4&lt;=($D$20+$A$20),H4,"Descartado"))))</f>
        <v>17.899999999999999</v>
      </c>
    </row>
    <row r="5" spans="1:9" x14ac:dyDescent="0.25">
      <c r="A5" s="35"/>
      <c r="B5" s="32"/>
      <c r="C5" s="33"/>
      <c r="D5" s="33"/>
      <c r="E5" s="34"/>
      <c r="F5" s="34"/>
      <c r="G5" s="5" t="s">
        <v>60</v>
      </c>
      <c r="H5" s="16">
        <v>24.89</v>
      </c>
      <c r="I5" s="17">
        <f t="shared" si="0"/>
        <v>24.89</v>
      </c>
    </row>
    <row r="6" spans="1:9" x14ac:dyDescent="0.25">
      <c r="A6" s="35"/>
      <c r="B6" s="32"/>
      <c r="C6" s="33"/>
      <c r="D6" s="33"/>
      <c r="E6" s="34"/>
      <c r="F6" s="34"/>
      <c r="G6" s="5" t="s">
        <v>61</v>
      </c>
      <c r="H6" s="16">
        <v>26.88</v>
      </c>
      <c r="I6" s="17">
        <f t="shared" si="0"/>
        <v>26.88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6.008030043200506</v>
      </c>
      <c r="B20" s="8">
        <f>COUNT(H3:H17)</f>
        <v>4</v>
      </c>
      <c r="C20" s="9">
        <f>IF(B20&lt;2,"n/a",(A20/D20))</f>
        <v>0.28719072864247158</v>
      </c>
      <c r="D20" s="10">
        <f>IFERROR(ROUND(AVERAGE(H3:H17),2),"")</f>
        <v>20.92</v>
      </c>
      <c r="E20" s="15">
        <f>IFERROR(ROUND(IF(B20&lt;2,"n/a",(IF(C20&lt;=25%,"n/a",AVERAGE(I3:I17)))),2),"n/a")</f>
        <v>20.92</v>
      </c>
      <c r="F20" s="10">
        <f>IFERROR(ROUND(MEDIAN(H3:H17),2),"")</f>
        <v>21.4</v>
      </c>
      <c r="G20" s="11" t="str">
        <f>IFERROR(INDEX(G3:G17,MATCH(H20,H3:H17,0)),"")</f>
        <v>DARLU INDUSTRIA TEXTIL LTDA</v>
      </c>
      <c r="H20" s="12">
        <f>F3</f>
        <v>14</v>
      </c>
    </row>
    <row r="22" spans="1:9" x14ac:dyDescent="0.25">
      <c r="G22" s="13" t="s">
        <v>19</v>
      </c>
      <c r="H22" s="14">
        <f>IF(C20&lt;=25%,D20,MIN(E20:F20))</f>
        <v>20.92</v>
      </c>
    </row>
    <row r="23" spans="1:9" x14ac:dyDescent="0.25">
      <c r="G23" s="13" t="s">
        <v>5</v>
      </c>
      <c r="H23" s="14">
        <f>ROUND(H22,2)*D3</f>
        <v>8368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8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 x14ac:dyDescent="0.25">
      <c r="A3" s="35">
        <v>25</v>
      </c>
      <c r="B3" s="31" t="s">
        <v>57</v>
      </c>
      <c r="C3" s="33" t="s">
        <v>6</v>
      </c>
      <c r="D3" s="33">
        <v>400</v>
      </c>
      <c r="E3" s="34">
        <f>IF(C20&lt;=25%,D20,MIN(E20:F20))</f>
        <v>75</v>
      </c>
      <c r="F3" s="34">
        <f>MIN(H3:H17)</f>
        <v>24.84</v>
      </c>
      <c r="G3" s="5" t="s">
        <v>62</v>
      </c>
      <c r="H3" s="16">
        <v>24.84</v>
      </c>
      <c r="I3" s="17">
        <f>IF(H3="","",(IF($C$20&lt;25%,"n/a",IF(H3&lt;=($D$20+$A$20),H3,"Descartado"))))</f>
        <v>24.84</v>
      </c>
    </row>
    <row r="4" spans="1:9" x14ac:dyDescent="0.25">
      <c r="A4" s="35"/>
      <c r="B4" s="32"/>
      <c r="C4" s="33"/>
      <c r="D4" s="33"/>
      <c r="E4" s="34"/>
      <c r="F4" s="34"/>
      <c r="G4" s="5" t="s">
        <v>63</v>
      </c>
      <c r="H4" s="16">
        <v>40</v>
      </c>
      <c r="I4" s="17">
        <f t="shared" ref="I4:I17" si="0">IF(H4="","",(IF($C$20&lt;25%,"n/a",IF(H4&lt;=($D$20+$A$20),H4,"Descartado"))))</f>
        <v>40</v>
      </c>
    </row>
    <row r="5" spans="1:9" x14ac:dyDescent="0.25">
      <c r="A5" s="35"/>
      <c r="B5" s="32"/>
      <c r="C5" s="33"/>
      <c r="D5" s="33"/>
      <c r="E5" s="34"/>
      <c r="F5" s="34"/>
      <c r="G5" s="5" t="s">
        <v>64</v>
      </c>
      <c r="H5" s="16">
        <v>47.5</v>
      </c>
      <c r="I5" s="17">
        <f t="shared" si="0"/>
        <v>47.5</v>
      </c>
    </row>
    <row r="6" spans="1:9" x14ac:dyDescent="0.25">
      <c r="A6" s="35"/>
      <c r="B6" s="32"/>
      <c r="C6" s="33"/>
      <c r="D6" s="33"/>
      <c r="E6" s="34"/>
      <c r="F6" s="34"/>
      <c r="G6" s="5" t="s">
        <v>30</v>
      </c>
      <c r="H6" s="16">
        <v>75</v>
      </c>
      <c r="I6" s="17">
        <f t="shared" si="0"/>
        <v>75</v>
      </c>
    </row>
    <row r="7" spans="1:9" x14ac:dyDescent="0.25">
      <c r="A7" s="35"/>
      <c r="B7" s="32"/>
      <c r="C7" s="33"/>
      <c r="D7" s="33"/>
      <c r="E7" s="34"/>
      <c r="F7" s="34"/>
      <c r="G7" s="5" t="s">
        <v>65</v>
      </c>
      <c r="H7" s="16">
        <v>77</v>
      </c>
      <c r="I7" s="17">
        <f t="shared" si="0"/>
        <v>77</v>
      </c>
    </row>
    <row r="8" spans="1:9" x14ac:dyDescent="0.25">
      <c r="A8" s="35"/>
      <c r="B8" s="32"/>
      <c r="C8" s="33"/>
      <c r="D8" s="33"/>
      <c r="E8" s="34"/>
      <c r="F8" s="34"/>
      <c r="G8" s="5" t="s">
        <v>66</v>
      </c>
      <c r="H8" s="16">
        <v>560</v>
      </c>
      <c r="I8" s="17">
        <f t="shared" si="0"/>
        <v>560</v>
      </c>
    </row>
    <row r="9" spans="1:9" x14ac:dyDescent="0.25">
      <c r="A9" s="35"/>
      <c r="B9" s="32"/>
      <c r="C9" s="33"/>
      <c r="D9" s="33"/>
      <c r="E9" s="34"/>
      <c r="F9" s="34"/>
      <c r="G9" s="5" t="s">
        <v>67</v>
      </c>
      <c r="H9" s="16">
        <v>1056.9000000000001</v>
      </c>
      <c r="I9" s="17" t="str">
        <f t="shared" si="0"/>
        <v>Descartado</v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13</v>
      </c>
      <c r="B19" s="7" t="s">
        <v>14</v>
      </c>
      <c r="C19" s="7" t="s">
        <v>24</v>
      </c>
      <c r="D19" s="7" t="s">
        <v>15</v>
      </c>
      <c r="E19" s="7" t="s">
        <v>16</v>
      </c>
      <c r="F19" s="7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396.03962829614966</v>
      </c>
      <c r="B20" s="8">
        <f>COUNT(H3:H17)</f>
        <v>7</v>
      </c>
      <c r="C20" s="9">
        <f>IF(B20&lt;2,"n/a",(A20/D20))</f>
        <v>1.4736358262182312</v>
      </c>
      <c r="D20" s="10">
        <f>IFERROR(ROUND(AVERAGE(H3:H17),2),"")</f>
        <v>268.75</v>
      </c>
      <c r="E20" s="15">
        <f>IFERROR(ROUND(IF(B20&lt;2,"n/a",(IF(C20&lt;=25%,"n/a",AVERAGE(I3:I17)))),2),"n/a")</f>
        <v>137.38999999999999</v>
      </c>
      <c r="F20" s="10">
        <f>IFERROR(ROUND(MEDIAN(H3:H17),2),"")</f>
        <v>75</v>
      </c>
      <c r="G20" s="11" t="str">
        <f>IFERROR(INDEX(G3:G17,MATCH(H20,H3:H17,0)),"")</f>
        <v>JT PAPELARIA LTDA</v>
      </c>
      <c r="H20" s="12">
        <f>F3</f>
        <v>24.84</v>
      </c>
    </row>
    <row r="22" spans="1:9" x14ac:dyDescent="0.25">
      <c r="G22" s="13" t="s">
        <v>19</v>
      </c>
      <c r="H22" s="14">
        <f>IF(C20&lt;=25%,D20,MIN(E20:F20))</f>
        <v>75</v>
      </c>
    </row>
    <row r="23" spans="1:9" x14ac:dyDescent="0.25">
      <c r="G23" s="13" t="s">
        <v>5</v>
      </c>
      <c r="H23" s="14">
        <f>ROUND(H22,2)*D3</f>
        <v>30000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view="pageBreakPreview" zoomScaleNormal="100" zoomScaleSheetLayoutView="100" workbookViewId="0">
      <selection activeCell="B30" sqref="B30"/>
    </sheetView>
  </sheetViews>
  <sheetFormatPr defaultRowHeight="15" x14ac:dyDescent="0.25"/>
  <cols>
    <col min="1" max="1" width="6.7109375" style="1" customWidth="1"/>
    <col min="2" max="2" width="36.7109375" style="4" customWidth="1"/>
    <col min="3" max="3" width="12.7109375" style="1" customWidth="1"/>
    <col min="4" max="4" width="9.28515625" style="1" bestFit="1" customWidth="1"/>
    <col min="5" max="6" width="15.7109375" style="1" customWidth="1"/>
    <col min="7" max="16384" width="9.140625" style="1"/>
  </cols>
  <sheetData>
    <row r="1" spans="1:6" ht="15.75" x14ac:dyDescent="0.25">
      <c r="A1" s="36"/>
      <c r="B1" s="36"/>
      <c r="C1" s="36"/>
      <c r="D1" s="36"/>
      <c r="E1" s="36"/>
      <c r="F1" s="36"/>
    </row>
    <row r="2" spans="1:6" ht="24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28</v>
      </c>
    </row>
    <row r="3" spans="1:6" ht="195" x14ac:dyDescent="0.25">
      <c r="A3" s="21">
        <f>Item1!A3</f>
        <v>1</v>
      </c>
      <c r="B3" s="23" t="str">
        <f>Item1!B3</f>
        <v xml:space="preserve">CARTUCHO DE TONER
COMPATÍVEL COM IMPRESSORA
TALLY GENICOM 9330
Referência 04872
Cor: Preta
Não se admitindo produtos
remanufaturados ou recondicionados.
Acondicionado em caixa individual, com
indicação impressa de compatibilidade.
Prazo de validade: mínimo de 11 meses,
contados da data de recebimento
definitivo.
</v>
      </c>
      <c r="C3" s="21" t="str">
        <f>Item1!C3</f>
        <v>unidade</v>
      </c>
      <c r="D3" s="21">
        <f>Item1!D3</f>
        <v>30</v>
      </c>
      <c r="E3" s="22">
        <f>Item1!E3</f>
        <v>257.68</v>
      </c>
      <c r="F3" s="22">
        <f>ROUND((D3*E3),2)</f>
        <v>7730.4</v>
      </c>
    </row>
    <row r="4" spans="1:6" ht="180" x14ac:dyDescent="0.25">
      <c r="A4" s="21">
        <f>Item2!A3</f>
        <v>2</v>
      </c>
      <c r="B4" s="23" t="str">
        <f>Item2!B3</f>
        <v xml:space="preserve">CARTUCHO DE TONER
COMPATÍVEL COM IMPRESSORA
OKIDATA B410
Não admitidos produtos remanufaturados
ou recondicionados.
Referência 43979101
Acondicionado em caixa individual, com
indicação impressa de compatibilidade.
Prazo de validade não inferior a 11
meses, contados da data de recebimento
definitivo.
</v>
      </c>
      <c r="C4" s="21" t="str">
        <f>Item2!C3</f>
        <v>unidade</v>
      </c>
      <c r="D4" s="21">
        <f>Item2!D3</f>
        <v>20</v>
      </c>
      <c r="E4" s="22">
        <f>Item2!E3</f>
        <v>38.76</v>
      </c>
      <c r="F4" s="22">
        <f t="shared" ref="F4:F27" si="0">ROUND((D4*E4),2)</f>
        <v>775.2</v>
      </c>
    </row>
    <row r="5" spans="1:6" ht="90" x14ac:dyDescent="0.25">
      <c r="A5" s="21">
        <f>Item3!A3</f>
        <v>3</v>
      </c>
      <c r="B5" s="23" t="str">
        <f>Item3!B3</f>
        <v xml:space="preserve">CILINDRO FOTOCONDUTOR
PARA IMPRESSORA OKIDATA
B410
Compatível com a impressora Okidata
B410. 
</v>
      </c>
      <c r="C5" s="21" t="str">
        <f>Item3!C3</f>
        <v>unidade</v>
      </c>
      <c r="D5" s="21">
        <f>Item3!D3</f>
        <v>10</v>
      </c>
      <c r="E5" s="22">
        <f>Item3!E3</f>
        <v>162.83000000000001</v>
      </c>
      <c r="F5" s="22">
        <f t="shared" si="0"/>
        <v>1628.3</v>
      </c>
    </row>
    <row r="6" spans="1:6" ht="180" x14ac:dyDescent="0.25">
      <c r="A6" s="21">
        <f>Item4!A3</f>
        <v>4</v>
      </c>
      <c r="B6" s="23" t="str">
        <f>Item4!B3</f>
        <v xml:space="preserve">CARTUCHO DE TONER
COMPATÍVEL COM IMPRESSORA
HP LASERJET P2015
Não admitidos produtos remanufaturados
ou recondicionados.
Referência: Q7553X.
Acondicionado em caixa individual, com
indicação impressa de compatibilidade.
Prazo de validade: mínimo de 11 meses,
contados da data de recebimento
definitivo. 
</v>
      </c>
      <c r="C6" s="21" t="str">
        <f>Item4!C3</f>
        <v>unidade</v>
      </c>
      <c r="D6" s="21">
        <f>Item4!D3</f>
        <v>10</v>
      </c>
      <c r="E6" s="22">
        <f>Item4!E3</f>
        <v>71.73</v>
      </c>
      <c r="F6" s="22">
        <f t="shared" si="0"/>
        <v>717.3</v>
      </c>
    </row>
    <row r="7" spans="1:6" ht="195" x14ac:dyDescent="0.25">
      <c r="A7" s="21">
        <f>Item5!A3</f>
        <v>5</v>
      </c>
      <c r="B7" s="23" t="str">
        <f>Item5!B3</f>
        <v xml:space="preserve">CARTUCHO DE TONER
COMPATÍVEL COM IMPRESSORA
SAMSUNG 4070FR
Não se admitindo produtos
remanufaturados ou recondicionados.
Referência: D203U.
Acondicionado em embalagem
individual, com indicação impressa de
compatibilidade.
Prazo de validade: mínimo de 11 meses,
contados da data de recebimento
definitivo. 
</v>
      </c>
      <c r="C7" s="21" t="str">
        <f>Item5!C3</f>
        <v>unidade</v>
      </c>
      <c r="D7" s="21">
        <f>Item5!D3</f>
        <v>30</v>
      </c>
      <c r="E7" s="22">
        <f>Item5!E3</f>
        <v>96.19</v>
      </c>
      <c r="F7" s="22">
        <f t="shared" si="0"/>
        <v>2885.7</v>
      </c>
    </row>
    <row r="8" spans="1:6" ht="180" x14ac:dyDescent="0.25">
      <c r="A8" s="21">
        <f>Item6!A3</f>
        <v>6</v>
      </c>
      <c r="B8" s="23" t="str">
        <f>Item6!B3</f>
        <v xml:space="preserve">CARTUCHO DE TONER
COMPATÍVEL COM A
IMPRESSORA SAMSUNG ML-3310
Não admitidos produtos remanufaturados
ou recondicionados.
Referência: MLT – D205L.
Acondicionado em caixa individual, com
indicação impressa de compatibilidade.
Prazo de validade: mínimo de 11 meses,
contados da data de recebimento
definitivo. 
</v>
      </c>
      <c r="C8" s="21" t="str">
        <f>Item6!C3</f>
        <v>unidade</v>
      </c>
      <c r="D8" s="21">
        <f>Item6!D3</f>
        <v>100</v>
      </c>
      <c r="E8" s="22">
        <f>Item6!E3</f>
        <v>78.040000000000006</v>
      </c>
      <c r="F8" s="22">
        <f t="shared" si="0"/>
        <v>7804</v>
      </c>
    </row>
    <row r="9" spans="1:6" ht="180" x14ac:dyDescent="0.25">
      <c r="A9" s="21">
        <f>Item7!A3</f>
        <v>7</v>
      </c>
      <c r="B9" s="23" t="str">
        <f>Item7!B3</f>
        <v xml:space="preserve">CARTUCHO DE TONER
COMPATÍVEL COM IMPRESSORA
SAMSUNG ML – 3750ND
Referência: MLT – D305L.
Não admitidos produtos remanufaturados
ou recondicionados.
Acondicionado em caixa individual, com
indicação impressa de compatibilidade.
Prazo de validade: mínimo de 11 meses,
contados da data de recebimento
definitivo. 
</v>
      </c>
      <c r="C9" s="21" t="str">
        <f>Item7!C3</f>
        <v>unidade</v>
      </c>
      <c r="D9" s="21">
        <f>Item7!D3</f>
        <v>30</v>
      </c>
      <c r="E9" s="22">
        <f>Item7!E3</f>
        <v>128.82</v>
      </c>
      <c r="F9" s="22">
        <f t="shared" si="0"/>
        <v>3864.6</v>
      </c>
    </row>
    <row r="10" spans="1:6" ht="150" x14ac:dyDescent="0.25">
      <c r="A10" s="21">
        <f>Item8!A3</f>
        <v>8</v>
      </c>
      <c r="B10" s="23" t="str">
        <f>Item8!B3</f>
        <v>CARTUCHO DE TONER
COMPATÍVEL COM IMPRESSORA
SAMSUNG SL – M3325
Referência: MLT – D204L.
Não admitidos produtos remanufaturados
ou recondicionados.Acondicionado em
caixa individual, com indicação impressa
de compatibilidade. Prazo de validade:
mínimo de 11 meses, contados da data de recebimento definitivo.</v>
      </c>
      <c r="C10" s="21" t="str">
        <f>Item8!C3</f>
        <v>unidade</v>
      </c>
      <c r="D10" s="21">
        <f>Item8!D3</f>
        <v>70</v>
      </c>
      <c r="E10" s="22">
        <f>Item8!E3</f>
        <v>62.97</v>
      </c>
      <c r="F10" s="22">
        <f t="shared" si="0"/>
        <v>4407.8999999999996</v>
      </c>
    </row>
    <row r="11" spans="1:6" ht="75" x14ac:dyDescent="0.25">
      <c r="A11" s="21">
        <f>Item9!A3</f>
        <v>9</v>
      </c>
      <c r="B11" s="23" t="str">
        <f>Item9!B3</f>
        <v xml:space="preserve">CILINDRO FOTOCONDUTOR
PARA IMPRESSORA SAMSUNG SLM3325
Compatível com a impressora Samsung
SL-M3325. Referência: MLT-R204. </v>
      </c>
      <c r="C11" s="21" t="str">
        <f>Item9!C3</f>
        <v>unidade</v>
      </c>
      <c r="D11" s="21">
        <f>Item9!D3</f>
        <v>30</v>
      </c>
      <c r="E11" s="22">
        <f>Item9!E3</f>
        <v>262.68</v>
      </c>
      <c r="F11" s="22">
        <f t="shared" si="0"/>
        <v>7880.4</v>
      </c>
    </row>
    <row r="12" spans="1:6" ht="75" x14ac:dyDescent="0.25">
      <c r="A12" s="21">
        <f>Item10!A3</f>
        <v>10</v>
      </c>
      <c r="B12" s="23" t="str">
        <f>Item10!B3</f>
        <v xml:space="preserve">MOUSE OPTICO
Com 02 (dois) botões para seleção (click)
e um botão de rolagem “scroll”.
Sensor: Laser
Cor preta. Conexão: USB. </v>
      </c>
      <c r="C12" s="21" t="str">
        <f>Item10!C3</f>
        <v>unidade</v>
      </c>
      <c r="D12" s="21">
        <f>Item10!D3</f>
        <v>50</v>
      </c>
      <c r="E12" s="22">
        <f>Item10!E3</f>
        <v>5.82</v>
      </c>
      <c r="F12" s="22">
        <f t="shared" si="0"/>
        <v>291</v>
      </c>
    </row>
    <row r="13" spans="1:6" ht="165" x14ac:dyDescent="0.25">
      <c r="A13" s="21">
        <f>Item11!A3</f>
        <v>11</v>
      </c>
      <c r="B13" s="23" t="str">
        <f>Item11!B3</f>
        <v xml:space="preserve">FILTRO DE LINHA
Mínimo de 5 tomadas 2P+T.
Comprimento mínimo do fio: 3 m.
10 amperes
Tensão nominal: 127/220V (bivolt).
Formato tipo retangular.
Conexão à rede elétrica no padrão
brasileiro
Em conformidade com a norma ABNT
NBR 14136. 
</v>
      </c>
      <c r="C13" s="21" t="str">
        <f>Item11!C3</f>
        <v>unidade</v>
      </c>
      <c r="D13" s="21">
        <f>Item11!D3</f>
        <v>400</v>
      </c>
      <c r="E13" s="22">
        <f>Item11!E3</f>
        <v>45.45</v>
      </c>
      <c r="F13" s="22">
        <f t="shared" si="0"/>
        <v>18180</v>
      </c>
    </row>
    <row r="14" spans="1:6" ht="150" x14ac:dyDescent="0.25">
      <c r="A14" s="21">
        <f>Item12!A3</f>
        <v>12</v>
      </c>
      <c r="B14" s="23" t="str">
        <f>Item12!B3</f>
        <v xml:space="preserve">EXTENSÃO DE TOMADA
Mínimo de 4 tomadas 2P+T. 10 amperes
Comprimento mínimo do fio: 3 m.Tensão
nominal: 127/220V (bivolt). Formato tipo
retangular /axial.
Tomadas dispostas em diagonal
conforme MODELO - ANEXO B
Conexão à rede elétrica no padrão
brasileiro. 
</v>
      </c>
      <c r="C14" s="21" t="str">
        <f>Item12!C3</f>
        <v>unidade</v>
      </c>
      <c r="D14" s="21">
        <f>Item12!D3</f>
        <v>100</v>
      </c>
      <c r="E14" s="22">
        <f>Item12!E3</f>
        <v>27.45</v>
      </c>
      <c r="F14" s="22">
        <f t="shared" si="0"/>
        <v>2745</v>
      </c>
    </row>
    <row r="15" spans="1:6" ht="165" x14ac:dyDescent="0.25">
      <c r="A15" s="21">
        <f>Item13!A3</f>
        <v>13</v>
      </c>
      <c r="B15" s="23" t="str">
        <f>Item13!B3</f>
        <v xml:space="preserve">PILHA ALCALINA PEQUENA TIPO
AA
Embalagem com 02 unidades. Tensão:
1,5 V . Adequada à Resolução nº
401/2008 – CONAMA.
Indicação expressa do nome do
fabricante.
Indicação de prazo de validade não
inferior a um ano contado da data de
recebimento definitivo. 
</v>
      </c>
      <c r="C15" s="21" t="str">
        <f>Item13!C3</f>
        <v>embalagem</v>
      </c>
      <c r="D15" s="21">
        <f>Item13!D3</f>
        <v>600</v>
      </c>
      <c r="E15" s="22">
        <f>Item13!E3</f>
        <v>2.4</v>
      </c>
      <c r="F15" s="22">
        <f t="shared" si="0"/>
        <v>1440</v>
      </c>
    </row>
    <row r="16" spans="1:6" ht="135" x14ac:dyDescent="0.25">
      <c r="A16" s="21">
        <f>Item14!A3</f>
        <v>14</v>
      </c>
      <c r="B16" s="23" t="str">
        <f>Item14!B3</f>
        <v xml:space="preserve">PILHA ALCALINA PALITO TIPO
AAA
Embalagem com 02 unidades.
Adequada à Resolução nº 401/2008 –
CONAMA. Indicação expressa do nome
do fabricante.
Indicação de prazo de validade não
inferior a um ano, contado da data de
recebimento definitivo. </v>
      </c>
      <c r="C16" s="21" t="str">
        <f>Item14!C3</f>
        <v>embalagem</v>
      </c>
      <c r="D16" s="21">
        <f>Item14!D3</f>
        <v>1000</v>
      </c>
      <c r="E16" s="22">
        <f>Item14!E3</f>
        <v>2.2000000000000002</v>
      </c>
      <c r="F16" s="22">
        <f t="shared" si="0"/>
        <v>2200</v>
      </c>
    </row>
    <row r="17" spans="1:6" ht="150" x14ac:dyDescent="0.25">
      <c r="A17" s="21">
        <f>Item15!A3</f>
        <v>15</v>
      </c>
      <c r="B17" s="23" t="str">
        <f>Item15!B3</f>
        <v xml:space="preserve">PILHA 9V
Alcalina; Tensão nominal: 9 V
Embalagem com 01 unidade
Adequada à Resolução nº 401/2008 -
CONAMA
Indicação expressa do nome do
fabricante;
Indicação de prazo de validade não
inferior a um ano contado da data de
recebimento definitivo. </v>
      </c>
      <c r="C17" s="21" t="str">
        <f>Item15!C3</f>
        <v>embalagem</v>
      </c>
      <c r="D17" s="21">
        <f>Item15!D3</f>
        <v>100</v>
      </c>
      <c r="E17" s="22">
        <f>Item15!E3</f>
        <v>24.07</v>
      </c>
      <c r="F17" s="22">
        <f t="shared" si="0"/>
        <v>2407</v>
      </c>
    </row>
    <row r="18" spans="1:6" ht="165" x14ac:dyDescent="0.25">
      <c r="A18" s="21">
        <f>Item16!A3</f>
        <v>16</v>
      </c>
      <c r="B18" s="23" t="str">
        <f>Item16!B3</f>
        <v xml:space="preserve">BATERIA 3,6V
1200mah
1/2aa
Lithium
Embalagem com 01 unidade
Adequada à Resolução nº 401/2008 –
CONAMA
Indicação de prazo de validade não
inferior a um ano contado da data de
recebimento definitivo. 
</v>
      </c>
      <c r="C18" s="21" t="str">
        <f>Item16!C3</f>
        <v>unidade</v>
      </c>
      <c r="D18" s="21">
        <f>Item16!D3</f>
        <v>150</v>
      </c>
      <c r="E18" s="22">
        <f>Item16!E3</f>
        <v>41.98</v>
      </c>
      <c r="F18" s="22">
        <f t="shared" si="0"/>
        <v>6297</v>
      </c>
    </row>
    <row r="19" spans="1:6" ht="195" x14ac:dyDescent="0.25">
      <c r="A19" s="21">
        <f>Item17!A3</f>
        <v>17</v>
      </c>
      <c r="B19" s="23" t="str">
        <f>Item17!B3</f>
        <v xml:space="preserve">PILHAS RECARREGÁVEIS COM
CARREGADOR
Tamanho da pilha: pequena Tipo AA
Capacidade mínima de 2450 mAh cada
Composição: Ni-MH
Adequada à Resolução nº 401/2008 -
CONAMA
Carregador Bivolt para, no mínimo, 4
pilhas simultaneamente
Kit com 1 carregador e mínimo de 4 pilhas AA
Marcas de referência: Philips, Multilaser,
Duracell, Sony, Elgin </v>
      </c>
      <c r="C19" s="21" t="str">
        <f>Item17!C3</f>
        <v>kit</v>
      </c>
      <c r="D19" s="21">
        <f>Item17!D3</f>
        <v>10</v>
      </c>
      <c r="E19" s="22">
        <f>Item17!E3</f>
        <v>153.33000000000001</v>
      </c>
      <c r="F19" s="22">
        <f t="shared" si="0"/>
        <v>1533.3</v>
      </c>
    </row>
    <row r="20" spans="1:6" ht="375" x14ac:dyDescent="0.25">
      <c r="A20" s="21">
        <f>Item18!A3</f>
        <v>18</v>
      </c>
      <c r="B20" s="23" t="str">
        <f>Item18!B3</f>
        <v>PEN DRIVE
Dispositivo de armazenamento em
memória flash com conector USB, do tipo
pendrive.
Padrão USB 3.0, compatível com os
padrões USB 2.0 e USB 1.1;
Capacidade de armazenamento mínimo
de 32GB;
Taxas de leitura e gravação mínimas de:
70MB/s e 20MB/s;
Conector USB tipo A macho, com
estrutura de proteção aos contatos do
conector conforme figura 1, e
profundidade mínima de 12mm conforme
item A da figura 2 do modelo apresentado
no Anexo B;
Estrutura com alça para fixação em
chaveiro (não está representada nas
figuras do Anexo B);
Com dimensões mínimas de 12mm x
25mm (D x C), figura 2 do modelo
apresentado no Anexo B;
Garantia mínima de 1 ano</v>
      </c>
      <c r="C20" s="21" t="str">
        <f>Item18!C3</f>
        <v>unidade</v>
      </c>
      <c r="D20" s="21">
        <f>Item18!D3</f>
        <v>3500</v>
      </c>
      <c r="E20" s="22">
        <f>Item18!E3</f>
        <v>33.83</v>
      </c>
      <c r="F20" s="22">
        <f t="shared" si="0"/>
        <v>118405</v>
      </c>
    </row>
    <row r="21" spans="1:6" ht="60" x14ac:dyDescent="0.25">
      <c r="A21" s="21">
        <f>Item19!A3</f>
        <v>19</v>
      </c>
      <c r="B21" s="23" t="str">
        <f>Item19!B3</f>
        <v xml:space="preserve">CABO EXTENSOR USB
Conectores USB 2.0 A macho X USB
2.0 A fêmea
Comprimento: 30 cm, no mínimo. </v>
      </c>
      <c r="C21" s="21" t="str">
        <f>Item19!C3</f>
        <v>unidade</v>
      </c>
      <c r="D21" s="21">
        <f>Item19!D3</f>
        <v>1500</v>
      </c>
      <c r="E21" s="22">
        <f>Item19!E3</f>
        <v>11</v>
      </c>
      <c r="F21" s="22">
        <f t="shared" si="0"/>
        <v>16500</v>
      </c>
    </row>
    <row r="22" spans="1:6" ht="90" x14ac:dyDescent="0.25">
      <c r="A22" s="21">
        <f>Item20!A3</f>
        <v>20</v>
      </c>
      <c r="B22" s="23" t="str">
        <f>Item20!B3</f>
        <v>CAIXAS DE SOM PARA
COMPUTADOR
Conexão Plug P2; Alimentação USB 2.0;
Som estéreo; Com controle de volume e LED Indicador;
Potência 1W RMS (mínima)</v>
      </c>
      <c r="C22" s="21" t="str">
        <f>Item20!C3</f>
        <v>unidade</v>
      </c>
      <c r="D22" s="21">
        <f>Item20!D3</f>
        <v>200</v>
      </c>
      <c r="E22" s="22">
        <f>Item20!E3</f>
        <v>37</v>
      </c>
      <c r="F22" s="22">
        <f t="shared" si="0"/>
        <v>7400</v>
      </c>
    </row>
    <row r="23" spans="1:6" ht="240" x14ac:dyDescent="0.25">
      <c r="A23" s="21">
        <f>Item21!A3</f>
        <v>21</v>
      </c>
      <c r="B23" s="23" t="str">
        <f>Item21!B3</f>
        <v>FITA PARA GRAVAÇÃO DE DADOS
PADRÃO ULTRIUM LTO-8
Aplicação: armazenamento de dados;
Capacidade mínima nativa (sem
compressão) de 12 (doze) Terabytes;
Deve permitir compressão no padrão
2,5:1, totalizando 30 (trinta) Terabytes de
capacidade;
Fornecidos em embalagem lacrada.
Não serão admitidos produtos
remanufaturados ou recondicionados.
Compatível com drives de gravação e
leitura padrão Ultrium LTO-8.
Garantia contra defeitos de fabricação
pelo período mínimo de 12 (doze) meses.</v>
      </c>
      <c r="C23" s="21" t="str">
        <f>Item21!C3</f>
        <v>unidade</v>
      </c>
      <c r="D23" s="21">
        <f>Item21!D3</f>
        <v>200</v>
      </c>
      <c r="E23" s="22">
        <f>Item21!E3</f>
        <v>321.57</v>
      </c>
      <c r="F23" s="22">
        <f t="shared" si="0"/>
        <v>64314</v>
      </c>
    </row>
    <row r="24" spans="1:6" ht="285" x14ac:dyDescent="0.25">
      <c r="A24" s="21">
        <f>Item22!A3</f>
        <v>22</v>
      </c>
      <c r="B24" s="23" t="str">
        <f>Item22!B3</f>
        <v xml:space="preserve">CÂMERAS DE VÍDEO USB TIPO
WEBCAM
Especificações mínimas:
Vídeochamada Full HD de 1080p (até
1920 x 1080 pixels);
Campo de visão de 78º graus;
Tecnologia RightLight 2 ™ de otimização
de luz e cor;
Claridade em diversas condições de
iluminação, mesmo com pouca luz;
Foco automático; Cortina de privacidade integrada;
Dois microfones unidirecionais;
USB 2.0 certificado de alta velocidade
(pronto para USB 3.0);
Clipe universal pronto para tripés que se
ajuste a monitores de laptop, LCD ou
CRT. 
 </v>
      </c>
      <c r="C24" s="21" t="str">
        <f>Item22!C3</f>
        <v>unidade</v>
      </c>
      <c r="D24" s="21">
        <f>Item22!D3</f>
        <v>600</v>
      </c>
      <c r="E24" s="22">
        <f>Item22!E3</f>
        <v>63.53</v>
      </c>
      <c r="F24" s="22">
        <f t="shared" si="0"/>
        <v>38118</v>
      </c>
    </row>
    <row r="25" spans="1:6" ht="240" x14ac:dyDescent="0.25">
      <c r="A25" s="21">
        <f>Item23!A3</f>
        <v>23</v>
      </c>
      <c r="B25" s="23" t="str">
        <f>Item23!B3</f>
        <v xml:space="preserve">APOIO DE PUNHO PARA
TECLADO
Material: elastômero, tecido e gelatina de
silicone ou poliuretano macio.
Com base antiderrapante que mantém o
apoio fixo na superfície onde está sendo
utilizado.
Cor: Preta.
Comprimento: 450 MM, admitida
variação de 50 MM para mais ou para
menos;
Largura: 65 MM, admitida variação de 5
MM para menos ou 30 MM para mais;
ALTURA: 22 MM, admitida variação de
5 MM para menos ou 10 MM para mais. 
</v>
      </c>
      <c r="C25" s="21" t="str">
        <f>Item23!C3</f>
        <v>unidade</v>
      </c>
      <c r="D25" s="21">
        <f>Item23!D3</f>
        <v>400</v>
      </c>
      <c r="E25" s="22">
        <f>Item23!E3</f>
        <v>24.61</v>
      </c>
      <c r="F25" s="22">
        <f t="shared" si="0"/>
        <v>9844</v>
      </c>
    </row>
    <row r="26" spans="1:6" ht="225" x14ac:dyDescent="0.25">
      <c r="A26" s="21">
        <f>Item24!A3</f>
        <v>24</v>
      </c>
      <c r="B26" s="23" t="str">
        <f>Item24!B3</f>
        <v xml:space="preserve">MOUSE PAD
Material: Elastômero e Gelatina de
Silicone
Comprimento aproximado: 25 CM,
admitida variação de 2 CM para mais ou para menos;
Largura aproximada: 22 CM, admitida
variação de 2 CM para mais ou para
menos;
Espessura: 2,5 MM, admitida variação de
0,2 MM para mais ou para menos;
Acabamento Superficial: Tecido
Características Adicionais: Ergonômico,
com Apoio para o punho em Gel
Cor: Preta </v>
      </c>
      <c r="C26" s="21" t="str">
        <f>Item24!C3</f>
        <v>unidade</v>
      </c>
      <c r="D26" s="21">
        <f>Item24!D3</f>
        <v>400</v>
      </c>
      <c r="E26" s="22">
        <f>Item24!E3</f>
        <v>20.92</v>
      </c>
      <c r="F26" s="22">
        <f t="shared" si="0"/>
        <v>8368</v>
      </c>
    </row>
    <row r="27" spans="1:6" ht="165" x14ac:dyDescent="0.25">
      <c r="A27" s="21">
        <f>Item25!A3</f>
        <v>25</v>
      </c>
      <c r="B27" s="23" t="str">
        <f>Item25!B3</f>
        <v xml:space="preserve">FONE DE OUVIDO COM
MICROFONE
Tipo headphone
Haste ajustável
Concha em couro
Cor predominante: preta
Entrada tipo USB
Acondicionados em embalagem
individual com o nome do fabricante e
especificações técnicas
</v>
      </c>
      <c r="C27" s="21" t="str">
        <f>Item25!C3</f>
        <v>unidade</v>
      </c>
      <c r="D27" s="21">
        <f>Item25!D3</f>
        <v>400</v>
      </c>
      <c r="E27" s="22">
        <f>Item25!E3</f>
        <v>75</v>
      </c>
      <c r="F27" s="22">
        <f t="shared" si="0"/>
        <v>30000</v>
      </c>
    </row>
    <row r="28" spans="1:6" x14ac:dyDescent="0.25">
      <c r="A28" s="24"/>
      <c r="B28" s="25"/>
      <c r="C28" s="26"/>
      <c r="D28" s="26"/>
      <c r="E28" s="27"/>
      <c r="F28" s="27"/>
    </row>
    <row r="29" spans="1:6" ht="15.75" thickBot="1" x14ac:dyDescent="0.3"/>
    <row r="30" spans="1:6" ht="16.5" thickTop="1" thickBot="1" x14ac:dyDescent="0.3">
      <c r="C30" s="18"/>
      <c r="D30" s="19" t="s">
        <v>29</v>
      </c>
      <c r="E30" s="20">
        <f>SUM(F:F)</f>
        <v>365736.1</v>
      </c>
    </row>
    <row r="31" spans="1:6" ht="15.75" thickTop="1" x14ac:dyDescent="0.25">
      <c r="E31" s="3"/>
    </row>
    <row r="32" spans="1:6" x14ac:dyDescent="0.25">
      <c r="C32" s="4"/>
      <c r="D32" s="4"/>
    </row>
    <row r="34" spans="3:5" x14ac:dyDescent="0.25">
      <c r="C34" s="4"/>
      <c r="D34" s="4"/>
      <c r="E34" s="4"/>
    </row>
    <row r="35" spans="3:5" x14ac:dyDescent="0.25">
      <c r="C35" s="4"/>
      <c r="D35" s="4"/>
      <c r="E35" s="4"/>
    </row>
    <row r="36" spans="3:5" x14ac:dyDescent="0.25">
      <c r="C36" s="4"/>
      <c r="D36" s="4"/>
      <c r="E36" s="4"/>
    </row>
    <row r="37" spans="3:5" x14ac:dyDescent="0.25">
      <c r="C37" s="4"/>
      <c r="D37" s="4"/>
      <c r="E37" s="4"/>
    </row>
    <row r="38" spans="3:5" x14ac:dyDescent="0.25">
      <c r="C38" s="4"/>
      <c r="D38" s="4"/>
      <c r="E38" s="4"/>
    </row>
  </sheetData>
  <mergeCells count="1">
    <mergeCell ref="A1:F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3</v>
      </c>
      <c r="B3" s="31" t="s">
        <v>33</v>
      </c>
      <c r="C3" s="33" t="s">
        <v>6</v>
      </c>
      <c r="D3" s="33">
        <v>10</v>
      </c>
      <c r="E3" s="34">
        <f>IF(C20&lt;=25%,D20,MIN(E20:F20))</f>
        <v>162.83000000000001</v>
      </c>
      <c r="F3" s="34">
        <f>MIN(H3:H17)</f>
        <v>120</v>
      </c>
      <c r="G3" s="5" t="s">
        <v>160</v>
      </c>
      <c r="H3" s="16">
        <v>193.4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169</v>
      </c>
      <c r="H4" s="16">
        <v>120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159</v>
      </c>
      <c r="H5" s="16">
        <v>158.01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170</v>
      </c>
      <c r="H6" s="16">
        <v>179.9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32.060105401157784</v>
      </c>
      <c r="B20" s="8">
        <f>COUNT(H3:H17)</f>
        <v>4</v>
      </c>
      <c r="C20" s="9">
        <f>IF(B20&lt;2,"n/a",(A20/D20))</f>
        <v>0.1968931118415389</v>
      </c>
      <c r="D20" s="10">
        <f>IFERROR(ROUND(AVERAGE(H3:H17),2),"")</f>
        <v>162.83000000000001</v>
      </c>
      <c r="E20" s="15" t="str">
        <f>IFERROR(ROUND(IF(B20&lt;2,"n/a",(IF(C20&lt;=25%,"n/a",AVERAGE(I3:I17)))),2),"n/a")</f>
        <v>n/a</v>
      </c>
      <c r="F20" s="10">
        <f>IFERROR(ROUND(MEDIAN(H3:H17),2),"")</f>
        <v>168.96</v>
      </c>
      <c r="G20" s="11" t="str">
        <f>IFERROR(INDEX(G3:G17,MATCH(H20,H3:H17,0)),"")</f>
        <v>ECOMANDO</v>
      </c>
      <c r="H20" s="12">
        <f>F3</f>
        <v>120</v>
      </c>
    </row>
    <row r="22" spans="1:9" x14ac:dyDescent="0.25">
      <c r="G22" s="13" t="s">
        <v>19</v>
      </c>
      <c r="H22" s="14">
        <f>IF(C20&lt;=25%,D20,MIN(E20:F20))</f>
        <v>162.83000000000001</v>
      </c>
    </row>
    <row r="23" spans="1:9" x14ac:dyDescent="0.25">
      <c r="G23" s="13" t="s">
        <v>5</v>
      </c>
      <c r="H23" s="14">
        <f>ROUND(H22,2)*D3</f>
        <v>1628.3000000000002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4</v>
      </c>
      <c r="B3" s="31" t="s">
        <v>34</v>
      </c>
      <c r="C3" s="33" t="s">
        <v>6</v>
      </c>
      <c r="D3" s="33">
        <v>10</v>
      </c>
      <c r="E3" s="34">
        <f>IF(C20&lt;=25%,D20,MIN(E20:F20))</f>
        <v>71.73</v>
      </c>
      <c r="F3" s="34">
        <f>MIN(H3:H17)</f>
        <v>62.23</v>
      </c>
      <c r="G3" s="5" t="s">
        <v>150</v>
      </c>
      <c r="H3" s="16">
        <v>71.39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160</v>
      </c>
      <c r="H4" s="16">
        <v>77.3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167</v>
      </c>
      <c r="H5" s="16">
        <v>76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168</v>
      </c>
      <c r="H6" s="16">
        <v>62.23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6.8221062241314696</v>
      </c>
      <c r="B20" s="8">
        <f>COUNT(H3:H17)</f>
        <v>4</v>
      </c>
      <c r="C20" s="9">
        <f>IF(B20&lt;2,"n/a",(A20/D20))</f>
        <v>9.5108130825755879E-2</v>
      </c>
      <c r="D20" s="10">
        <f>IFERROR(ROUND(AVERAGE(H3:H17),2),"")</f>
        <v>71.73</v>
      </c>
      <c r="E20" s="15" t="str">
        <f>IFERROR(ROUND(IF(B20&lt;2,"n/a",(IF(C20&lt;=25%,"n/a",AVERAGE(I3:I17)))),2),"n/a")</f>
        <v>n/a</v>
      </c>
      <c r="F20" s="10">
        <f>IFERROR(ROUND(MEDIAN(H3:H17),2),"")</f>
        <v>73.7</v>
      </c>
      <c r="G20" s="11" t="str">
        <f>IFERROR(INDEX(G3:G17,MATCH(H20,H3:H17,0)),"")</f>
        <v>CARTUCHO FÁCIL.COM</v>
      </c>
      <c r="H20" s="12">
        <f>F3</f>
        <v>62.23</v>
      </c>
    </row>
    <row r="22" spans="1:9" x14ac:dyDescent="0.25">
      <c r="G22" s="13" t="s">
        <v>19</v>
      </c>
      <c r="H22" s="14">
        <f>IF(C20&lt;=25%,D20,MIN(E20:F20))</f>
        <v>71.73</v>
      </c>
    </row>
    <row r="23" spans="1:9" x14ac:dyDescent="0.25">
      <c r="G23" s="13" t="s">
        <v>5</v>
      </c>
      <c r="H23" s="14">
        <f>ROUND(H22,2)*D3</f>
        <v>717.30000000000007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5</v>
      </c>
      <c r="B3" s="31" t="s">
        <v>35</v>
      </c>
      <c r="C3" s="33" t="s">
        <v>6</v>
      </c>
      <c r="D3" s="33">
        <v>30</v>
      </c>
      <c r="E3" s="34">
        <f>IF(C20&lt;=25%,D20,MIN(E20:F20))</f>
        <v>96.19</v>
      </c>
      <c r="F3" s="34">
        <f>MIN(H3:H17)</f>
        <v>44</v>
      </c>
      <c r="G3" s="5" t="s">
        <v>159</v>
      </c>
      <c r="H3" s="16">
        <v>110.67</v>
      </c>
      <c r="I3" s="17">
        <f>IF(H3="","",(IF($C$20&lt;25%,"n/a",IF(H3&lt;=($D$20+$A$20),H3,"Descartado"))))</f>
        <v>110.67</v>
      </c>
    </row>
    <row r="4" spans="1:9" x14ac:dyDescent="0.25">
      <c r="A4" s="35"/>
      <c r="B4" s="32"/>
      <c r="C4" s="33"/>
      <c r="D4" s="33"/>
      <c r="E4" s="34"/>
      <c r="F4" s="34"/>
      <c r="G4" s="5" t="s">
        <v>160</v>
      </c>
      <c r="H4" s="16">
        <v>97.1</v>
      </c>
      <c r="I4" s="17">
        <f t="shared" ref="I4:I17" si="0">IF(H4="","",(IF($C$20&lt;25%,"n/a",IF(H4&lt;=($D$20+$A$20),H4,"Descartado"))))</f>
        <v>97.1</v>
      </c>
    </row>
    <row r="5" spans="1:9" x14ac:dyDescent="0.25">
      <c r="A5" s="35"/>
      <c r="B5" s="32"/>
      <c r="C5" s="33"/>
      <c r="D5" s="33"/>
      <c r="E5" s="34"/>
      <c r="F5" s="34"/>
      <c r="G5" s="5" t="s">
        <v>166</v>
      </c>
      <c r="H5" s="16">
        <v>44</v>
      </c>
      <c r="I5" s="17">
        <f t="shared" si="0"/>
        <v>44</v>
      </c>
    </row>
    <row r="6" spans="1:9" x14ac:dyDescent="0.25">
      <c r="A6" s="35"/>
      <c r="B6" s="32"/>
      <c r="C6" s="33"/>
      <c r="D6" s="33"/>
      <c r="E6" s="34"/>
      <c r="F6" s="34"/>
      <c r="G6" s="5" t="s">
        <v>167</v>
      </c>
      <c r="H6" s="16">
        <v>133</v>
      </c>
      <c r="I6" s="17">
        <f t="shared" si="0"/>
        <v>133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37.812126251596446</v>
      </c>
      <c r="B20" s="8">
        <f>COUNT(H3:H17)</f>
        <v>4</v>
      </c>
      <c r="C20" s="9">
        <f>IF(B20&lt;2,"n/a",(A20/D20))</f>
        <v>0.39309830805277518</v>
      </c>
      <c r="D20" s="10">
        <f>IFERROR(ROUND(AVERAGE(H3:H17),2),"")</f>
        <v>96.19</v>
      </c>
      <c r="E20" s="15">
        <f>IFERROR(ROUND(IF(B20&lt;2,"n/a",(IF(C20&lt;=25%,"n/a",AVERAGE(I3:I17)))),2),"n/a")</f>
        <v>96.19</v>
      </c>
      <c r="F20" s="10">
        <f>IFERROR(ROUND(MEDIAN(H3:H17),2),"")</f>
        <v>103.89</v>
      </c>
      <c r="G20" s="11" t="str">
        <f>IFERROR(INDEX(G3:G17,MATCH(H20,H3:H17,0)),"")</f>
        <v xml:space="preserve">CARTUCHO E CIA </v>
      </c>
      <c r="H20" s="12">
        <f>F3</f>
        <v>44</v>
      </c>
    </row>
    <row r="22" spans="1:9" x14ac:dyDescent="0.25">
      <c r="G22" s="13" t="s">
        <v>19</v>
      </c>
      <c r="H22" s="14">
        <f>IF(C20&lt;=25%,D20,MIN(E20:F20))</f>
        <v>96.19</v>
      </c>
    </row>
    <row r="23" spans="1:9" x14ac:dyDescent="0.25">
      <c r="G23" s="13" t="s">
        <v>5</v>
      </c>
      <c r="H23" s="14">
        <f>ROUND(H22,2)*D3</f>
        <v>2885.7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0" sqref="B3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6</v>
      </c>
      <c r="B3" s="31" t="s">
        <v>36</v>
      </c>
      <c r="C3" s="33" t="s">
        <v>6</v>
      </c>
      <c r="D3" s="33">
        <v>100</v>
      </c>
      <c r="E3" s="34">
        <f>IF(C20&lt;=25%,D20,MIN(E20:F20))</f>
        <v>78.040000000000006</v>
      </c>
      <c r="F3" s="34">
        <f>MIN(H3:H17)</f>
        <v>48</v>
      </c>
      <c r="G3" s="5" t="s">
        <v>150</v>
      </c>
      <c r="H3" s="16">
        <v>133.18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2"/>
      <c r="C4" s="33"/>
      <c r="D4" s="33"/>
      <c r="E4" s="34"/>
      <c r="F4" s="34"/>
      <c r="G4" s="5" t="s">
        <v>162</v>
      </c>
      <c r="H4" s="16">
        <v>70.56</v>
      </c>
      <c r="I4" s="17">
        <f t="shared" ref="I4:I17" si="0">IF(H4="","",(IF($C$20&lt;25%,"n/a",IF(H4&lt;=($D$20+$A$20),H4,"Descartado"))))</f>
        <v>70.56</v>
      </c>
    </row>
    <row r="5" spans="1:9" x14ac:dyDescent="0.25">
      <c r="A5" s="35"/>
      <c r="B5" s="32"/>
      <c r="C5" s="33"/>
      <c r="D5" s="33"/>
      <c r="E5" s="34"/>
      <c r="F5" s="34"/>
      <c r="G5" s="5" t="s">
        <v>163</v>
      </c>
      <c r="H5" s="16">
        <v>87.76</v>
      </c>
      <c r="I5" s="17">
        <f t="shared" si="0"/>
        <v>87.76</v>
      </c>
    </row>
    <row r="6" spans="1:9" x14ac:dyDescent="0.25">
      <c r="A6" s="35"/>
      <c r="B6" s="32"/>
      <c r="C6" s="33"/>
      <c r="D6" s="33"/>
      <c r="E6" s="34"/>
      <c r="F6" s="34"/>
      <c r="G6" s="5" t="s">
        <v>164</v>
      </c>
      <c r="H6" s="16">
        <v>105.85</v>
      </c>
      <c r="I6" s="17">
        <f t="shared" si="0"/>
        <v>105.85</v>
      </c>
    </row>
    <row r="7" spans="1:9" x14ac:dyDescent="0.25">
      <c r="A7" s="35"/>
      <c r="B7" s="32"/>
      <c r="C7" s="33"/>
      <c r="D7" s="33"/>
      <c r="E7" s="34"/>
      <c r="F7" s="34"/>
      <c r="G7" s="5" t="s">
        <v>165</v>
      </c>
      <c r="H7" s="16">
        <v>48</v>
      </c>
      <c r="I7" s="17">
        <f t="shared" si="0"/>
        <v>48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32.627984920923325</v>
      </c>
      <c r="B20" s="8">
        <f>COUNT(H3:H17)</f>
        <v>5</v>
      </c>
      <c r="C20" s="9">
        <f>IF(B20&lt;2,"n/a",(A20/D20))</f>
        <v>0.36631845650525796</v>
      </c>
      <c r="D20" s="10">
        <f>IFERROR(ROUND(AVERAGE(H3:H17),2),"")</f>
        <v>89.07</v>
      </c>
      <c r="E20" s="15">
        <f>IFERROR(ROUND(IF(B20&lt;2,"n/a",(IF(C20&lt;=25%,"n/a",AVERAGE(I3:I17)))),2),"n/a")</f>
        <v>78.040000000000006</v>
      </c>
      <c r="F20" s="10">
        <f>IFERROR(ROUND(MEDIAN(H3:H17),2),"")</f>
        <v>87.76</v>
      </c>
      <c r="G20" s="11" t="str">
        <f>IFERROR(INDEX(G3:G17,MATCH(H20,H3:H17,0)),"")</f>
        <v>CARTUCHO E CIA</v>
      </c>
      <c r="H20" s="12">
        <f>F3</f>
        <v>48</v>
      </c>
    </row>
    <row r="22" spans="1:9" x14ac:dyDescent="0.25">
      <c r="G22" s="13" t="s">
        <v>19</v>
      </c>
      <c r="H22" s="14">
        <f>IF(C20&lt;=25%,D20,MIN(E20:F20))</f>
        <v>78.040000000000006</v>
      </c>
    </row>
    <row r="23" spans="1:9" x14ac:dyDescent="0.25">
      <c r="G23" s="13" t="s">
        <v>5</v>
      </c>
      <c r="H23" s="14">
        <f>ROUND(H22,2)*D3</f>
        <v>7804.0000000000009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7</v>
      </c>
      <c r="B3" s="31" t="s">
        <v>37</v>
      </c>
      <c r="C3" s="33" t="s">
        <v>6</v>
      </c>
      <c r="D3" s="33">
        <v>30</v>
      </c>
      <c r="E3" s="34">
        <f>IF(C20&lt;=25%,D20,MIN(E20:F20))</f>
        <v>128.82</v>
      </c>
      <c r="F3" s="34">
        <f>MIN(H3:H17)</f>
        <v>116.7</v>
      </c>
      <c r="G3" s="5" t="s">
        <v>149</v>
      </c>
      <c r="H3" s="16">
        <v>461.7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2"/>
      <c r="C4" s="33"/>
      <c r="D4" s="33"/>
      <c r="E4" s="34"/>
      <c r="F4" s="34"/>
      <c r="G4" s="5" t="s">
        <v>150</v>
      </c>
      <c r="H4" s="16">
        <v>137.97</v>
      </c>
      <c r="I4" s="17">
        <f t="shared" ref="I4:I17" si="0">IF(H4="","",(IF($C$20&lt;25%,"n/a",IF(H4&lt;=($D$20+$A$20),H4,"Descartado"))))</f>
        <v>137.97</v>
      </c>
    </row>
    <row r="5" spans="1:9" x14ac:dyDescent="0.25">
      <c r="A5" s="35"/>
      <c r="B5" s="32"/>
      <c r="C5" s="33"/>
      <c r="D5" s="33"/>
      <c r="E5" s="34"/>
      <c r="F5" s="34"/>
      <c r="G5" s="5" t="s">
        <v>159</v>
      </c>
      <c r="H5" s="16">
        <v>130.11000000000001</v>
      </c>
      <c r="I5" s="17">
        <f t="shared" si="0"/>
        <v>130.11000000000001</v>
      </c>
    </row>
    <row r="6" spans="1:9" x14ac:dyDescent="0.25">
      <c r="A6" s="35"/>
      <c r="B6" s="32"/>
      <c r="C6" s="33"/>
      <c r="D6" s="33"/>
      <c r="E6" s="34"/>
      <c r="F6" s="34"/>
      <c r="G6" s="5" t="s">
        <v>160</v>
      </c>
      <c r="H6" s="16">
        <v>130.5</v>
      </c>
      <c r="I6" s="17">
        <f t="shared" si="0"/>
        <v>130.5</v>
      </c>
    </row>
    <row r="7" spans="1:9" x14ac:dyDescent="0.25">
      <c r="A7" s="35"/>
      <c r="B7" s="32"/>
      <c r="C7" s="33"/>
      <c r="D7" s="33"/>
      <c r="E7" s="34"/>
      <c r="F7" s="34"/>
      <c r="G7" s="5" t="s">
        <v>161</v>
      </c>
      <c r="H7" s="16">
        <v>116.7</v>
      </c>
      <c r="I7" s="17">
        <f t="shared" si="0"/>
        <v>116.7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149.06573962517342</v>
      </c>
      <c r="B20" s="8">
        <f>COUNT(H3:H17)</f>
        <v>5</v>
      </c>
      <c r="C20" s="9">
        <f>IF(B20&lt;2,"n/a",(A20/D20))</f>
        <v>0.76287481896199294</v>
      </c>
      <c r="D20" s="10">
        <f>IFERROR(ROUND(AVERAGE(H3:H17),2),"")</f>
        <v>195.4</v>
      </c>
      <c r="E20" s="15">
        <f>IFERROR(ROUND(IF(B20&lt;2,"n/a",(IF(C20&lt;=25%,"n/a",AVERAGE(I3:I17)))),2),"n/a")</f>
        <v>128.82</v>
      </c>
      <c r="F20" s="10">
        <f>IFERROR(ROUND(MEDIAN(H3:H17),2),"")</f>
        <v>130.5</v>
      </c>
      <c r="G20" s="11" t="str">
        <f>IFERROR(INDEX(G3:G17,MATCH(H20,H3:H17,0)),"")</f>
        <v>INTERSUPRI</v>
      </c>
      <c r="H20" s="12">
        <f>F3</f>
        <v>116.7</v>
      </c>
    </row>
    <row r="22" spans="1:9" x14ac:dyDescent="0.25">
      <c r="G22" s="13" t="s">
        <v>19</v>
      </c>
      <c r="H22" s="14">
        <f>IF(C20&lt;=25%,D20,MIN(E20:F20))</f>
        <v>128.82</v>
      </c>
    </row>
    <row r="23" spans="1:9" x14ac:dyDescent="0.25">
      <c r="G23" s="13" t="s">
        <v>5</v>
      </c>
      <c r="H23" s="14">
        <f>ROUND(H22,2)*D3</f>
        <v>3864.6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I6" sqref="I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8</v>
      </c>
      <c r="B3" s="31" t="s">
        <v>38</v>
      </c>
      <c r="C3" s="33" t="s">
        <v>6</v>
      </c>
      <c r="D3" s="33">
        <v>70</v>
      </c>
      <c r="E3" s="34">
        <f>IF(C20&lt;=25%,D20,MIN(E20:F20))</f>
        <v>62.97</v>
      </c>
      <c r="F3" s="34">
        <f>MIN(H3:H17)</f>
        <v>51.21</v>
      </c>
      <c r="G3" s="5" t="s">
        <v>155</v>
      </c>
      <c r="H3" s="16">
        <v>71.86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156</v>
      </c>
      <c r="H4" s="16">
        <v>68.44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157</v>
      </c>
      <c r="H5" s="16">
        <v>60.36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158</v>
      </c>
      <c r="H6" s="16">
        <v>51.21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9.2025843290529998</v>
      </c>
      <c r="B20" s="8">
        <f>COUNT(H3:H17)</f>
        <v>4</v>
      </c>
      <c r="C20" s="9">
        <f>IF(B20&lt;2,"n/a",(A20/D20))</f>
        <v>0.14614235872721931</v>
      </c>
      <c r="D20" s="10">
        <f>IFERROR(ROUND(AVERAGE(H3:H17),2),"")</f>
        <v>62.97</v>
      </c>
      <c r="E20" s="15" t="str">
        <f>IFERROR(ROUND(IF(B20&lt;2,"n/a",(IF(C20&lt;=25%,"n/a",AVERAGE(I3:I17)))),2),"n/a")</f>
        <v>n/a</v>
      </c>
      <c r="F20" s="10">
        <f>IFERROR(ROUND(MEDIAN(H3:H17),2),"")</f>
        <v>64.400000000000006</v>
      </c>
      <c r="G20" s="11" t="str">
        <f>IFERROR(INDEX(G3:G17,MATCH(H20,H3:H17,0)),"")</f>
        <v>INTER SUPRI</v>
      </c>
      <c r="H20" s="12">
        <f>F3</f>
        <v>51.21</v>
      </c>
    </row>
    <row r="22" spans="1:9" x14ac:dyDescent="0.25">
      <c r="G22" s="13" t="s">
        <v>19</v>
      </c>
      <c r="H22" s="14">
        <f>IF(C20&lt;=25%,D20,MIN(E20:F20))</f>
        <v>62.97</v>
      </c>
    </row>
    <row r="23" spans="1:9" x14ac:dyDescent="0.25">
      <c r="G23" s="13" t="s">
        <v>5</v>
      </c>
      <c r="H23" s="14">
        <f>ROUND(H22,2)*D3</f>
        <v>4407.8999999999996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x14ac:dyDescent="0.25">
      <c r="A3" s="35">
        <v>9</v>
      </c>
      <c r="B3" s="31" t="s">
        <v>39</v>
      </c>
      <c r="C3" s="33" t="s">
        <v>6</v>
      </c>
      <c r="D3" s="33">
        <v>30</v>
      </c>
      <c r="E3" s="34">
        <f>IF(C20&lt;=25%,D20,MIN(E20:F20))</f>
        <v>262.68</v>
      </c>
      <c r="F3" s="34">
        <f>MIN(H3:H17)</f>
        <v>129.30000000000001</v>
      </c>
      <c r="G3" s="5" t="s">
        <v>149</v>
      </c>
      <c r="H3" s="16">
        <v>432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2"/>
      <c r="C4" s="33"/>
      <c r="D4" s="33"/>
      <c r="E4" s="34"/>
      <c r="F4" s="34"/>
      <c r="G4" s="5" t="s">
        <v>150</v>
      </c>
      <c r="H4" s="16">
        <v>300.36</v>
      </c>
      <c r="I4" s="17">
        <f t="shared" ref="I4:I17" si="0">IF(H4="","",(IF($C$20&lt;25%,"n/a",IF(H4&lt;=($D$20+$A$20),H4,"Descartado"))))</f>
        <v>300.36</v>
      </c>
    </row>
    <row r="5" spans="1:9" x14ac:dyDescent="0.25">
      <c r="A5" s="35"/>
      <c r="B5" s="32"/>
      <c r="C5" s="33"/>
      <c r="D5" s="33"/>
      <c r="E5" s="34"/>
      <c r="F5" s="34"/>
      <c r="G5" s="5" t="s">
        <v>151</v>
      </c>
      <c r="H5" s="16">
        <v>392.75</v>
      </c>
      <c r="I5" s="17">
        <f t="shared" si="0"/>
        <v>392.75</v>
      </c>
    </row>
    <row r="6" spans="1:9" x14ac:dyDescent="0.25">
      <c r="A6" s="35"/>
      <c r="B6" s="32"/>
      <c r="C6" s="33"/>
      <c r="D6" s="33"/>
      <c r="E6" s="34"/>
      <c r="F6" s="34"/>
      <c r="G6" s="5" t="s">
        <v>152</v>
      </c>
      <c r="H6" s="16">
        <v>129.30000000000001</v>
      </c>
      <c r="I6" s="17">
        <f t="shared" si="0"/>
        <v>129.30000000000001</v>
      </c>
    </row>
    <row r="7" spans="1:9" x14ac:dyDescent="0.25">
      <c r="A7" s="35"/>
      <c r="B7" s="32"/>
      <c r="C7" s="33"/>
      <c r="D7" s="33"/>
      <c r="E7" s="34"/>
      <c r="F7" s="34"/>
      <c r="G7" s="5" t="s">
        <v>153</v>
      </c>
      <c r="H7" s="16">
        <v>211.1</v>
      </c>
      <c r="I7" s="17">
        <f t="shared" si="0"/>
        <v>211.1</v>
      </c>
    </row>
    <row r="8" spans="1:9" x14ac:dyDescent="0.25">
      <c r="A8" s="35"/>
      <c r="B8" s="32"/>
      <c r="C8" s="33"/>
      <c r="D8" s="33"/>
      <c r="E8" s="34"/>
      <c r="F8" s="34"/>
      <c r="G8" s="5" t="s">
        <v>154</v>
      </c>
      <c r="H8" s="16">
        <v>279.89999999999998</v>
      </c>
      <c r="I8" s="17">
        <f t="shared" si="0"/>
        <v>279.89999999999998</v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13</v>
      </c>
      <c r="B19" s="6" t="s">
        <v>14</v>
      </c>
      <c r="C19" s="6" t="s">
        <v>24</v>
      </c>
      <c r="D19" s="6" t="s">
        <v>15</v>
      </c>
      <c r="E19" s="6" t="s">
        <v>16</v>
      </c>
      <c r="F19" s="6" t="s">
        <v>17</v>
      </c>
      <c r="G19" s="29" t="s">
        <v>18</v>
      </c>
      <c r="H19" s="29"/>
    </row>
    <row r="20" spans="1:9" x14ac:dyDescent="0.25">
      <c r="A20" s="8">
        <f>IF(B20&lt;2,"n/a",(_xlfn.STDEV.S(H3:H17)))</f>
        <v>112.228092813995</v>
      </c>
      <c r="B20" s="8">
        <f>COUNT(H3:H17)</f>
        <v>6</v>
      </c>
      <c r="C20" s="9">
        <f>IF(B20&lt;2,"n/a",(A20/D20))</f>
        <v>0.38579612517701967</v>
      </c>
      <c r="D20" s="10">
        <f>IFERROR(ROUND(AVERAGE(H3:H17),2),"")</f>
        <v>290.89999999999998</v>
      </c>
      <c r="E20" s="15">
        <f>IFERROR(ROUND(IF(B20&lt;2,"n/a",(IF(C20&lt;=25%,"n/a",AVERAGE(I3:I17)))),2),"n/a")</f>
        <v>262.68</v>
      </c>
      <c r="F20" s="10">
        <f>IFERROR(ROUND(MEDIAN(H3:H17),2),"")</f>
        <v>290.13</v>
      </c>
      <c r="G20" s="11" t="str">
        <f>IFERROR(INDEX(G3:G17,MATCH(H20,H3:H17,0)),"")</f>
        <v>CASA DAS IMPRESSORAS</v>
      </c>
      <c r="H20" s="12">
        <f>F3</f>
        <v>129.30000000000001</v>
      </c>
    </row>
    <row r="22" spans="1:9" x14ac:dyDescent="0.25">
      <c r="G22" s="13" t="s">
        <v>19</v>
      </c>
      <c r="H22" s="14">
        <f>IF(C20&lt;=25%,D20,MIN(E20:F20))</f>
        <v>262.68</v>
      </c>
    </row>
    <row r="23" spans="1:9" x14ac:dyDescent="0.25">
      <c r="G23" s="13" t="s">
        <v>5</v>
      </c>
      <c r="H23" s="14">
        <f>ROUND(H22,2)*D3</f>
        <v>7880.4000000000005</v>
      </c>
    </row>
    <row r="25" spans="1:9" x14ac:dyDescent="0.25">
      <c r="A25" s="2" t="s">
        <v>27</v>
      </c>
    </row>
    <row r="26" spans="1:9" x14ac:dyDescent="0.25">
      <c r="A26" s="2" t="s">
        <v>25</v>
      </c>
    </row>
    <row r="27" spans="1:9" x14ac:dyDescent="0.25">
      <c r="A27" s="2" t="s">
        <v>20</v>
      </c>
    </row>
    <row r="28" spans="1:9" x14ac:dyDescent="0.25">
      <c r="A28" s="2" t="s">
        <v>21</v>
      </c>
    </row>
    <row r="29" spans="1:9" x14ac:dyDescent="0.25">
      <c r="A29" s="2" t="s">
        <v>22</v>
      </c>
    </row>
    <row r="30" spans="1:9" x14ac:dyDescent="0.25">
      <c r="A30" s="2" t="s">
        <v>23</v>
      </c>
    </row>
    <row r="31" spans="1:9" x14ac:dyDescent="0.25">
      <c r="A31" s="2" t="s">
        <v>26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2</vt:i4>
      </vt:variant>
    </vt:vector>
  </HeadingPairs>
  <TitlesOfParts>
    <vt:vector size="2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Marta de Almeida Santos</cp:lastModifiedBy>
  <cp:lastPrinted>2024-05-10T14:40:13Z</cp:lastPrinted>
  <dcterms:created xsi:type="dcterms:W3CDTF">2023-11-07T17:10:34Z</dcterms:created>
  <dcterms:modified xsi:type="dcterms:W3CDTF">2024-05-13T17:35:01Z</dcterms:modified>
</cp:coreProperties>
</file>