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2" activeTab="2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20" r:id="rId17"/>
    <sheet name="Item18" sheetId="21" r:id="rId18"/>
    <sheet name="Item19" sheetId="22" r:id="rId19"/>
    <sheet name="Item20" sheetId="24" r:id="rId20"/>
    <sheet name="Item21" sheetId="25" r:id="rId21"/>
    <sheet name="Item22" sheetId="26" r:id="rId22"/>
    <sheet name="Item23" sheetId="27" r:id="rId23"/>
    <sheet name="Item24" sheetId="28" r:id="rId24"/>
    <sheet name="Item25" sheetId="29" r:id="rId25"/>
    <sheet name="Total" sheetId="31" r:id="rId26"/>
  </sheets>
  <definedNames>
    <definedName name="_xlnm.Print_Area" localSheetId="25">Total!$A$1:$I$36</definedName>
    <definedName name="_xlnm.Print_Titles" localSheetId="25">Total!$1:$2</definedName>
  </definedNames>
  <calcPr calcId="145621"/>
</workbook>
</file>

<file path=xl/calcChain.xml><?xml version="1.0" encoding="utf-8"?>
<calcChain xmlns="http://schemas.openxmlformats.org/spreadsheetml/2006/main">
  <c r="F34" i="31" l="1"/>
  <c r="F35" i="31"/>
  <c r="F36" i="31"/>
  <c r="F37" i="31"/>
  <c r="G26" i="27" l="1"/>
  <c r="G25" i="27"/>
  <c r="H6" i="31" l="1"/>
  <c r="B23" i="20"/>
  <c r="C23" i="20" s="1"/>
  <c r="D23" i="20" s="1"/>
  <c r="I7" i="6" l="1"/>
  <c r="I8" i="6"/>
  <c r="I9" i="6"/>
  <c r="I10" i="6"/>
  <c r="I11" i="6"/>
  <c r="I12" i="6"/>
  <c r="I13" i="6"/>
  <c r="I14" i="6"/>
  <c r="I15" i="6"/>
  <c r="I16" i="6"/>
  <c r="H4" i="8" l="1"/>
  <c r="H5" i="9" l="1"/>
  <c r="H11" i="31"/>
  <c r="E3" i="31" l="1"/>
  <c r="G3" i="31" s="1"/>
  <c r="E32" i="31"/>
  <c r="E27" i="31"/>
  <c r="G27" i="31" s="1"/>
  <c r="C27" i="31"/>
  <c r="B27" i="31"/>
  <c r="E26" i="31"/>
  <c r="G26" i="31" s="1"/>
  <c r="C26" i="31"/>
  <c r="B26" i="31"/>
  <c r="E25" i="31"/>
  <c r="G25" i="31" s="1"/>
  <c r="C25" i="31"/>
  <c r="B25" i="31"/>
  <c r="E24" i="31"/>
  <c r="G24" i="31" s="1"/>
  <c r="C24" i="31"/>
  <c r="B24" i="31"/>
  <c r="E23" i="31"/>
  <c r="G23" i="31" s="1"/>
  <c r="D23" i="31"/>
  <c r="C23" i="31"/>
  <c r="B23" i="31"/>
  <c r="E22" i="31"/>
  <c r="G22" i="31" s="1"/>
  <c r="C22" i="31"/>
  <c r="B22" i="31"/>
  <c r="E21" i="31"/>
  <c r="G21" i="31" s="1"/>
  <c r="D21" i="31"/>
  <c r="C21" i="31"/>
  <c r="B21" i="31"/>
  <c r="E20" i="31"/>
  <c r="G20" i="31" s="1"/>
  <c r="D20" i="31"/>
  <c r="C20" i="31"/>
  <c r="B20" i="31"/>
  <c r="E19" i="31"/>
  <c r="G19" i="31" s="1"/>
  <c r="D19" i="31"/>
  <c r="C19" i="31"/>
  <c r="B19" i="31"/>
  <c r="E18" i="31"/>
  <c r="G18" i="31" s="1"/>
  <c r="D18" i="31"/>
  <c r="C18" i="31"/>
  <c r="B18" i="31"/>
  <c r="E17" i="31"/>
  <c r="G17" i="31" s="1"/>
  <c r="D17" i="31"/>
  <c r="C17" i="31"/>
  <c r="B17" i="31"/>
  <c r="E16" i="31"/>
  <c r="G16" i="31" s="1"/>
  <c r="D16" i="31"/>
  <c r="C16" i="31"/>
  <c r="B16" i="31"/>
  <c r="E15" i="31"/>
  <c r="G15" i="31" s="1"/>
  <c r="D15" i="31"/>
  <c r="C15" i="31"/>
  <c r="B15" i="31"/>
  <c r="E14" i="31"/>
  <c r="G14" i="31" s="1"/>
  <c r="D14" i="31"/>
  <c r="C14" i="31"/>
  <c r="B14" i="31"/>
  <c r="E13" i="31"/>
  <c r="G13" i="31" s="1"/>
  <c r="D13" i="31"/>
  <c r="C13" i="31"/>
  <c r="B13" i="31"/>
  <c r="E12" i="31"/>
  <c r="G12" i="31" s="1"/>
  <c r="D12" i="31"/>
  <c r="C12" i="31"/>
  <c r="B12" i="31"/>
  <c r="E11" i="31"/>
  <c r="G11" i="31" s="1"/>
  <c r="I11" i="31" s="1"/>
  <c r="D11" i="31"/>
  <c r="C11" i="31"/>
  <c r="B11" i="31"/>
  <c r="E10" i="31"/>
  <c r="G10" i="31" s="1"/>
  <c r="D10" i="31"/>
  <c r="C10" i="31"/>
  <c r="B10" i="31"/>
  <c r="E9" i="31"/>
  <c r="G9" i="31" s="1"/>
  <c r="D9" i="31"/>
  <c r="C9" i="31"/>
  <c r="B9" i="31"/>
  <c r="E8" i="31"/>
  <c r="D8" i="31"/>
  <c r="C8" i="31"/>
  <c r="B8" i="31"/>
  <c r="E7" i="31"/>
  <c r="D7" i="31"/>
  <c r="C7" i="31"/>
  <c r="B7" i="31"/>
  <c r="E6" i="31"/>
  <c r="D6" i="31"/>
  <c r="C6" i="31"/>
  <c r="B6" i="31"/>
  <c r="E5" i="31"/>
  <c r="G5" i="31" s="1"/>
  <c r="D5" i="31"/>
  <c r="C5" i="31"/>
  <c r="B5" i="31"/>
  <c r="E4" i="31"/>
  <c r="G4" i="31" s="1"/>
  <c r="D4" i="31"/>
  <c r="C4" i="31"/>
  <c r="B4" i="31"/>
  <c r="C3" i="31"/>
  <c r="B3" i="31"/>
  <c r="I6" i="31" l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8" l="1"/>
  <c r="I4" i="28" s="1"/>
  <c r="C20" i="24"/>
  <c r="I8" i="24" s="1"/>
  <c r="I15" i="28"/>
  <c r="I9" i="28"/>
  <c r="I14" i="28"/>
  <c r="I13" i="28"/>
  <c r="I16" i="28"/>
  <c r="I12" i="28"/>
  <c r="I6" i="28"/>
  <c r="I17" i="28"/>
  <c r="I11" i="28"/>
  <c r="I10" i="28"/>
  <c r="I15" i="24"/>
  <c r="I14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I5" i="28" l="1"/>
  <c r="I7" i="28"/>
  <c r="I8" i="28"/>
  <c r="E20" i="28" s="1"/>
  <c r="H22" i="28" s="1"/>
  <c r="H23" i="28" s="1"/>
  <c r="I3" i="28"/>
  <c r="I13" i="24"/>
  <c r="C20" i="14"/>
  <c r="I3" i="14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A20" i="7"/>
  <c r="C20" i="7" s="1"/>
  <c r="I16" i="7" s="1"/>
  <c r="A20" i="8"/>
  <c r="C20" i="8" s="1"/>
  <c r="I4" i="8" s="1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7" i="14"/>
  <c r="I12" i="14"/>
  <c r="I17" i="14"/>
  <c r="I11" i="14"/>
  <c r="I5" i="14"/>
  <c r="I15" i="18"/>
  <c r="I9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15" i="9"/>
  <c r="I15" i="7"/>
  <c r="I10" i="9"/>
  <c r="I17" i="7"/>
  <c r="I11" i="9"/>
  <c r="I17" i="9"/>
  <c r="I17" i="6"/>
  <c r="I12" i="5"/>
  <c r="I17" i="5"/>
  <c r="I16" i="5"/>
  <c r="I13" i="5"/>
  <c r="I15" i="5"/>
  <c r="I14" i="5"/>
  <c r="A20" i="4"/>
  <c r="C20" i="4" s="1"/>
  <c r="I5" i="4" s="1"/>
  <c r="C20" i="1"/>
  <c r="I11" i="5" l="1"/>
  <c r="I8" i="5"/>
  <c r="I6" i="16"/>
  <c r="I5" i="6"/>
  <c r="I6" i="6"/>
  <c r="E20" i="27"/>
  <c r="E3" i="27" s="1"/>
  <c r="I3" i="18"/>
  <c r="I9" i="9"/>
  <c r="I6" i="9"/>
  <c r="I12" i="9"/>
  <c r="I8" i="9"/>
  <c r="I5" i="9"/>
  <c r="I7" i="9"/>
  <c r="I3" i="6"/>
  <c r="I4" i="14"/>
  <c r="E20" i="14" s="1"/>
  <c r="H22" i="14" s="1"/>
  <c r="H23" i="14" s="1"/>
  <c r="I6" i="14"/>
  <c r="E3" i="28"/>
  <c r="H26" i="31" s="1"/>
  <c r="I26" i="31" s="1"/>
  <c r="E20" i="24"/>
  <c r="E3" i="24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E20" i="8" s="1"/>
  <c r="H22" i="8" s="1"/>
  <c r="H23" i="8" s="1"/>
  <c r="I3" i="8"/>
  <c r="I4" i="6"/>
  <c r="I3" i="5"/>
  <c r="I10" i="5"/>
  <c r="I4" i="5"/>
  <c r="I9" i="5"/>
  <c r="I7" i="5"/>
  <c r="I5" i="5"/>
  <c r="E20" i="29"/>
  <c r="H22" i="29" s="1"/>
  <c r="H23" i="29" s="1"/>
  <c r="E3" i="26"/>
  <c r="H24" i="31" s="1"/>
  <c r="I24" i="31" s="1"/>
  <c r="E20" i="25"/>
  <c r="H22" i="25" s="1"/>
  <c r="H23" i="25" s="1"/>
  <c r="I11" i="22"/>
  <c r="I12" i="22"/>
  <c r="I9" i="22"/>
  <c r="I6" i="22"/>
  <c r="I5" i="22"/>
  <c r="I8" i="22"/>
  <c r="I4" i="22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6" l="1"/>
  <c r="H22" i="16" s="1"/>
  <c r="H23" i="16" s="1"/>
  <c r="E3" i="14"/>
  <c r="E20" i="22"/>
  <c r="H22" i="22" s="1"/>
  <c r="H23" i="22" s="1"/>
  <c r="H25" i="31"/>
  <c r="I25" i="31" s="1"/>
  <c r="H22" i="27"/>
  <c r="H23" i="27" s="1"/>
  <c r="H22" i="31"/>
  <c r="I22" i="31" s="1"/>
  <c r="E20" i="9"/>
  <c r="H22" i="9" s="1"/>
  <c r="H23" i="9" s="1"/>
  <c r="E20" i="6"/>
  <c r="H22" i="6" s="1"/>
  <c r="H23" i="6" s="1"/>
  <c r="H14" i="31"/>
  <c r="I14" i="31" s="1"/>
  <c r="H22" i="24"/>
  <c r="H23" i="24" s="1"/>
  <c r="E20" i="20"/>
  <c r="E3" i="20" s="1"/>
  <c r="H22" i="12"/>
  <c r="H23" i="12" s="1"/>
  <c r="E3" i="12"/>
  <c r="H12" i="31" s="1"/>
  <c r="I12" i="31" s="1"/>
  <c r="E3" i="8"/>
  <c r="H8" i="31" s="1"/>
  <c r="I8" i="31" s="1"/>
  <c r="E20" i="5"/>
  <c r="E3" i="5" s="1"/>
  <c r="H5" i="31" s="1"/>
  <c r="I5" i="31" s="1"/>
  <c r="E3" i="29"/>
  <c r="E3" i="25"/>
  <c r="E20" i="21"/>
  <c r="H22" i="21" s="1"/>
  <c r="H23" i="21" s="1"/>
  <c r="E3" i="18"/>
  <c r="E20" i="15"/>
  <c r="H22" i="15" s="1"/>
  <c r="H23" i="15" s="1"/>
  <c r="E20" i="13"/>
  <c r="E3" i="13" s="1"/>
  <c r="H13" i="31" s="1"/>
  <c r="I13" i="31" s="1"/>
  <c r="E20" i="11"/>
  <c r="H22" i="11" s="1"/>
  <c r="H23" i="11" s="1"/>
  <c r="E20" i="10"/>
  <c r="H22" i="10" s="1"/>
  <c r="H23" i="10" s="1"/>
  <c r="E20" i="7"/>
  <c r="E20" i="4"/>
  <c r="E3" i="4" s="1"/>
  <c r="E20" i="17"/>
  <c r="E20" i="1"/>
  <c r="H22" i="1" s="1"/>
  <c r="H23" i="1" s="1"/>
  <c r="E3" i="16" l="1"/>
  <c r="E3" i="22"/>
  <c r="H21" i="31" s="1"/>
  <c r="I21" i="31" s="1"/>
  <c r="H4" i="31"/>
  <c r="I4" i="31" s="1"/>
  <c r="H18" i="31"/>
  <c r="I18" i="31" s="1"/>
  <c r="H23" i="31"/>
  <c r="I23" i="31" s="1"/>
  <c r="E3" i="9"/>
  <c r="E3" i="6"/>
  <c r="H19" i="31"/>
  <c r="I19" i="31" s="1"/>
  <c r="H16" i="31"/>
  <c r="I16" i="31" s="1"/>
  <c r="H17" i="31"/>
  <c r="I17" i="31" s="1"/>
  <c r="H27" i="31"/>
  <c r="I27" i="31" s="1"/>
  <c r="H22" i="20"/>
  <c r="H23" i="20" s="1"/>
  <c r="E3" i="21"/>
  <c r="E3" i="15"/>
  <c r="H15" i="31" s="1"/>
  <c r="I15" i="31" s="1"/>
  <c r="H22" i="13"/>
  <c r="H23" i="13" s="1"/>
  <c r="E3" i="10"/>
  <c r="H10" i="31" s="1"/>
  <c r="I10" i="31" s="1"/>
  <c r="H22" i="5"/>
  <c r="H23" i="5" s="1"/>
  <c r="H22" i="4"/>
  <c r="H23" i="4" s="1"/>
  <c r="E3" i="11"/>
  <c r="H22" i="7"/>
  <c r="H23" i="7" s="1"/>
  <c r="E3" i="7"/>
  <c r="H22" i="17"/>
  <c r="H23" i="17" s="1"/>
  <c r="E3" i="17"/>
  <c r="E3" i="1"/>
  <c r="H3" i="31" s="1"/>
  <c r="I3" i="31" s="1"/>
  <c r="H9" i="31" l="1"/>
  <c r="I9" i="31" s="1"/>
  <c r="H7" i="31"/>
  <c r="I7" i="31" s="1"/>
  <c r="H20" i="31"/>
  <c r="I20" i="31" s="1"/>
  <c r="F30" i="31" l="1"/>
</calcChain>
</file>

<file path=xl/sharedStrings.xml><?xml version="1.0" encoding="utf-8"?>
<sst xmlns="http://schemas.openxmlformats.org/spreadsheetml/2006/main" count="853" uniqueCount="146">
  <si>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</si>
  <si>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</si>
  <si>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</si>
  <si>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</si>
  <si>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</si>
  <si>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</si>
  <si>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</si>
  <si>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</si>
  <si>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</si>
  <si>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</si>
  <si>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</si>
  <si>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</si>
  <si>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</si>
  <si>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</si>
  <si>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</si>
  <si>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</si>
  <si>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</si>
  <si>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</si>
  <si>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</si>
  <si>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</si>
  <si>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</si>
  <si>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</si>
  <si>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</si>
  <si>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</si>
  <si>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</si>
  <si>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</si>
  <si>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</si>
  <si>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</si>
  <si>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</si>
  <si>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</si>
  <si>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</si>
  <si>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</si>
  <si>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</si>
  <si>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</si>
  <si>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n/a</t>
  </si>
  <si>
    <t>metro</t>
  </si>
  <si>
    <t>Locação de tapume metálico, altura de 2,20m, 1 portão com largura de 5,0m,  instalados em local indicado em planta.
Período: 04 a 07/10/2024 – 1º turno (04 dias) 25 a 28/10/2024 – 2º turno (04 dias) (Se houver)
Local para instalação: área externa da Sede do TRE-BA.</t>
  </si>
  <si>
    <t>Locação de toldo de 4 (quatro) águas, na cor branca, com dimensões (6,00 x 6,00 x 2,45)m, estrutura em aço galvanizado, resistente a ventos; toldo em lona PVC, resistente às chuvas, reforçada com poliéster, com proteção antifungos, antimofo e anti-uv. A altura de 2,45m é da
testeira e não da cumeeira.
Período: 04 a 07/10/2024 – 1º turno (04 dias)
25 a 28/10/2024 – 2º turno (04 dias) (Se houver)
Local de instalação: CAP</t>
  </si>
  <si>
    <t>Sinalização em adesivo vinílico com fundo branco e letras pretas, tamanho 85 x 28 cm.
Quantidade: 9 unidades – 1º turno
                  9 unidades – 2º turno (Se houver)
Dizeres a serem definidos posteriormente.
Data de entrega: 04/10/2024 – 1º turno
25 /10/2024 – 2º turno (Se houver)
Local para instalação: fixação na entrada das salas e seções eleitorais.</t>
  </si>
  <si>
    <t>Faixa com as seguintes características:
􀀀 Confeccionadas em laminado, tipo polietileno, na cor branca;
􀀀 Texto em única cor (preto);
􀀀 Dimensões: 3,00m de comprimento e 0,70m de largura;
􀀀 Fixada em estrutura metálica “box truss”,
existente no local.
Quantidade: 01 unidade – 1º turno
                    01 unidade – 2º turno (Se houver)
Dizeres a serem definidos posteriormente.
Data de entrega: 04/10/2024 – 1º turno
25 /10/2024 – 2º turno (Se houver)
Local de instalação: sinalização na área externa da Sede.</t>
  </si>
  <si>
    <t>Sinalização em adesivo acrílico aquoso permanente.
Especificação do Liner (papel protetor):
􀀀 Papel couché siliconizado com gramatura de
150g;
􀀀 8m de comprimento e 2,20m de altura;
􀀀 Aplicação em estrutura de TS;
􀀀 Dizeres e imagens a serem definidos
posteriormente.
Quantidade: 01 unidade – 1º turno
01 unidade – 2º turno, caso ocorra e seja solicitado pela
Fiscalização
Data de entrega: 04/10/2024 – 1º turno
25 /10/2024 – 2º turno (Se houver)
Local de instalação: Área para entrevistas (ver planta).</t>
  </si>
  <si>
    <t>Locação de estrutura metálica “box truss” para fixação de faixa com dimensão de 3,00m de comprimento e 0,70m de largura, confeccionada em laminado, tipo polietileno. A faixa deve ficar com seu limite inferior a 0,50m do solo.
Período: 04 a 07/10/2024 – 1º turno (04 dias)
            25 a 28/10/2024 – 2º turno (04 dias) (Se houver)
Local de instalação: área externa da Sede do TRE-BA.</t>
  </si>
  <si>
    <t>Locação de pedestal com placa para identificação/sinalização de áreas, em material plástico de alta resistência, para fixação de sinalização com dimensão A4.
Período: 04 a 07/10/2024 – 1º turno (04 dias)
              25 a 28/10/2024 – 2º turno (04 dias) (Se houver)
Local de instalação Sede do TRE-BA.</t>
  </si>
  <si>
    <t>Carrinhos tipo plataforma (com as seguintes características: assoalho em aço ou madeira; capacidade mínima de carga: 600 kg; cabo de tração em forma de “T” com articulação e com altura mínima de 800 mm; 4 rodas de borracha maciça; comprimento: 1.000 a 1600 mm; largura: 600 a 900 mm))
Período: 30/09 a 07/10/2024 – 1º turno (08 dias)
              21 a 28/10/2024 – 2º turno (08 dias) (Se houver)
Local de instalação: Cartórios Eleitorais.</t>
  </si>
  <si>
    <t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04 a 07/10/2024 – 1º turno (04 dias)
              25 a 28/10/2024 – 2º turno (04 dias) (Se houver)
Local de instalação: Edifício Sede e Anexos.</t>
  </si>
  <si>
    <t>Locação de cadeira giratória, sem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 empresa contratada.
Período: 04 a 07/10/2024– 1º turno (04 dias)
              28 a 28/10/2024 – 2º turno (04) (Se houver)
Local de instalação: Edifício Sede e Anexos.</t>
  </si>
  <si>
    <t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27/09 a 07/10/2024 – (11 dias)
              14 a 28/10/2024 – (15 dias)
Local de instalação: Votação Paralela</t>
  </si>
  <si>
    <t>Locação de cadeira giratória, sem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
empresa contratada. 
Período: 27 a 07/10/2024 – (11 dias)
               14 a 28/10/2024 – (15 dias)
Local de instalação: Votação Paralela</t>
  </si>
  <si>
    <t>Locação de sanitários químicos portáteis, de uso individual, contendo: vaso sanitário (com tampa móvel no fundo, que evite a visualização de dejetos) e cuba; iluminação e ventilação interna; constituídos de material de alta densidade, que proporcionem grande resistência a choques e temperatura externa. Inclui também os serviços contínuos de:
a ) manutenção (abastecimento de produtos químicos, papel higiênico, sabonete líquido e papel toalha),
b ) higienização (recolhimentotransporte e destinação dos dejetos acumulados, através de caminhão de sucção e lavagem dos sanitários).
Período: 04 a 07/10/2024 – 1º turno (04 dias)
               25 a 28/10/2024 – 2º turno (04 dias) (Se houver)
Local de instalação: área externa da Sede do TRE-BA.</t>
  </si>
  <si>
    <t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30/09 a 08/10/2024 – 1º turno (09 dias)
             21/10 a 29/10/2024 – 2º turno (09 dias) (Se houver)
Local de instalação: MEZANINO ANEXO II - APURAÇÃO</t>
  </si>
  <si>
    <t>Locação de cadeira giratória, com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 empresa contratada.
Período: 30/09 a 08/10/2024 – 1º turno (09 dias)
             21/10 a 29/10/2024 – 2º turno (09 dias) (Se houver)
Local de instalação: MEZANINO ANEXO II - APURAÇÃO</t>
  </si>
  <si>
    <t>Locação de mesa quadrada (dimensão de 0,70m x 0,70m), em plástico (PVC), na cor branca, em bom estado de conservação e com identificação da empresa contratada.
Período: 04 a 07/10/2024 – 1º turno (04 dias)
              25 a 28/10/2024 – 2º turno (04 dias) (Se houver)
Local para instalação: Cartórios Eleitorais e AMAVE</t>
  </si>
  <si>
    <t>Locação de cadeiras fixas e sem braço, em plástico (PVC), na cor branca, em bom estado de conservação e com identificação da empresa contratada.
Período: 04 a 07/10/2024 – 1º turno (04 dias)
             25 a 28/10/2024 – 2º turno (04 dias) (Se houver)
Local para instalação: Cartórios Eleitorais e AMAVE</t>
  </si>
  <si>
    <t>Locação de aparelho de ar-condicionado 18.000 BTUs, 110V, com estrutura para sala em “octanorm”.
Obs: Os aparelhos devem ter mangueira para drenagem e recipiente para recepção de água.</t>
  </si>
  <si>
    <t>Forro para salas com estrutura em "octanorm" com fechamento em TS, com iluminação.</t>
  </si>
  <si>
    <t>m²</t>
  </si>
  <si>
    <t>Luminárias com duas lâmpadas LED T8, 18W, mínimo de 1600 lúmens cada, bivolt, luz branca (6000 ou 6500K), específicas para forro de estrutura em “octanorm”.</t>
  </si>
  <si>
    <t>Estrutura em “octanorm” fechamento em TS, h=2,20 (ver planta de detalhamento).
Obs.: com 8 portas com visor conforme detalhamento</t>
  </si>
  <si>
    <t>Estrutura em “octanorm” fechamento inferior em TS, e vidro a partir de 1 m de altura, h=2,20 (ver planta de detalhamento).</t>
  </si>
  <si>
    <t>Locação de organizadores de ambiente tipo “unifila”, altura mínima 1 metro.</t>
  </si>
  <si>
    <t>m</t>
  </si>
  <si>
    <t>Carpete novo na cor cinza ou marrom claro, para salas com estrutura em "octanorm" com fechamento em TS.</t>
  </si>
  <si>
    <t xml:space="preserve">DETALHE  LOCAÇÃO </t>
  </si>
  <si>
    <t>OKALANGO EVENTOS</t>
  </si>
  <si>
    <r>
      <t xml:space="preserve">Locação de cerca metálica tubular, com gradeamento vertical, apoio nas extremidades em V invertido, com altura
de 1,10 m, comprimento de 2,00 m, nstaladas em local indicado em planta
Período: 04 a 07/10/2024 – 1º turno (04 dias)
25 a 28/10/2024 – 2º turno (04 dias) (Se houver)
Local de instalação: área externa/ estacionamento da Sede do TRE.                             </t>
    </r>
    <r>
      <rPr>
        <b/>
        <sz val="9"/>
        <color theme="1"/>
        <rFont val="Times New Roman"/>
        <family val="1"/>
      </rPr>
      <t xml:space="preserve">  </t>
    </r>
    <r>
      <rPr>
        <sz val="9"/>
        <color theme="1"/>
        <rFont val="Times New Roman"/>
        <family val="1"/>
      </rPr>
      <t xml:space="preserve">           </t>
    </r>
  </si>
  <si>
    <r>
      <t xml:space="preserve">quantidade em razão da unidade de fornecimento
</t>
    </r>
    <r>
      <rPr>
        <b/>
        <sz val="9"/>
        <color rgb="FFFF0000"/>
        <rFont val="Times New Roman"/>
        <family val="1"/>
      </rPr>
      <t>[ a ]</t>
    </r>
  </si>
  <si>
    <r>
      <t xml:space="preserve">quantidade diárias
</t>
    </r>
    <r>
      <rPr>
        <b/>
        <sz val="9"/>
        <color rgb="FFFF0000"/>
        <rFont val="Times New Roman"/>
        <family val="1"/>
      </rPr>
      <t>[ b ]</t>
    </r>
  </si>
  <si>
    <r>
      <t xml:space="preserve">quantidade total
</t>
    </r>
    <r>
      <rPr>
        <b/>
        <sz val="9"/>
        <color rgb="FFFF0000"/>
        <rFont val="Times New Roman"/>
        <family val="1"/>
      </rPr>
      <t xml:space="preserve">[ a </t>
    </r>
    <r>
      <rPr>
        <b/>
        <sz val="9"/>
        <color rgb="FFFF0000"/>
        <rFont val="Calibri"/>
        <family val="2"/>
      </rPr>
      <t>×</t>
    </r>
    <r>
      <rPr>
        <b/>
        <sz val="9"/>
        <color rgb="FFFF0000"/>
        <rFont val="Times New Roman"/>
        <family val="1"/>
      </rPr>
      <t xml:space="preserve"> b ]</t>
    </r>
  </si>
  <si>
    <t>não se aplica</t>
  </si>
  <si>
    <t>TOLDOS PRINCESA(estimativa PE9007/2024)</t>
  </si>
  <si>
    <t>JF MASCARENHAS(estimativa PE9007/2024)</t>
  </si>
  <si>
    <t xml:space="preserve">A MODERNA SANY </t>
  </si>
  <si>
    <t>RAIMUNDA VASCONCELOS PE90007/2024 TRE-BA</t>
  </si>
  <si>
    <t xml:space="preserve">BOA ERA  PE90007/2024 TRE-BA </t>
  </si>
  <si>
    <t>TJE LOCAÇÃO- estimativa PE90007/2024</t>
  </si>
  <si>
    <t>ARMAZEM PRODUCOES-estimativa PE90007/2024</t>
  </si>
  <si>
    <t>COSTA E LIMA-estimativa PE90007/2024)</t>
  </si>
  <si>
    <t>BRASITUR PE38/2023 IFB</t>
  </si>
  <si>
    <t>BRASITUR EVENTOS- PE38/2023 IFB</t>
  </si>
  <si>
    <t>LARISSA EMANUELLE PE38/2023 IFB</t>
  </si>
  <si>
    <t>LILA TURISMO LTDA-PE38/2023 IFB</t>
  </si>
  <si>
    <t>LUCIANO COELHO PEREIRA - PE38/2023 IFB</t>
  </si>
  <si>
    <t>WELCOME SERVICOS PE38/2023 IFB</t>
  </si>
  <si>
    <t xml:space="preserve"> LARISSA EMANUELLE- PE38/2023 IFB</t>
  </si>
  <si>
    <t xml:space="preserve"> ARGO LOCACOES - PE38/2023 IFB</t>
  </si>
  <si>
    <t xml:space="preserve"> UNA COMUNICACAO -PE179/2023 BACEN </t>
  </si>
  <si>
    <t xml:space="preserve">LIVE MARKETING, EVENTOS  -PE179/2023 BACEN </t>
  </si>
  <si>
    <t xml:space="preserve">WELCOME SERVICOS -PE179/2023 BACEN </t>
  </si>
  <si>
    <t xml:space="preserve"> C2 - EMPREENDIMENTOS-PE20/2023 UNIV FED CARIRI</t>
  </si>
  <si>
    <t xml:space="preserve"> PROATIVA EVENTOS LTD- PE20/2023 UNIV FED CARIRI</t>
  </si>
  <si>
    <t>MULTIPROMOCOES - PE90001/24 PREF MUN CRISTAL-MG</t>
  </si>
  <si>
    <t>FLUENTE COMUNICACAO - PE90001/24 PREF MUN CRISTAL-MG</t>
  </si>
  <si>
    <t>ALEFF JULLIO MACHADO-PE90001/24 PREF MUN CRISTAL-MG</t>
  </si>
  <si>
    <t xml:space="preserve"> MULTIPROMOCOES-PE90001/24 PREF MUN CRISTAL-MG</t>
  </si>
  <si>
    <t>W &amp; M PROMOCOES-PE90001/24 PREF MUN CRISTAL-MG</t>
  </si>
  <si>
    <t>SOLANGE CRISTINA-PE90001/24 PREF MUN CRISTAL-MG</t>
  </si>
  <si>
    <t xml:space="preserve"> MULTIPROMOCO-PE90001/24 PREF MUN CRISTAL-MG</t>
  </si>
  <si>
    <t>GT PROMOCOES E SERVICOS PE90001/24 PREF MUN CRISTAL-MG</t>
  </si>
  <si>
    <t>ELIELSON ELIAZAR -PE90001/24 PREF MUN CRISTAL-MG</t>
  </si>
  <si>
    <t>WELCOME SERVIÇOS PE179/2023 BACEN</t>
  </si>
  <si>
    <t>I9 ENGENHARIA LTDA-PE90007/2024 TRE-BA</t>
  </si>
  <si>
    <t>RAIMUNDA VASCONCELOS-PE90007/2024 TRE-BA</t>
  </si>
  <si>
    <t>BOA ERA COMERCIO - PE90007/2024 TRE-BA</t>
  </si>
  <si>
    <t>ALEFF JULLIO-PE90001/24 PREF MUN CRISTAL-MG</t>
  </si>
  <si>
    <t>IMPRESSIONE LOCACOES-PE90008-2024 PROC GERAL JUST AD EST RN</t>
  </si>
  <si>
    <t>MESTRE SALA LOCACAO-PE90008-2024 PROC GERAL JUST AD EST RN</t>
  </si>
  <si>
    <t xml:space="preserve"> CIA PROMOCOES-PE90008-2024 PROC GERAL JUST AD EST RN</t>
  </si>
  <si>
    <t>STUDIO NIGHT-PE90008-2024 PROC GERAL JUST AD EST RN</t>
  </si>
  <si>
    <t>A7 SUPERIORI-PE90008-2024 PROC GERAL JUST AD EST RN</t>
  </si>
  <si>
    <t>TOTAL MULTIMIDIA-PE90008-2024 PROC GERAL JUST AD EST RN</t>
  </si>
  <si>
    <t>SOLUCTION LOGISTICA- PE90002/24 IPHAN-</t>
  </si>
  <si>
    <t>DENISE MOURA -PE90015/24 PREF MUN MONTEIRO - PB</t>
  </si>
  <si>
    <t xml:space="preserve"> R J NASCIMENTO PE90015/24 PREF MUN MONTEIRO - PB</t>
  </si>
  <si>
    <t>EXCLUSIVE LOUNGE-PE90015/24 PREF MUN MONTEIRO - PB</t>
  </si>
  <si>
    <t>EVENTUAL LIV-PE90015/24 PREF MUN MONTEIRO - PB</t>
  </si>
  <si>
    <t>ISANQUI -PE90007/2024 TRE-BA</t>
  </si>
  <si>
    <t>HID IMUNIZAÇÂO-PE90007/2024 TRE-BA</t>
  </si>
  <si>
    <t>TOLDOS SAO PAULO LTDA -PE90007/2024 TRE-BA</t>
  </si>
  <si>
    <t>TJE estimativa PE 28/2022 TRE-BA</t>
  </si>
  <si>
    <t>HENRI Proposta Estimativa PE28/2022 TRE_BA</t>
  </si>
  <si>
    <t>TJ Proposta Estimativa PE28/2022 TRE_BA</t>
  </si>
  <si>
    <t>MAGALY ANDREA(estimativa PE9007/2024 TRE-BA)</t>
  </si>
  <si>
    <t>MORIA VISUAL PE57/2022 TRE-BA ATUALI</t>
  </si>
  <si>
    <t>SILK BRINDES PE57/2022 TRE-BA ATUALI</t>
  </si>
  <si>
    <t>SILK BRINDES- PE57/2022 TRE-BA atualizado</t>
  </si>
  <si>
    <t>MORIA VISUAL PE57/2022 TRE-BA atualizado</t>
  </si>
  <si>
    <t>GARDEN PRODUTOS- PE90002/2024 DEFENSORAIA PUB EST AMOZONAS</t>
  </si>
  <si>
    <t>TJE estimativa PE57/2022 TRE-BA atualiz</t>
  </si>
  <si>
    <t>LISBOA LOCACOES E SERV-PE90007/2024 TRE-BA</t>
  </si>
  <si>
    <t>OKALANGO PE57/2022 TRE-BA</t>
  </si>
  <si>
    <t xml:space="preserve">ELOHIM PE57/2022 TRE-BA atualizada </t>
  </si>
  <si>
    <t>1º menor preço PE57/2022 TRE-BA</t>
  </si>
  <si>
    <t>2º menor preço PE57/2022 TRE-BA</t>
  </si>
  <si>
    <t xml:space="preserve">Unico preço PE57/2022 atualizada </t>
  </si>
  <si>
    <t xml:space="preserve">Único preço PE28/2022 TRE-BA atualizada </t>
  </si>
  <si>
    <t>único preço PE57/2022 atualizado</t>
  </si>
  <si>
    <t>único preço PE28/2022 atualizado</t>
  </si>
  <si>
    <t>1º menor preço PE57/2022 TRE-BA atualizada</t>
  </si>
  <si>
    <t>1ª melhor preço PE57/2024 TRE-BA</t>
  </si>
  <si>
    <t>melhor preço PE28/2022 TRE-BA</t>
  </si>
  <si>
    <t>ÚNICA PROPOSTA PE28/2022</t>
  </si>
  <si>
    <t xml:space="preserve">única proposta PE28/2022 atualizada </t>
  </si>
  <si>
    <t>REALIZA EVENTOS PE 28/2023 PREF JOINVILE  atualizado</t>
  </si>
  <si>
    <t>BRASITUR PE 28/2023 PREF JOINVILE  atualizado</t>
  </si>
  <si>
    <t>MOREIRA EVENTOS PE 28/2023 PREF JOINVILE  atualizado</t>
  </si>
  <si>
    <t>metro quadrado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</si>
</sst>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FF0000"/>
      <name val="Calibri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64" fontId="2" fillId="0" borderId="1" xfId="1" applyNumberFormat="1" applyFont="1" applyBorder="1" applyAlignment="1">
      <alignment vertical="top"/>
    </xf>
    <xf numFmtId="164" fontId="2" fillId="0" borderId="1" xfId="1" applyNumberFormat="1" applyFont="1" applyBorder="1" applyAlignment="1">
      <alignment horizontal="center" vertical="top"/>
    </xf>
    <xf numFmtId="44" fontId="2" fillId="0" borderId="0" xfId="0" applyNumberFormat="1" applyFont="1"/>
    <xf numFmtId="0" fontId="12" fillId="0" borderId="0" xfId="0" applyFont="1"/>
    <xf numFmtId="4" fontId="12" fillId="0" borderId="0" xfId="0" applyNumberFormat="1" applyFont="1"/>
    <xf numFmtId="4" fontId="2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50">
        <v>1</v>
      </c>
      <c r="B3" s="43" t="s">
        <v>64</v>
      </c>
      <c r="C3" s="46" t="s">
        <v>60</v>
      </c>
      <c r="D3" s="46">
        <v>100</v>
      </c>
      <c r="E3" s="49">
        <f>IF(C20&lt;=25%,D20,MIN(E20:F20))</f>
        <v>10.19</v>
      </c>
      <c r="F3" s="49">
        <f>MIN(H3:H17)</f>
        <v>5.71</v>
      </c>
      <c r="G3" s="5" t="s">
        <v>62</v>
      </c>
      <c r="H3" s="16">
        <v>80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44"/>
      <c r="C4" s="47"/>
      <c r="D4" s="46"/>
      <c r="E4" s="49"/>
      <c r="F4" s="49"/>
      <c r="G4" s="5" t="s">
        <v>69</v>
      </c>
      <c r="H4" s="16">
        <v>100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50"/>
      <c r="B5" s="44"/>
      <c r="C5" s="47"/>
      <c r="D5" s="46"/>
      <c r="E5" s="49"/>
      <c r="F5" s="49"/>
      <c r="G5" s="5" t="s">
        <v>70</v>
      </c>
      <c r="H5" s="16">
        <v>12</v>
      </c>
      <c r="I5" s="17">
        <f t="shared" si="0"/>
        <v>12</v>
      </c>
    </row>
    <row r="6" spans="1:9" x14ac:dyDescent="0.25">
      <c r="A6" s="50"/>
      <c r="B6" s="44"/>
      <c r="C6" s="47"/>
      <c r="D6" s="46"/>
      <c r="E6" s="49"/>
      <c r="F6" s="49"/>
      <c r="G6" s="5" t="s">
        <v>121</v>
      </c>
      <c r="H6" s="16">
        <v>9</v>
      </c>
      <c r="I6" s="17">
        <f t="shared" si="0"/>
        <v>9</v>
      </c>
    </row>
    <row r="7" spans="1:9" x14ac:dyDescent="0.25">
      <c r="A7" s="50"/>
      <c r="B7" s="44"/>
      <c r="C7" s="47"/>
      <c r="D7" s="46"/>
      <c r="E7" s="49"/>
      <c r="F7" s="49"/>
      <c r="G7" s="5" t="s">
        <v>73</v>
      </c>
      <c r="H7" s="16">
        <v>5.71</v>
      </c>
      <c r="I7" s="17">
        <f t="shared" si="0"/>
        <v>5.71</v>
      </c>
    </row>
    <row r="8" spans="1:9" x14ac:dyDescent="0.25">
      <c r="A8" s="50"/>
      <c r="B8" s="44"/>
      <c r="C8" s="47"/>
      <c r="D8" s="46"/>
      <c r="E8" s="49"/>
      <c r="F8" s="49"/>
      <c r="G8" s="5" t="s">
        <v>72</v>
      </c>
      <c r="H8" s="16">
        <v>6.54</v>
      </c>
      <c r="I8" s="17">
        <f t="shared" si="0"/>
        <v>6.54</v>
      </c>
    </row>
    <row r="9" spans="1:9" x14ac:dyDescent="0.25">
      <c r="A9" s="50"/>
      <c r="B9" s="44"/>
      <c r="C9" s="47"/>
      <c r="D9" s="46"/>
      <c r="E9" s="49"/>
      <c r="F9" s="49"/>
      <c r="G9" s="5" t="s">
        <v>90</v>
      </c>
      <c r="H9" s="16">
        <v>11.9</v>
      </c>
      <c r="I9" s="17">
        <f t="shared" si="0"/>
        <v>11.9</v>
      </c>
    </row>
    <row r="10" spans="1:9" x14ac:dyDescent="0.25">
      <c r="A10" s="50"/>
      <c r="B10" s="44"/>
      <c r="C10" s="47"/>
      <c r="D10" s="46"/>
      <c r="E10" s="49"/>
      <c r="F10" s="49"/>
      <c r="G10" s="5" t="s">
        <v>103</v>
      </c>
      <c r="H10" s="16">
        <v>16</v>
      </c>
      <c r="I10" s="17">
        <f t="shared" si="0"/>
        <v>16</v>
      </c>
    </row>
    <row r="11" spans="1:9" x14ac:dyDescent="0.25">
      <c r="A11" s="50"/>
      <c r="B11" s="44"/>
      <c r="C11" s="47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44"/>
      <c r="C12" s="47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44"/>
      <c r="C13" s="47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44"/>
      <c r="C14" s="47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44"/>
      <c r="C15" s="47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44"/>
      <c r="C16" s="47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45"/>
      <c r="C17" s="48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37.471551852228991</v>
      </c>
      <c r="B20" s="8">
        <f>COUNT(H3:H17)</f>
        <v>8</v>
      </c>
      <c r="C20" s="9">
        <f>IF(B20&lt;2,"n/a",(A20/D20))</f>
        <v>1.2432498955616784</v>
      </c>
      <c r="D20" s="10">
        <f>IFERROR(ROUND(AVERAGE(H3:H17),2),"")</f>
        <v>30.14</v>
      </c>
      <c r="E20" s="15">
        <f>IFERROR(ROUND(IF(B20&lt;2,"n/a",(IF(C20&lt;=25%,"n/a",AVERAGE(I3:I17)))),2),"n/a")</f>
        <v>10.19</v>
      </c>
      <c r="F20" s="10">
        <f>IFERROR(ROUND(MEDIAN(H3:H17),2),"")</f>
        <v>11.95</v>
      </c>
      <c r="G20" s="11" t="str">
        <f>IFERROR(INDEX(G3:G17,MATCH(H20,H3:H17,0)),"")</f>
        <v xml:space="preserve">BOA ERA  PE90007/2024 TRE-BA </v>
      </c>
      <c r="H20" s="12">
        <f>F3</f>
        <v>5.71</v>
      </c>
    </row>
    <row r="22" spans="1:9" x14ac:dyDescent="0.25">
      <c r="G22" s="13" t="s">
        <v>20</v>
      </c>
      <c r="H22" s="14">
        <f>IF(C20&lt;=25%,D20,MIN(E20:F20))</f>
        <v>10.19</v>
      </c>
    </row>
    <row r="23" spans="1:9" x14ac:dyDescent="0.25">
      <c r="G23" s="13" t="s">
        <v>6</v>
      </c>
      <c r="H23" s="14">
        <f>ROUND(H22,2)*D3</f>
        <v>1019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10</v>
      </c>
      <c r="B3" s="51" t="s">
        <v>43</v>
      </c>
      <c r="C3" s="46" t="s">
        <v>7</v>
      </c>
      <c r="D3" s="46">
        <v>19</v>
      </c>
      <c r="E3" s="49">
        <f>IF(C20&lt;=25%,D20,MIN(E20:F20))</f>
        <v>194.66</v>
      </c>
      <c r="F3" s="49">
        <f>MIN(H3:H17)</f>
        <v>189.32</v>
      </c>
      <c r="G3" s="5" t="s">
        <v>63</v>
      </c>
      <c r="H3" s="16">
        <v>200</v>
      </c>
      <c r="I3" s="17" t="str">
        <f>IF(H3="","",(IF($C$20&lt;25%,"n/a",IF(H3&lt;=($D$20+$A$20),H3,"Descartado"))))</f>
        <v>n/a</v>
      </c>
    </row>
    <row r="4" spans="1:9" x14ac:dyDescent="0.25">
      <c r="A4" s="50"/>
      <c r="B4" s="52"/>
      <c r="C4" s="46"/>
      <c r="D4" s="46"/>
      <c r="E4" s="49"/>
      <c r="F4" s="49"/>
      <c r="G4" s="5" t="s">
        <v>119</v>
      </c>
      <c r="H4" s="16">
        <v>189.32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7.5519004230723326</v>
      </c>
      <c r="B20" s="8">
        <f>COUNT(H3:H17)</f>
        <v>2</v>
      </c>
      <c r="C20" s="9">
        <f>IF(B20&lt;2,"n/a",(A20/D20))</f>
        <v>3.8795337630084928E-2</v>
      </c>
      <c r="D20" s="10">
        <f>IFERROR(ROUND(AVERAGE(H3:H17),2),"")</f>
        <v>194.66</v>
      </c>
      <c r="E20" s="15" t="str">
        <f>IFERROR(ROUND(IF(B20&lt;2,"n/a",(IF(C20&lt;=25%,"n/a",AVERAGE(I3:I17)))),2),"n/a")</f>
        <v>n/a</v>
      </c>
      <c r="F20" s="10">
        <f>IFERROR(ROUND(MEDIAN(H3:H17),2),"")</f>
        <v>194.66</v>
      </c>
      <c r="G20" s="11" t="str">
        <f>IFERROR(INDEX(G3:G17,MATCH(H20,H3:H17,0)),"")</f>
        <v>HENRI Proposta Estimativa PE28/2022 TRE_BA</v>
      </c>
      <c r="H20" s="12">
        <f>F3</f>
        <v>189.32</v>
      </c>
    </row>
    <row r="22" spans="1:9" x14ac:dyDescent="0.25">
      <c r="G22" s="13" t="s">
        <v>20</v>
      </c>
      <c r="H22" s="14">
        <f>IF(C20&lt;=25%,D20,MIN(E20:F20))</f>
        <v>194.66</v>
      </c>
    </row>
    <row r="23" spans="1:9" x14ac:dyDescent="0.25">
      <c r="G23" s="13" t="s">
        <v>6</v>
      </c>
      <c r="H23" s="14">
        <f>ROUND(H22,2)*D3</f>
        <v>3698.54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11</v>
      </c>
      <c r="B3" s="51" t="s">
        <v>44</v>
      </c>
      <c r="C3" s="46" t="s">
        <v>7</v>
      </c>
      <c r="D3" s="46">
        <v>27</v>
      </c>
      <c r="E3" s="49">
        <f>IF(C20&lt;=25%,D20,MIN(E20:F20))</f>
        <v>12.09</v>
      </c>
      <c r="F3" s="49">
        <f>MIN(H3:H17)</f>
        <v>4.17</v>
      </c>
      <c r="G3" s="5" t="s">
        <v>63</v>
      </c>
      <c r="H3" s="16">
        <v>20</v>
      </c>
      <c r="I3" s="17">
        <f>IF(H3="","",(IF($C$20&lt;25%,"n/a",IF(H3&lt;=($D$20+$A$20),H3,"Descartado"))))</f>
        <v>20</v>
      </c>
    </row>
    <row r="4" spans="1:9" x14ac:dyDescent="0.25">
      <c r="A4" s="50"/>
      <c r="B4" s="52"/>
      <c r="C4" s="46"/>
      <c r="D4" s="46"/>
      <c r="E4" s="49"/>
      <c r="F4" s="49"/>
      <c r="G4" s="5" t="s">
        <v>130</v>
      </c>
      <c r="H4" s="16">
        <v>4.17</v>
      </c>
      <c r="I4" s="17">
        <f t="shared" ref="I4:I17" si="0">IF(H4="","",(IF($C$20&lt;25%,"n/a",IF(H4&lt;=($D$20+$A$20),H4,"Descartado"))))</f>
        <v>4.17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11.193500346183043</v>
      </c>
      <c r="B20" s="8">
        <f>COUNT(H3:H17)</f>
        <v>2</v>
      </c>
      <c r="C20" s="9">
        <f>IF(B20&lt;2,"n/a",(A20/D20))</f>
        <v>0.92584783673970583</v>
      </c>
      <c r="D20" s="10">
        <f>IFERROR(ROUND(AVERAGE(H3:H17),2),"")</f>
        <v>12.09</v>
      </c>
      <c r="E20" s="15">
        <f>IFERROR(ROUND(IF(B20&lt;2,"n/a",(IF(C20&lt;=25%,"n/a",AVERAGE(I3:I17)))),2),"n/a")</f>
        <v>12.09</v>
      </c>
      <c r="F20" s="10">
        <f>IFERROR(ROUND(MEDIAN(H3:H17),2),"")</f>
        <v>12.09</v>
      </c>
      <c r="G20" s="11" t="str">
        <f>IFERROR(INDEX(G3:G17,MATCH(H20,H3:H17,0)),"")</f>
        <v xml:space="preserve">ELOHIM PE57/2022 TRE-BA atualizada </v>
      </c>
      <c r="H20" s="12">
        <f>F3</f>
        <v>4.17</v>
      </c>
    </row>
    <row r="22" spans="1:9" x14ac:dyDescent="0.25">
      <c r="C22"/>
      <c r="G22" s="13" t="s">
        <v>20</v>
      </c>
      <c r="H22" s="14">
        <f>IF(C20&lt;=25%,D20,MIN(E20:F20))</f>
        <v>12.09</v>
      </c>
    </row>
    <row r="23" spans="1:9" x14ac:dyDescent="0.25">
      <c r="G23" s="13" t="s">
        <v>6</v>
      </c>
      <c r="H23" s="14">
        <f>ROUND(H22,2)*D3</f>
        <v>326.43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12</v>
      </c>
      <c r="B3" s="51" t="s">
        <v>45</v>
      </c>
      <c r="C3" s="46" t="s">
        <v>7</v>
      </c>
      <c r="D3" s="46">
        <v>45</v>
      </c>
      <c r="E3" s="49">
        <f>IF(C20&lt;=25%,D20,MIN(E20:F20))</f>
        <v>31.41</v>
      </c>
      <c r="F3" s="49">
        <f>MIN(H3:H17)</f>
        <v>4.12</v>
      </c>
      <c r="G3" s="5" t="s">
        <v>63</v>
      </c>
      <c r="H3" s="16">
        <v>50</v>
      </c>
      <c r="I3" s="17">
        <f>IF(H3="","",(IF($C$20&lt;25%,"n/a",IF(H3&lt;=($D$20+$A$20),H3,"Descartado"))))</f>
        <v>50</v>
      </c>
    </row>
    <row r="4" spans="1:9" x14ac:dyDescent="0.25">
      <c r="A4" s="50"/>
      <c r="B4" s="52"/>
      <c r="C4" s="46"/>
      <c r="D4" s="46"/>
      <c r="E4" s="49"/>
      <c r="F4" s="49"/>
      <c r="G4" s="5" t="s">
        <v>87</v>
      </c>
      <c r="H4" s="16">
        <v>40</v>
      </c>
      <c r="I4" s="17">
        <f t="shared" ref="I4:I17" si="0">IF(H4="","",(IF($C$20&lt;25%,"n/a",IF(H4&lt;=($D$20+$A$20),H4,"Descartado"))))</f>
        <v>40</v>
      </c>
    </row>
    <row r="5" spans="1:9" x14ac:dyDescent="0.25">
      <c r="A5" s="50"/>
      <c r="B5" s="52"/>
      <c r="C5" s="46"/>
      <c r="D5" s="46"/>
      <c r="E5" s="49"/>
      <c r="F5" s="49"/>
      <c r="G5" s="5" t="s">
        <v>85</v>
      </c>
      <c r="H5" s="16">
        <v>45.18</v>
      </c>
      <c r="I5" s="17">
        <f t="shared" si="0"/>
        <v>45.18</v>
      </c>
    </row>
    <row r="6" spans="1:9" x14ac:dyDescent="0.25">
      <c r="A6" s="50"/>
      <c r="B6" s="52"/>
      <c r="C6" s="46"/>
      <c r="D6" s="46"/>
      <c r="E6" s="49"/>
      <c r="F6" s="49"/>
      <c r="G6" s="5" t="s">
        <v>86</v>
      </c>
      <c r="H6" s="16">
        <v>45</v>
      </c>
      <c r="I6" s="17">
        <f t="shared" si="0"/>
        <v>45</v>
      </c>
    </row>
    <row r="7" spans="1:9" x14ac:dyDescent="0.25">
      <c r="A7" s="50"/>
      <c r="B7" s="52"/>
      <c r="C7" s="46"/>
      <c r="D7" s="46"/>
      <c r="E7" s="49"/>
      <c r="F7" s="49"/>
      <c r="G7" s="5" t="s">
        <v>130</v>
      </c>
      <c r="H7" s="16">
        <v>4.17</v>
      </c>
      <c r="I7" s="17">
        <f t="shared" si="0"/>
        <v>4.17</v>
      </c>
    </row>
    <row r="8" spans="1:9" x14ac:dyDescent="0.25">
      <c r="A8" s="50"/>
      <c r="B8" s="52"/>
      <c r="C8" s="46"/>
      <c r="D8" s="46"/>
      <c r="E8" s="49"/>
      <c r="F8" s="49"/>
      <c r="G8" s="5" t="s">
        <v>131</v>
      </c>
      <c r="H8" s="16">
        <v>4.12</v>
      </c>
      <c r="I8" s="17">
        <f t="shared" si="0"/>
        <v>4.12</v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21.356211664681229</v>
      </c>
      <c r="B20" s="8">
        <f>COUNT(H3:H17)</f>
        <v>6</v>
      </c>
      <c r="C20" s="9">
        <f>IF(B20&lt;2,"n/a",(A20/D20))</f>
        <v>0.67991759518246508</v>
      </c>
      <c r="D20" s="10">
        <f>IFERROR(ROUND(AVERAGE(H3:H17),2),"")</f>
        <v>31.41</v>
      </c>
      <c r="E20" s="15">
        <f>IFERROR(ROUND(IF(B20&lt;2,"n/a",(IF(C20&lt;=25%,"n/a",AVERAGE(I3:I17)))),2),"n/a")</f>
        <v>31.41</v>
      </c>
      <c r="F20" s="10">
        <f>IFERROR(ROUND(MEDIAN(H3:H17),2),"")</f>
        <v>42.5</v>
      </c>
      <c r="G20" s="11" t="str">
        <f>IFERROR(INDEX(G3:G17,MATCH(H20,H3:H17,0)),"")</f>
        <v>1º menor preço PE57/2022 TRE-BA</v>
      </c>
      <c r="H20" s="12">
        <f>F3</f>
        <v>4.12</v>
      </c>
    </row>
    <row r="22" spans="1:9" x14ac:dyDescent="0.25">
      <c r="G22" s="13" t="s">
        <v>20</v>
      </c>
      <c r="H22" s="14">
        <f>IF(C20&lt;=25%,D20,MIN(E20:F20))</f>
        <v>31.41</v>
      </c>
    </row>
    <row r="23" spans="1:9" x14ac:dyDescent="0.25">
      <c r="B23" s="39"/>
      <c r="G23" s="13" t="s">
        <v>6</v>
      </c>
      <c r="H23" s="14">
        <f>ROUND(H22,2)*D3</f>
        <v>1413.45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13</v>
      </c>
      <c r="B3" s="51" t="s">
        <v>46</v>
      </c>
      <c r="C3" s="46" t="s">
        <v>7</v>
      </c>
      <c r="D3" s="46">
        <v>33</v>
      </c>
      <c r="E3" s="49">
        <f>IF(C20&lt;=25%,D20,MIN(E20:F20))</f>
        <v>12.09</v>
      </c>
      <c r="F3" s="49">
        <f>MIN(H3:H17)</f>
        <v>4.17</v>
      </c>
      <c r="G3" s="5" t="s">
        <v>63</v>
      </c>
      <c r="H3" s="16">
        <v>20</v>
      </c>
      <c r="I3" s="17">
        <f>IF(H3="","",(IF($C$20&lt;25%,"n/a",IF(H3&lt;=($D$20+$A$20),H3,"Descartado"))))</f>
        <v>20</v>
      </c>
    </row>
    <row r="4" spans="1:9" x14ac:dyDescent="0.25">
      <c r="A4" s="50"/>
      <c r="B4" s="52"/>
      <c r="C4" s="46"/>
      <c r="D4" s="46"/>
      <c r="E4" s="49"/>
      <c r="F4" s="49"/>
      <c r="G4" s="5" t="s">
        <v>130</v>
      </c>
      <c r="H4" s="16">
        <v>4.17</v>
      </c>
      <c r="I4" s="17">
        <f t="shared" ref="I4:I17" si="0">IF(H4="","",(IF($C$20&lt;25%,"n/a",IF(H4&lt;=($D$20+$A$20),H4,"Descartado"))))</f>
        <v>4.17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11.193500346183043</v>
      </c>
      <c r="B20" s="8">
        <f>COUNT(H3:H17)</f>
        <v>2</v>
      </c>
      <c r="C20" s="9">
        <f>IF(B20&lt;2,"n/a",(A20/D20))</f>
        <v>0.92584783673970583</v>
      </c>
      <c r="D20" s="10">
        <f>IFERROR(ROUND(AVERAGE(H3:H17),2),"")</f>
        <v>12.09</v>
      </c>
      <c r="E20" s="15">
        <f>IFERROR(ROUND(IF(B20&lt;2,"n/a",(IF(C20&lt;=25%,"n/a",AVERAGE(I3:I17)))),2),"n/a")</f>
        <v>12.09</v>
      </c>
      <c r="F20" s="10">
        <f>IFERROR(ROUND(MEDIAN(H3:H17),2),"")</f>
        <v>12.09</v>
      </c>
      <c r="G20" s="11" t="str">
        <f>IFERROR(INDEX(G3:G17,MATCH(H20,H3:H17,0)),"")</f>
        <v xml:space="preserve">ELOHIM PE57/2022 TRE-BA atualizada </v>
      </c>
      <c r="H20" s="12">
        <f>F3</f>
        <v>4.17</v>
      </c>
    </row>
    <row r="22" spans="1:9" x14ac:dyDescent="0.25">
      <c r="G22" s="13" t="s">
        <v>20</v>
      </c>
      <c r="H22" s="14">
        <f>IF(C20&lt;=25%,D20,MIN(E20:F20))</f>
        <v>12.09</v>
      </c>
    </row>
    <row r="23" spans="1:9" x14ac:dyDescent="0.25">
      <c r="G23" s="13" t="s">
        <v>6</v>
      </c>
      <c r="H23" s="14">
        <f>ROUND(H22,2)*D3</f>
        <v>398.96999999999997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14</v>
      </c>
      <c r="B3" s="43" t="s">
        <v>47</v>
      </c>
      <c r="C3" s="46" t="s">
        <v>7</v>
      </c>
      <c r="D3" s="46">
        <v>99</v>
      </c>
      <c r="E3" s="49">
        <f>IF(C20&lt;=25%,D20,MIN(E20:F20))</f>
        <v>28.69</v>
      </c>
      <c r="F3" s="49">
        <f>MIN(H3:H17)</f>
        <v>4.12</v>
      </c>
      <c r="G3" s="5" t="s">
        <v>63</v>
      </c>
      <c r="H3" s="16">
        <v>50</v>
      </c>
      <c r="I3" s="17">
        <f>IF(H3="","",(IF($C$20&lt;25%,"n/a",IF(H3&lt;=($D$20+$A$20),H3,"Descartado"))))</f>
        <v>50</v>
      </c>
    </row>
    <row r="4" spans="1:9" x14ac:dyDescent="0.25">
      <c r="A4" s="50"/>
      <c r="B4" s="44"/>
      <c r="C4" s="46"/>
      <c r="D4" s="46"/>
      <c r="E4" s="49"/>
      <c r="F4" s="49"/>
      <c r="G4" s="5" t="s">
        <v>87</v>
      </c>
      <c r="H4" s="16">
        <v>40</v>
      </c>
      <c r="I4" s="17">
        <f t="shared" ref="I4:I17" si="0">IF(H4="","",(IF($C$20&lt;25%,"n/a",IF(H4&lt;=($D$20+$A$20),H4,"Descartado"))))</f>
        <v>40</v>
      </c>
    </row>
    <row r="5" spans="1:9" x14ac:dyDescent="0.25">
      <c r="A5" s="50"/>
      <c r="B5" s="44"/>
      <c r="C5" s="46"/>
      <c r="D5" s="46"/>
      <c r="E5" s="49"/>
      <c r="F5" s="49"/>
      <c r="G5" s="5" t="s">
        <v>85</v>
      </c>
      <c r="H5" s="16">
        <v>45.18</v>
      </c>
      <c r="I5" s="17">
        <f t="shared" si="0"/>
        <v>45.18</v>
      </c>
    </row>
    <row r="6" spans="1:9" x14ac:dyDescent="0.25">
      <c r="A6" s="50"/>
      <c r="B6" s="44"/>
      <c r="C6" s="46"/>
      <c r="D6" s="46"/>
      <c r="E6" s="49"/>
      <c r="F6" s="49"/>
      <c r="G6" s="5" t="s">
        <v>137</v>
      </c>
      <c r="H6" s="16">
        <v>4.12</v>
      </c>
      <c r="I6" s="17">
        <f t="shared" si="0"/>
        <v>4.12</v>
      </c>
    </row>
    <row r="7" spans="1:9" x14ac:dyDescent="0.25">
      <c r="A7" s="50"/>
      <c r="B7" s="44"/>
      <c r="C7" s="46"/>
      <c r="D7" s="46"/>
      <c r="E7" s="49"/>
      <c r="F7" s="49"/>
      <c r="G7" s="5" t="s">
        <v>130</v>
      </c>
      <c r="H7" s="16">
        <v>4.17</v>
      </c>
      <c r="I7" s="17">
        <f t="shared" si="0"/>
        <v>4.17</v>
      </c>
    </row>
    <row r="8" spans="1:9" x14ac:dyDescent="0.25">
      <c r="A8" s="50"/>
      <c r="B8" s="44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44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44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44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44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44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44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44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44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45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22.687372699367373</v>
      </c>
      <c r="B20" s="8">
        <f>COUNT(H3:H17)</f>
        <v>5</v>
      </c>
      <c r="C20" s="9">
        <f>IF(B20&lt;2,"n/a",(A20/D20))</f>
        <v>0.7907763227384933</v>
      </c>
      <c r="D20" s="10">
        <f>IFERROR(ROUND(AVERAGE(H3:H17),2),"")</f>
        <v>28.69</v>
      </c>
      <c r="E20" s="15">
        <f>IFERROR(ROUND(IF(B20&lt;2,"n/a",(IF(C20&lt;=25%,"n/a",AVERAGE(I3:I17)))),2),"n/a")</f>
        <v>28.69</v>
      </c>
      <c r="F20" s="10">
        <f>IFERROR(ROUND(MEDIAN(H3:H17),2),"")</f>
        <v>40</v>
      </c>
      <c r="G20" s="11" t="str">
        <f>IFERROR(INDEX(G3:G17,MATCH(H20,H3:H17,0)),"")</f>
        <v>1º menor preço PE57/2022 TRE-BA atualizada</v>
      </c>
      <c r="H20" s="12">
        <f>F3</f>
        <v>4.12</v>
      </c>
    </row>
    <row r="22" spans="1:9" x14ac:dyDescent="0.25">
      <c r="G22" s="13" t="s">
        <v>20</v>
      </c>
      <c r="H22" s="14">
        <f>IF(C20&lt;=25%,D20,MIN(E20:F20))</f>
        <v>28.69</v>
      </c>
    </row>
    <row r="23" spans="1:9" x14ac:dyDescent="0.25">
      <c r="G23" s="13" t="s">
        <v>6</v>
      </c>
      <c r="H23" s="14">
        <f>ROUND(H22,2)*D3</f>
        <v>2840.31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15</v>
      </c>
      <c r="B3" s="51" t="s">
        <v>49</v>
      </c>
      <c r="C3" s="46" t="s">
        <v>7</v>
      </c>
      <c r="D3" s="46">
        <v>43</v>
      </c>
      <c r="E3" s="49">
        <f>IF(C20&lt;=25%,D20,MIN(E20:F20))</f>
        <v>12.09</v>
      </c>
      <c r="F3" s="49">
        <f>MIN(H3:H17)</f>
        <v>4.17</v>
      </c>
      <c r="G3" s="5" t="s">
        <v>63</v>
      </c>
      <c r="H3" s="16">
        <v>20</v>
      </c>
      <c r="I3" s="17">
        <f>IF(H3="","",(IF($C$20&lt;25%,"n/a",IF(H3&lt;=($D$20+$A$20),H3,"Descartado"))))</f>
        <v>20</v>
      </c>
    </row>
    <row r="4" spans="1:9" x14ac:dyDescent="0.25">
      <c r="A4" s="50"/>
      <c r="B4" s="52"/>
      <c r="C4" s="46"/>
      <c r="D4" s="46"/>
      <c r="E4" s="49"/>
      <c r="F4" s="49"/>
      <c r="G4" s="5" t="s">
        <v>130</v>
      </c>
      <c r="H4" s="16">
        <v>4.17</v>
      </c>
      <c r="I4" s="17">
        <f t="shared" ref="I4:I17" si="0">IF(H4="","",(IF($C$20&lt;25%,"n/a",IF(H4&lt;=($D$20+$A$20),H4,"Descartado"))))</f>
        <v>4.17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11.193500346183043</v>
      </c>
      <c r="B20" s="8">
        <f>COUNT(H3:H17)</f>
        <v>2</v>
      </c>
      <c r="C20" s="9">
        <f>IF(B20&lt;2,"n/a",(A20/D20))</f>
        <v>0.92584783673970583</v>
      </c>
      <c r="D20" s="10">
        <f>IFERROR(ROUND(AVERAGE(H3:H17),2),"")</f>
        <v>12.09</v>
      </c>
      <c r="E20" s="15">
        <f>IFERROR(ROUND(IF(B20&lt;2,"n/a",(IF(C20&lt;=25%,"n/a",AVERAGE(I3:I17)))),2),"n/a")</f>
        <v>12.09</v>
      </c>
      <c r="F20" s="10">
        <f>IFERROR(ROUND(MEDIAN(H3:H17),2),"")</f>
        <v>12.09</v>
      </c>
      <c r="G20" s="11" t="str">
        <f>IFERROR(INDEX(G3:G17,MATCH(H20,H3:H17,0)),"")</f>
        <v xml:space="preserve">ELOHIM PE57/2022 TRE-BA atualizada </v>
      </c>
      <c r="H20" s="12">
        <f>F3</f>
        <v>4.17</v>
      </c>
    </row>
    <row r="22" spans="1:9" x14ac:dyDescent="0.25">
      <c r="G22" s="13" t="s">
        <v>20</v>
      </c>
      <c r="H22" s="14">
        <f>IF(C20&lt;=25%,D20,MIN(E20:F20))</f>
        <v>12.09</v>
      </c>
    </row>
    <row r="23" spans="1:9" x14ac:dyDescent="0.25">
      <c r="G23" s="13" t="s">
        <v>6</v>
      </c>
      <c r="H23" s="14">
        <f>ROUND(H22,2)*D3</f>
        <v>519.87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16</v>
      </c>
      <c r="B3" s="51" t="s">
        <v>50</v>
      </c>
      <c r="C3" s="46" t="s">
        <v>7</v>
      </c>
      <c r="D3" s="46">
        <v>43</v>
      </c>
      <c r="E3" s="49">
        <f>IF(C20&lt;=25%,D20,MIN(E20:F20))</f>
        <v>31</v>
      </c>
      <c r="F3" s="49">
        <f>MIN(H3:H17)</f>
        <v>12</v>
      </c>
      <c r="G3" s="5" t="s">
        <v>63</v>
      </c>
      <c r="H3" s="16">
        <v>50</v>
      </c>
      <c r="I3" s="17">
        <f>IF(H3="","",(IF($C$20&lt;25%,"n/a",IF(H3&lt;=($D$20+$A$20),H3,"Descartado"))))</f>
        <v>50</v>
      </c>
    </row>
    <row r="4" spans="1:9" x14ac:dyDescent="0.25">
      <c r="A4" s="50"/>
      <c r="B4" s="52"/>
      <c r="C4" s="46"/>
      <c r="D4" s="46"/>
      <c r="E4" s="49"/>
      <c r="F4" s="49"/>
      <c r="G4" s="5" t="s">
        <v>110</v>
      </c>
      <c r="H4" s="16">
        <v>12</v>
      </c>
      <c r="I4" s="17">
        <f t="shared" ref="I4:I17" si="0">IF(H4="","",(IF($C$20&lt;25%,"n/a",IF(H4&lt;=($D$20+$A$20),H4,"Descartado"))))</f>
        <v>12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26.870057685088806</v>
      </c>
      <c r="B20" s="8">
        <f>COUNT(H3:H17)</f>
        <v>2</v>
      </c>
      <c r="C20" s="9">
        <f>IF(B20&lt;2,"n/a",(A20/D20))</f>
        <v>0.86677605435770344</v>
      </c>
      <c r="D20" s="10">
        <f>IFERROR(ROUND(AVERAGE(H3:H17),2),"")</f>
        <v>31</v>
      </c>
      <c r="E20" s="15">
        <f>IFERROR(ROUND(IF(B20&lt;2,"n/a",(IF(C20&lt;=25%,"n/a",AVERAGE(I3:I17)))),2),"n/a")</f>
        <v>31</v>
      </c>
      <c r="F20" s="10">
        <f>IFERROR(ROUND(MEDIAN(H3:H17),2),"")</f>
        <v>31</v>
      </c>
      <c r="G20" s="11" t="str">
        <f>IFERROR(INDEX(G3:G17,MATCH(H20,H3:H17,0)),"")</f>
        <v>SOLUCTION LOGISTICA- PE90002/24 IPHAN-</v>
      </c>
      <c r="H20" s="12">
        <f>F3</f>
        <v>12</v>
      </c>
    </row>
    <row r="22" spans="1:9" x14ac:dyDescent="0.25">
      <c r="G22" s="13" t="s">
        <v>20</v>
      </c>
      <c r="H22" s="14">
        <f>IF(C20&lt;=25%,D20,MIN(E20:F20))</f>
        <v>31</v>
      </c>
    </row>
    <row r="23" spans="1:9" x14ac:dyDescent="0.25">
      <c r="G23" s="13" t="s">
        <v>6</v>
      </c>
      <c r="H23" s="14">
        <f>ROUND(H22,2)*D3</f>
        <v>1333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17</v>
      </c>
      <c r="B3" s="51" t="s">
        <v>51</v>
      </c>
      <c r="C3" s="46" t="s">
        <v>7</v>
      </c>
      <c r="D3" s="46">
        <v>142</v>
      </c>
      <c r="E3" s="49">
        <f>IF(C20&lt;=25%,D20,MIN(E20:F20))</f>
        <v>10.09</v>
      </c>
      <c r="F3" s="49">
        <f>MIN(H3:H17)</f>
        <v>3.76</v>
      </c>
      <c r="G3" s="5" t="s">
        <v>62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50"/>
      <c r="B4" s="52"/>
      <c r="C4" s="46"/>
      <c r="D4" s="46"/>
      <c r="E4" s="49"/>
      <c r="F4" s="49"/>
      <c r="G4" s="5" t="s">
        <v>63</v>
      </c>
      <c r="H4" s="16">
        <v>10</v>
      </c>
      <c r="I4" s="17">
        <f t="shared" ref="I4:I17" si="0">IF(H4="","",(IF($C$20&lt;25%,"n/a",IF(H4&lt;=($D$20+$A$20),H4,"Descartado"))))</f>
        <v>10</v>
      </c>
    </row>
    <row r="5" spans="1:9" x14ac:dyDescent="0.25">
      <c r="A5" s="50"/>
      <c r="B5" s="52"/>
      <c r="C5" s="46"/>
      <c r="D5" s="46"/>
      <c r="E5" s="49"/>
      <c r="F5" s="49"/>
      <c r="G5" s="5" t="s">
        <v>88</v>
      </c>
      <c r="H5" s="16">
        <v>22.68</v>
      </c>
      <c r="I5" s="17" t="str">
        <f t="shared" si="0"/>
        <v>Descartado</v>
      </c>
    </row>
    <row r="6" spans="1:9" x14ac:dyDescent="0.25">
      <c r="A6" s="50"/>
      <c r="B6" s="52"/>
      <c r="C6" s="46"/>
      <c r="D6" s="46"/>
      <c r="E6" s="49"/>
      <c r="F6" s="49"/>
      <c r="G6" s="5" t="s">
        <v>89</v>
      </c>
      <c r="H6" s="16">
        <v>22.687000000000001</v>
      </c>
      <c r="I6" s="17" t="str">
        <f t="shared" si="0"/>
        <v>Descartado</v>
      </c>
    </row>
    <row r="7" spans="1:9" x14ac:dyDescent="0.25">
      <c r="A7" s="50"/>
      <c r="B7" s="52"/>
      <c r="C7" s="46"/>
      <c r="D7" s="46"/>
      <c r="E7" s="49"/>
      <c r="F7" s="49"/>
      <c r="G7" s="5" t="s">
        <v>92</v>
      </c>
      <c r="H7" s="16">
        <v>13.99</v>
      </c>
      <c r="I7" s="17">
        <f t="shared" si="0"/>
        <v>13.99</v>
      </c>
    </row>
    <row r="8" spans="1:9" x14ac:dyDescent="0.25">
      <c r="A8" s="50"/>
      <c r="B8" s="52"/>
      <c r="C8" s="46"/>
      <c r="D8" s="46"/>
      <c r="E8" s="49"/>
      <c r="F8" s="49"/>
      <c r="G8" s="5" t="s">
        <v>93</v>
      </c>
      <c r="H8" s="16">
        <v>18.7</v>
      </c>
      <c r="I8" s="17">
        <f t="shared" si="0"/>
        <v>18.7</v>
      </c>
    </row>
    <row r="9" spans="1:9" x14ac:dyDescent="0.25">
      <c r="A9" s="50"/>
      <c r="B9" s="52"/>
      <c r="C9" s="46"/>
      <c r="D9" s="46"/>
      <c r="E9" s="49"/>
      <c r="F9" s="49"/>
      <c r="G9" s="5" t="s">
        <v>130</v>
      </c>
      <c r="H9" s="16">
        <v>3.76</v>
      </c>
      <c r="I9" s="17">
        <f t="shared" si="0"/>
        <v>3.76</v>
      </c>
    </row>
    <row r="10" spans="1:9" x14ac:dyDescent="0.25">
      <c r="A10" s="50"/>
      <c r="B10" s="52"/>
      <c r="C10" s="46"/>
      <c r="D10" s="46"/>
      <c r="E10" s="49"/>
      <c r="F10" s="49"/>
      <c r="G10" s="5" t="s">
        <v>132</v>
      </c>
      <c r="H10" s="16">
        <v>4.07</v>
      </c>
      <c r="I10" s="17">
        <f t="shared" si="0"/>
        <v>4.07</v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7.594056631669269</v>
      </c>
      <c r="B20" s="8">
        <f>COUNT(H3:H17)</f>
        <v>8</v>
      </c>
      <c r="C20" s="9">
        <f>IF(B20&lt;2,"n/a",(A20/D20))</f>
        <v>0.57356923199918952</v>
      </c>
      <c r="D20" s="10">
        <f>IFERROR(ROUND(AVERAGE(H3:H17),2),"")</f>
        <v>13.24</v>
      </c>
      <c r="E20" s="15">
        <f>IFERROR(ROUND(IF(B20&lt;2,"n/a",(IF(C20&lt;=25%,"n/a",AVERAGE(I3:I17)))),2),"n/a")</f>
        <v>10.09</v>
      </c>
      <c r="F20" s="10">
        <f>IFERROR(ROUND(MEDIAN(H3:H17),2),"")</f>
        <v>12</v>
      </c>
      <c r="G20" s="11" t="str">
        <f>IFERROR(INDEX(G3:G17,MATCH(H20,H3:H17,0)),"")</f>
        <v xml:space="preserve">ELOHIM PE57/2022 TRE-BA atualizada </v>
      </c>
      <c r="H20" s="12">
        <f>F3</f>
        <v>3.76</v>
      </c>
    </row>
    <row r="22" spans="1:9" x14ac:dyDescent="0.25">
      <c r="G22" s="13" t="s">
        <v>20</v>
      </c>
      <c r="H22" s="14">
        <f>IF(C20&lt;=25%,D20,MIN(E20:F20))</f>
        <v>10.09</v>
      </c>
    </row>
    <row r="23" spans="1:9" x14ac:dyDescent="0.25">
      <c r="B23" s="1">
        <f>4680/156</f>
        <v>30</v>
      </c>
      <c r="C23" s="1">
        <f>B23/8</f>
        <v>3.75</v>
      </c>
      <c r="D23" s="1">
        <f>C23*Item12!B22</f>
        <v>0</v>
      </c>
      <c r="G23" s="13" t="s">
        <v>6</v>
      </c>
      <c r="H23" s="14">
        <f>ROUND(H22,2)*D3</f>
        <v>1432.78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18</v>
      </c>
      <c r="B3" s="51" t="s">
        <v>52</v>
      </c>
      <c r="C3" s="46" t="s">
        <v>7</v>
      </c>
      <c r="D3" s="46">
        <v>533</v>
      </c>
      <c r="E3" s="49">
        <f>IF(C20&lt;=25%,D20,MIN(E20:F20))</f>
        <v>4.0599999999999996</v>
      </c>
      <c r="F3" s="49">
        <f>MIN(H3:H17)</f>
        <v>2</v>
      </c>
      <c r="G3" s="5" t="s">
        <v>62</v>
      </c>
      <c r="H3" s="16">
        <v>5</v>
      </c>
      <c r="I3" s="17">
        <f>IF(H3="","",(IF($C$20&lt;25%,"n/a",IF(H3&lt;=($D$20+$A$20),H3,"Descartado"))))</f>
        <v>5</v>
      </c>
    </row>
    <row r="4" spans="1:9" x14ac:dyDescent="0.25">
      <c r="A4" s="50"/>
      <c r="B4" s="52"/>
      <c r="C4" s="46"/>
      <c r="D4" s="46"/>
      <c r="E4" s="49"/>
      <c r="F4" s="49"/>
      <c r="G4" s="5" t="s">
        <v>63</v>
      </c>
      <c r="H4" s="16">
        <v>5</v>
      </c>
      <c r="I4" s="17">
        <f t="shared" ref="I4:I17" si="0">IF(H4="","",(IF($C$20&lt;25%,"n/a",IF(H4&lt;=($D$20+$A$20),H4,"Descartado"))))</f>
        <v>5</v>
      </c>
    </row>
    <row r="5" spans="1:9" x14ac:dyDescent="0.25">
      <c r="A5" s="50"/>
      <c r="B5" s="52"/>
      <c r="C5" s="46"/>
      <c r="D5" s="46"/>
      <c r="E5" s="49"/>
      <c r="F5" s="49"/>
      <c r="G5" s="5" t="s">
        <v>78</v>
      </c>
      <c r="H5" s="16">
        <v>2</v>
      </c>
      <c r="I5" s="17">
        <f t="shared" si="0"/>
        <v>2</v>
      </c>
    </row>
    <row r="6" spans="1:9" x14ac:dyDescent="0.25">
      <c r="A6" s="50"/>
      <c r="B6" s="52"/>
      <c r="C6" s="46"/>
      <c r="D6" s="46"/>
      <c r="E6" s="49"/>
      <c r="F6" s="49"/>
      <c r="G6" s="5" t="s">
        <v>79</v>
      </c>
      <c r="H6" s="16">
        <v>3</v>
      </c>
      <c r="I6" s="17">
        <f t="shared" si="0"/>
        <v>3</v>
      </c>
    </row>
    <row r="7" spans="1:9" x14ac:dyDescent="0.25">
      <c r="A7" s="50"/>
      <c r="B7" s="52"/>
      <c r="C7" s="46"/>
      <c r="D7" s="46"/>
      <c r="E7" s="49"/>
      <c r="F7" s="49"/>
      <c r="G7" s="5" t="s">
        <v>80</v>
      </c>
      <c r="H7" s="16">
        <v>3.1</v>
      </c>
      <c r="I7" s="17">
        <f t="shared" si="0"/>
        <v>3.1</v>
      </c>
    </row>
    <row r="8" spans="1:9" x14ac:dyDescent="0.25">
      <c r="A8" s="50"/>
      <c r="B8" s="52"/>
      <c r="C8" s="46"/>
      <c r="D8" s="46"/>
      <c r="E8" s="49"/>
      <c r="F8" s="49"/>
      <c r="G8" s="5" t="s">
        <v>81</v>
      </c>
      <c r="H8" s="16">
        <v>5</v>
      </c>
      <c r="I8" s="17">
        <f t="shared" si="0"/>
        <v>5</v>
      </c>
    </row>
    <row r="9" spans="1:9" x14ac:dyDescent="0.25">
      <c r="A9" s="50"/>
      <c r="B9" s="52"/>
      <c r="C9" s="46"/>
      <c r="D9" s="46"/>
      <c r="E9" s="49"/>
      <c r="F9" s="49"/>
      <c r="G9" s="5" t="s">
        <v>90</v>
      </c>
      <c r="H9" s="16">
        <v>6.8</v>
      </c>
      <c r="I9" s="17" t="str">
        <f t="shared" si="0"/>
        <v>Descartado</v>
      </c>
    </row>
    <row r="10" spans="1:9" x14ac:dyDescent="0.25">
      <c r="A10" s="50"/>
      <c r="B10" s="52"/>
      <c r="C10" s="46"/>
      <c r="D10" s="46"/>
      <c r="E10" s="49"/>
      <c r="F10" s="49"/>
      <c r="G10" s="5" t="s">
        <v>91</v>
      </c>
      <c r="H10" s="16">
        <v>8.8000000000000007</v>
      </c>
      <c r="I10" s="17" t="str">
        <f t="shared" si="0"/>
        <v>Descartado</v>
      </c>
    </row>
    <row r="11" spans="1:9" x14ac:dyDescent="0.25">
      <c r="A11" s="50"/>
      <c r="B11" s="52"/>
      <c r="C11" s="46"/>
      <c r="D11" s="46"/>
      <c r="E11" s="49"/>
      <c r="F11" s="49"/>
      <c r="G11" s="5" t="s">
        <v>105</v>
      </c>
      <c r="H11" s="16">
        <v>3.5</v>
      </c>
      <c r="I11" s="17">
        <f t="shared" si="0"/>
        <v>3.5</v>
      </c>
    </row>
    <row r="12" spans="1:9" x14ac:dyDescent="0.25">
      <c r="A12" s="50"/>
      <c r="B12" s="52"/>
      <c r="C12" s="46"/>
      <c r="D12" s="46"/>
      <c r="E12" s="49"/>
      <c r="F12" s="49"/>
      <c r="G12" s="5" t="s">
        <v>104</v>
      </c>
      <c r="H12" s="16">
        <v>4.49</v>
      </c>
      <c r="I12" s="17">
        <f t="shared" si="0"/>
        <v>4.49</v>
      </c>
    </row>
    <row r="13" spans="1:9" x14ac:dyDescent="0.25">
      <c r="A13" s="50"/>
      <c r="B13" s="52"/>
      <c r="C13" s="46"/>
      <c r="D13" s="46"/>
      <c r="E13" s="49"/>
      <c r="F13" s="49"/>
      <c r="G13" s="5" t="s">
        <v>106</v>
      </c>
      <c r="H13" s="16">
        <v>3.99</v>
      </c>
      <c r="I13" s="17">
        <f t="shared" si="0"/>
        <v>3.99</v>
      </c>
    </row>
    <row r="14" spans="1:9" x14ac:dyDescent="0.25">
      <c r="A14" s="50"/>
      <c r="B14" s="52"/>
      <c r="C14" s="46"/>
      <c r="D14" s="46"/>
      <c r="E14" s="49"/>
      <c r="F14" s="49"/>
      <c r="G14" s="5" t="s">
        <v>107</v>
      </c>
      <c r="H14" s="16">
        <v>4.79</v>
      </c>
      <c r="I14" s="17">
        <f t="shared" si="0"/>
        <v>4.79</v>
      </c>
    </row>
    <row r="15" spans="1:9" x14ac:dyDescent="0.25">
      <c r="A15" s="50"/>
      <c r="B15" s="52"/>
      <c r="C15" s="46"/>
      <c r="D15" s="46"/>
      <c r="E15" s="49"/>
      <c r="F15" s="49"/>
      <c r="G15" s="5" t="s">
        <v>108</v>
      </c>
      <c r="H15" s="16">
        <v>8</v>
      </c>
      <c r="I15" s="17" t="str">
        <f t="shared" si="0"/>
        <v>Descartado</v>
      </c>
    </row>
    <row r="16" spans="1:9" x14ac:dyDescent="0.25">
      <c r="A16" s="50"/>
      <c r="B16" s="52"/>
      <c r="C16" s="46"/>
      <c r="D16" s="46"/>
      <c r="E16" s="49"/>
      <c r="F16" s="49"/>
      <c r="G16" s="5" t="s">
        <v>109</v>
      </c>
      <c r="H16" s="16">
        <v>4.8</v>
      </c>
      <c r="I16" s="17">
        <f t="shared" si="0"/>
        <v>4.8</v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1.8951460554343997</v>
      </c>
      <c r="B20" s="8">
        <f>COUNT(H3:H17)</f>
        <v>14</v>
      </c>
      <c r="C20" s="9">
        <f>IF(B20&lt;2,"n/a",(A20/D20))</f>
        <v>0.38834960152344256</v>
      </c>
      <c r="D20" s="10">
        <f>IFERROR(ROUND(AVERAGE(H3:H17),2),"")</f>
        <v>4.88</v>
      </c>
      <c r="E20" s="15">
        <f>IFERROR(ROUND(IF(B20&lt;2,"n/a",(IF(C20&lt;=25%,"n/a",AVERAGE(I3:I17)))),2),"n/a")</f>
        <v>4.0599999999999996</v>
      </c>
      <c r="F20" s="10">
        <f>IFERROR(ROUND(MEDIAN(H3:H17),2),"")</f>
        <v>4.8</v>
      </c>
      <c r="G20" s="11" t="str">
        <f>IFERROR(INDEX(G3:G17,MATCH(H20,H3:H17,0)),"")</f>
        <v>BRASITUR EVENTOS- PE38/2023 IFB</v>
      </c>
      <c r="H20" s="12">
        <f>F3</f>
        <v>2</v>
      </c>
    </row>
    <row r="22" spans="1:9" x14ac:dyDescent="0.25">
      <c r="G22" s="13" t="s">
        <v>20</v>
      </c>
      <c r="H22" s="14">
        <f>IF(C20&lt;=25%,D20,MIN(E20:F20))</f>
        <v>4.0599999999999996</v>
      </c>
    </row>
    <row r="23" spans="1:9" x14ac:dyDescent="0.25">
      <c r="G23" s="13" t="s">
        <v>6</v>
      </c>
      <c r="H23" s="14">
        <f>ROUND(H22,2)*D3</f>
        <v>2163.98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19</v>
      </c>
      <c r="B3" s="51" t="s">
        <v>53</v>
      </c>
      <c r="C3" s="46" t="s">
        <v>7</v>
      </c>
      <c r="D3" s="46">
        <v>9</v>
      </c>
      <c r="E3" s="49">
        <f>IF(C20&lt;=25%,D20,MIN(E20:F20))</f>
        <v>33.39</v>
      </c>
      <c r="F3" s="49">
        <f>MIN(H3:H17)</f>
        <v>30.78</v>
      </c>
      <c r="G3" s="5" t="s">
        <v>63</v>
      </c>
      <c r="H3" s="16">
        <v>500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52"/>
      <c r="C4" s="46"/>
      <c r="D4" s="46"/>
      <c r="E4" s="49"/>
      <c r="F4" s="49"/>
      <c r="G4" s="5" t="s">
        <v>134</v>
      </c>
      <c r="H4" s="16">
        <v>30.78</v>
      </c>
      <c r="I4" s="17">
        <f t="shared" ref="I4:I17" si="0">IF(H4="","",(IF($C$20&lt;25%,"n/a",IF(H4&lt;=($D$20+$A$20),H4,"Descartado"))))</f>
        <v>30.78</v>
      </c>
    </row>
    <row r="5" spans="1:9" x14ac:dyDescent="0.25">
      <c r="A5" s="50"/>
      <c r="B5" s="52"/>
      <c r="C5" s="46"/>
      <c r="D5" s="46"/>
      <c r="E5" s="49"/>
      <c r="F5" s="49"/>
      <c r="G5" s="5" t="s">
        <v>133</v>
      </c>
      <c r="H5" s="16">
        <v>36</v>
      </c>
      <c r="I5" s="17">
        <f t="shared" si="0"/>
        <v>36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269.41005202726444</v>
      </c>
      <c r="B20" s="8">
        <f>COUNT(H3:H17)</f>
        <v>3</v>
      </c>
      <c r="C20" s="9">
        <f>IF(B20&lt;2,"n/a",(A20/D20))</f>
        <v>1.4259781507821121</v>
      </c>
      <c r="D20" s="10">
        <f>IFERROR(ROUND(AVERAGE(H3:H17),2),"")</f>
        <v>188.93</v>
      </c>
      <c r="E20" s="15">
        <f>IFERROR(ROUND(IF(B20&lt;2,"n/a",(IF(C20&lt;=25%,"n/a",AVERAGE(I3:I17)))),2),"n/a")</f>
        <v>33.39</v>
      </c>
      <c r="F20" s="10">
        <f>IFERROR(ROUND(MEDIAN(H3:H17),2),"")</f>
        <v>36</v>
      </c>
      <c r="G20" s="11" t="str">
        <f>IFERROR(INDEX(G3:G17,MATCH(H20,H3:H17,0)),"")</f>
        <v xml:space="preserve">Único preço PE28/2022 TRE-BA atualizada </v>
      </c>
      <c r="H20" s="12">
        <f>F3</f>
        <v>30.78</v>
      </c>
    </row>
    <row r="21" spans="1:9" x14ac:dyDescent="0.25">
      <c r="C21" s="37"/>
    </row>
    <row r="22" spans="1:9" x14ac:dyDescent="0.25">
      <c r="C22" s="37"/>
      <c r="G22" s="13" t="s">
        <v>20</v>
      </c>
      <c r="H22" s="14">
        <f>IF(C20&lt;=25%,D20,MIN(E20:F20))</f>
        <v>33.39</v>
      </c>
    </row>
    <row r="23" spans="1:9" x14ac:dyDescent="0.25">
      <c r="G23" s="13" t="s">
        <v>6</v>
      </c>
      <c r="H23" s="14">
        <f>ROUND(H22,2)*D3</f>
        <v>300.51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2</v>
      </c>
      <c r="B3" s="43" t="s">
        <v>36</v>
      </c>
      <c r="C3" s="46" t="s">
        <v>35</v>
      </c>
      <c r="D3" s="46">
        <v>100</v>
      </c>
      <c r="E3" s="49">
        <f>IF(C20&lt;=25%,D20,MIN(E20:F20))</f>
        <v>45</v>
      </c>
      <c r="F3" s="49">
        <f>MIN(H3:H17)</f>
        <v>43</v>
      </c>
      <c r="G3" s="5" t="s">
        <v>62</v>
      </c>
      <c r="H3" s="16">
        <v>100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44"/>
      <c r="C4" s="46"/>
      <c r="D4" s="46"/>
      <c r="E4" s="49"/>
      <c r="F4" s="49"/>
      <c r="G4" s="5" t="s">
        <v>63</v>
      </c>
      <c r="H4" s="16">
        <v>50</v>
      </c>
      <c r="I4" s="17">
        <f t="shared" ref="I4:I17" si="0">IF(H4="","",(IF($C$20&lt;25%,"n/a",IF(H4&lt;=($D$20+$A$20),H4,"Descartado"))))</f>
        <v>50</v>
      </c>
    </row>
    <row r="5" spans="1:9" x14ac:dyDescent="0.25">
      <c r="A5" s="50"/>
      <c r="B5" s="44"/>
      <c r="C5" s="46"/>
      <c r="D5" s="46"/>
      <c r="E5" s="49"/>
      <c r="F5" s="49"/>
      <c r="G5" s="5" t="s">
        <v>111</v>
      </c>
      <c r="H5" s="16">
        <v>43</v>
      </c>
      <c r="I5" s="17">
        <f t="shared" si="0"/>
        <v>43</v>
      </c>
    </row>
    <row r="6" spans="1:9" x14ac:dyDescent="0.25">
      <c r="A6" s="50"/>
      <c r="B6" s="44"/>
      <c r="C6" s="46"/>
      <c r="D6" s="46"/>
      <c r="E6" s="49"/>
      <c r="F6" s="49"/>
      <c r="G6" s="5" t="s">
        <v>112</v>
      </c>
      <c r="H6" s="16">
        <v>45</v>
      </c>
      <c r="I6" s="17">
        <f t="shared" si="0"/>
        <v>45</v>
      </c>
    </row>
    <row r="7" spans="1:9" x14ac:dyDescent="0.25">
      <c r="A7" s="50"/>
      <c r="B7" s="44"/>
      <c r="C7" s="46"/>
      <c r="D7" s="46"/>
      <c r="E7" s="49"/>
      <c r="F7" s="49"/>
      <c r="G7" s="5" t="s">
        <v>113</v>
      </c>
      <c r="H7" s="16">
        <v>45</v>
      </c>
      <c r="I7" s="17">
        <f t="shared" si="0"/>
        <v>45</v>
      </c>
    </row>
    <row r="8" spans="1:9" x14ac:dyDescent="0.25">
      <c r="A8" s="50"/>
      <c r="B8" s="44"/>
      <c r="C8" s="46"/>
      <c r="D8" s="46"/>
      <c r="E8" s="49"/>
      <c r="F8" s="49"/>
      <c r="G8" s="5" t="s">
        <v>114</v>
      </c>
      <c r="H8" s="16">
        <v>44.1</v>
      </c>
      <c r="I8" s="17">
        <f t="shared" si="0"/>
        <v>44.1</v>
      </c>
    </row>
    <row r="9" spans="1:9" x14ac:dyDescent="0.25">
      <c r="A9" s="50"/>
      <c r="B9" s="44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44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44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44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44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44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44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44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45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22.411641320230576</v>
      </c>
      <c r="B20" s="8">
        <f>COUNT(H3:H17)</f>
        <v>6</v>
      </c>
      <c r="C20" s="9">
        <f>IF(B20&lt;2,"n/a",(A20/D20))</f>
        <v>0.41107192443563051</v>
      </c>
      <c r="D20" s="10">
        <f>IFERROR(ROUND(AVERAGE(H3:H17),2),"")</f>
        <v>54.52</v>
      </c>
      <c r="E20" s="15">
        <f>IFERROR(ROUND(IF(B20&lt;2,"n/a",(IF(C20&lt;=25%,"n/a",AVERAGE(I3:I17)))),2),"n/a")</f>
        <v>45.42</v>
      </c>
      <c r="F20" s="10">
        <f>IFERROR(ROUND(MEDIAN(H3:H17),2),"")</f>
        <v>45</v>
      </c>
      <c r="G20" s="11" t="str">
        <f>IFERROR(INDEX(G3:G17,MATCH(H20,H3:H17,0)),"")</f>
        <v>DENISE MOURA -PE90015/24 PREF MUN MONTEIRO - PB</v>
      </c>
      <c r="H20" s="12">
        <f>F3</f>
        <v>43</v>
      </c>
    </row>
    <row r="22" spans="1:9" x14ac:dyDescent="0.25">
      <c r="G22" s="13" t="s">
        <v>20</v>
      </c>
      <c r="H22" s="14">
        <f>IF(C20&lt;=25%,D20,MIN(E20:F20))</f>
        <v>45</v>
      </c>
    </row>
    <row r="23" spans="1:9" x14ac:dyDescent="0.25">
      <c r="G23" s="13" t="s">
        <v>6</v>
      </c>
      <c r="H23" s="14">
        <f>ROUND(H22,2)*D3</f>
        <v>4500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20</v>
      </c>
      <c r="B3" s="51" t="s">
        <v>54</v>
      </c>
      <c r="C3" s="46" t="s">
        <v>55</v>
      </c>
      <c r="D3" s="46">
        <v>135</v>
      </c>
      <c r="E3" s="49">
        <f>IF(C20&lt;=25%,D20,MIN(E20:F20))</f>
        <v>5.38</v>
      </c>
      <c r="F3" s="49">
        <f>MIN(H3:H17)</f>
        <v>5.33</v>
      </c>
      <c r="G3" s="5" t="s">
        <v>63</v>
      </c>
      <c r="H3" s="16">
        <v>50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52"/>
      <c r="C4" s="46"/>
      <c r="D4" s="46"/>
      <c r="E4" s="49"/>
      <c r="F4" s="49"/>
      <c r="G4" s="5" t="s">
        <v>135</v>
      </c>
      <c r="H4" s="16">
        <v>5.42</v>
      </c>
      <c r="I4" s="17">
        <f t="shared" ref="I4:I17" si="0">IF(H4="","",(IF($C$20&lt;25%,"n/a",IF(H4&lt;=($D$20+$A$20),H4,"Descartado"))))</f>
        <v>5.42</v>
      </c>
    </row>
    <row r="5" spans="1:9" x14ac:dyDescent="0.25">
      <c r="A5" s="50"/>
      <c r="B5" s="52"/>
      <c r="C5" s="46"/>
      <c r="D5" s="46"/>
      <c r="E5" s="49"/>
      <c r="F5" s="49"/>
      <c r="G5" s="5" t="s">
        <v>136</v>
      </c>
      <c r="H5" s="16">
        <v>5.33</v>
      </c>
      <c r="I5" s="17">
        <f t="shared" si="0"/>
        <v>5.33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25.764295061188847</v>
      </c>
      <c r="B20" s="8">
        <f>COUNT(H3:H17)</f>
        <v>3</v>
      </c>
      <c r="C20" s="9">
        <f>IF(B20&lt;2,"n/a",(A20/D20))</f>
        <v>1.2723108672192023</v>
      </c>
      <c r="D20" s="10">
        <f>IFERROR(ROUND(AVERAGE(H3:H17),2),"")</f>
        <v>20.25</v>
      </c>
      <c r="E20" s="15">
        <f>IFERROR(ROUND(IF(B20&lt;2,"n/a",(IF(C20&lt;=25%,"n/a",AVERAGE(I3:I17)))),2),"n/a")</f>
        <v>5.38</v>
      </c>
      <c r="F20" s="10">
        <f>IFERROR(ROUND(MEDIAN(H3:H17),2),"")</f>
        <v>5.42</v>
      </c>
      <c r="G20" s="11" t="str">
        <f>IFERROR(INDEX(G3:G17,MATCH(H20,H3:H17,0)),"")</f>
        <v>único preço PE28/2022 atualizado</v>
      </c>
      <c r="H20" s="12">
        <f>F3</f>
        <v>5.33</v>
      </c>
    </row>
    <row r="22" spans="1:9" x14ac:dyDescent="0.25">
      <c r="G22" s="13" t="s">
        <v>20</v>
      </c>
      <c r="H22" s="14">
        <f>IF(C20&lt;=25%,D20,MIN(E20:F20))</f>
        <v>5.38</v>
      </c>
    </row>
    <row r="23" spans="1:9" x14ac:dyDescent="0.25">
      <c r="G23" s="13" t="s">
        <v>6</v>
      </c>
      <c r="H23" s="14">
        <f>ROUND(H22,2)*D3</f>
        <v>726.3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21</v>
      </c>
      <c r="B3" s="51" t="s">
        <v>56</v>
      </c>
      <c r="C3" s="46" t="s">
        <v>7</v>
      </c>
      <c r="D3" s="46">
        <v>18</v>
      </c>
      <c r="E3" s="49">
        <f>IF(C20&lt;=25%,D20,MIN(E20:F20))</f>
        <v>11.78</v>
      </c>
      <c r="F3" s="49">
        <f>MIN(H3:H17)</f>
        <v>10</v>
      </c>
      <c r="G3" s="5" t="s">
        <v>63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50"/>
      <c r="B4" s="52"/>
      <c r="C4" s="46"/>
      <c r="D4" s="46"/>
      <c r="E4" s="49"/>
      <c r="F4" s="49"/>
      <c r="G4" s="5" t="s">
        <v>126</v>
      </c>
      <c r="H4" s="16">
        <v>39.9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50"/>
      <c r="B5" s="52"/>
      <c r="C5" s="46"/>
      <c r="D5" s="46"/>
      <c r="E5" s="49"/>
      <c r="F5" s="49"/>
      <c r="G5" s="5" t="s">
        <v>127</v>
      </c>
      <c r="H5" s="16">
        <v>13.55</v>
      </c>
      <c r="I5" s="17">
        <f t="shared" si="0"/>
        <v>13.55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16.334702323580924</v>
      </c>
      <c r="B20" s="8">
        <f>COUNT(H3:H17)</f>
        <v>3</v>
      </c>
      <c r="C20" s="9">
        <f>IF(B20&lt;2,"n/a",(A20/D20))</f>
        <v>0.77232635099673408</v>
      </c>
      <c r="D20" s="10">
        <f>IFERROR(ROUND(AVERAGE(H3:H17),2),"")</f>
        <v>21.15</v>
      </c>
      <c r="E20" s="15">
        <f>IFERROR(ROUND(IF(B20&lt;2,"n/a",(IF(C20&lt;=25%,"n/a",AVERAGE(I3:I17)))),2),"n/a")</f>
        <v>11.78</v>
      </c>
      <c r="F20" s="10">
        <f>IFERROR(ROUND(MEDIAN(H3:H17),2),"")</f>
        <v>13.55</v>
      </c>
      <c r="G20" s="11" t="str">
        <f>IFERROR(INDEX(G3:G17,MATCH(H20,H3:H17,0)),"")</f>
        <v>OKALANGO EVENTOS</v>
      </c>
      <c r="H20" s="12">
        <f>F3</f>
        <v>10</v>
      </c>
    </row>
    <row r="22" spans="1:9" x14ac:dyDescent="0.25">
      <c r="G22" s="13" t="s">
        <v>20</v>
      </c>
      <c r="H22" s="14">
        <f>IF(C20&lt;=25%,D20,MIN(E20:F20))</f>
        <v>11.78</v>
      </c>
    </row>
    <row r="23" spans="1:9" x14ac:dyDescent="0.25">
      <c r="G23" s="13" t="s">
        <v>6</v>
      </c>
      <c r="H23" s="14">
        <f>ROUND(H22,2)*D3</f>
        <v>212.04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22</v>
      </c>
      <c r="B3" s="51" t="s">
        <v>57</v>
      </c>
      <c r="C3" s="46" t="s">
        <v>55</v>
      </c>
      <c r="D3" s="46">
        <v>230</v>
      </c>
      <c r="E3" s="49">
        <f>IF(C20&lt;=25%,D20,MIN(E20:F20))</f>
        <v>6.5</v>
      </c>
      <c r="F3" s="49">
        <f>MIN(H3:H17)</f>
        <v>4.53</v>
      </c>
      <c r="G3" s="5" t="s">
        <v>63</v>
      </c>
      <c r="H3" s="16">
        <v>90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52"/>
      <c r="C4" s="46"/>
      <c r="D4" s="46"/>
      <c r="E4" s="49"/>
      <c r="F4" s="49"/>
      <c r="G4" s="1" t="s">
        <v>138</v>
      </c>
      <c r="H4" s="16">
        <v>8.4700000000000006</v>
      </c>
      <c r="I4" s="17">
        <f t="shared" ref="I4:I17" si="0">IF(H4="","",(IF($C$20&lt;25%,"n/a",IF(H4&lt;=($D$20+$A$20),H4,"Descartado"))))</f>
        <v>8.4700000000000006</v>
      </c>
    </row>
    <row r="5" spans="1:9" x14ac:dyDescent="0.25">
      <c r="A5" s="50"/>
      <c r="B5" s="52"/>
      <c r="C5" s="46"/>
      <c r="D5" s="46"/>
      <c r="E5" s="49"/>
      <c r="F5" s="49"/>
      <c r="G5" s="1" t="s">
        <v>139</v>
      </c>
      <c r="H5" s="16">
        <v>4.53</v>
      </c>
      <c r="I5" s="17">
        <f t="shared" si="0"/>
        <v>4.53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48.24898168182758</v>
      </c>
      <c r="B20" s="8">
        <f>COUNT(H3:H17)</f>
        <v>3</v>
      </c>
      <c r="C20" s="9">
        <f>IF(B20&lt;2,"n/a",(A20/D20))</f>
        <v>1.4054465971985897</v>
      </c>
      <c r="D20" s="10">
        <f>IFERROR(ROUND(AVERAGE(H3:H17),2),"")</f>
        <v>34.33</v>
      </c>
      <c r="E20" s="15">
        <f>IFERROR(ROUND(IF(B20&lt;2,"n/a",(IF(C20&lt;=25%,"n/a",AVERAGE(I3:I17)))),2),"n/a")</f>
        <v>6.5</v>
      </c>
      <c r="F20" s="10">
        <f>IFERROR(ROUND(MEDIAN(H3:H17),2),"")</f>
        <v>8.4700000000000006</v>
      </c>
      <c r="G20" s="11" t="str">
        <f>IFERROR(INDEX(G3:G17,MATCH(H20,H3:H17,0)),"")</f>
        <v>melhor preço PE28/2022 TRE-BA</v>
      </c>
      <c r="H20" s="12">
        <f>F3</f>
        <v>4.53</v>
      </c>
    </row>
    <row r="22" spans="1:9" x14ac:dyDescent="0.25">
      <c r="G22" s="13" t="s">
        <v>20</v>
      </c>
      <c r="H22" s="14">
        <f>IF(C20&lt;=25%,D20,MIN(E20:F20))</f>
        <v>6.5</v>
      </c>
    </row>
    <row r="23" spans="1:9" x14ac:dyDescent="0.25">
      <c r="G23" s="13" t="s">
        <v>6</v>
      </c>
      <c r="H23" s="14">
        <f>ROUND(H22,2)*D3</f>
        <v>1495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23</v>
      </c>
      <c r="B3" s="51" t="s">
        <v>58</v>
      </c>
      <c r="C3" s="46" t="s">
        <v>55</v>
      </c>
      <c r="D3" s="46">
        <v>20</v>
      </c>
      <c r="E3" s="49">
        <f>IF(C20&lt;=25%,D20,MIN(E20:F20))</f>
        <v>5.94</v>
      </c>
      <c r="F3" s="49">
        <f>MIN(H3:H17)</f>
        <v>5.45</v>
      </c>
      <c r="G3" s="5" t="s">
        <v>63</v>
      </c>
      <c r="H3" s="16">
        <v>90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52"/>
      <c r="C4" s="46"/>
      <c r="D4" s="46"/>
      <c r="E4" s="49"/>
      <c r="F4" s="49"/>
      <c r="G4" s="1" t="s">
        <v>138</v>
      </c>
      <c r="H4" s="16">
        <v>6.43</v>
      </c>
      <c r="I4" s="17">
        <f t="shared" ref="I4:I17" si="0">IF(H4="","",(IF($C$20&lt;25%,"n/a",IF(H4&lt;=($D$20+$A$20),H4,"Descartado"))))</f>
        <v>6.43</v>
      </c>
    </row>
    <row r="5" spans="1:9" x14ac:dyDescent="0.25">
      <c r="A5" s="50"/>
      <c r="B5" s="52"/>
      <c r="C5" s="46"/>
      <c r="D5" s="46"/>
      <c r="E5" s="49"/>
      <c r="F5" s="49"/>
      <c r="G5" s="1" t="s">
        <v>141</v>
      </c>
      <c r="H5" s="16">
        <v>5.45</v>
      </c>
      <c r="I5" s="17">
        <f t="shared" si="0"/>
        <v>5.45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48.53453718745034</v>
      </c>
      <c r="B20" s="8">
        <f>COUNT(H3:H17)</f>
        <v>3</v>
      </c>
      <c r="C20" s="9">
        <f>IF(B20&lt;2,"n/a",(A20/D20))</f>
        <v>1.4291677617034846</v>
      </c>
      <c r="D20" s="10">
        <f>IFERROR(ROUND(AVERAGE(H3:H17),2),"")</f>
        <v>33.96</v>
      </c>
      <c r="E20" s="15">
        <f>IFERROR(ROUND(IF(B20&lt;2,"n/a",(IF(C20&lt;=25%,"n/a",AVERAGE(I3:I17)))),2),"n/a")</f>
        <v>5.94</v>
      </c>
      <c r="F20" s="10">
        <f>IFERROR(ROUND(MEDIAN(H3:H17),2),"")</f>
        <v>6.43</v>
      </c>
      <c r="G20" s="11" t="str">
        <f>IFERROR(INDEX(G3:G17,MATCH(H20,H3:H17,0)),"")</f>
        <v xml:space="preserve">única proposta PE28/2022 atualizada </v>
      </c>
      <c r="H20" s="12">
        <f>F3</f>
        <v>5.45</v>
      </c>
    </row>
    <row r="22" spans="1:9" x14ac:dyDescent="0.25">
      <c r="G22" s="13" t="s">
        <v>20</v>
      </c>
      <c r="H22" s="14">
        <f>IF(C20&lt;=25%,D20,MIN(E20:F20))</f>
        <v>5.94</v>
      </c>
    </row>
    <row r="23" spans="1:9" x14ac:dyDescent="0.25">
      <c r="G23" s="13" t="s">
        <v>6</v>
      </c>
      <c r="H23" s="14">
        <f>ROUND(H22,2)*D3</f>
        <v>118.80000000000001</v>
      </c>
    </row>
    <row r="25" spans="1:9" x14ac:dyDescent="0.25">
      <c r="A25" s="2" t="s">
        <v>28</v>
      </c>
      <c r="G25" s="1">
        <f>1320/50</f>
        <v>26.4</v>
      </c>
    </row>
    <row r="26" spans="1:9" x14ac:dyDescent="0.25">
      <c r="A26" s="2" t="s">
        <v>26</v>
      </c>
      <c r="G26" s="1">
        <f>G25/8</f>
        <v>3.3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24</v>
      </c>
      <c r="B3" s="51" t="s">
        <v>59</v>
      </c>
      <c r="C3" s="46" t="s">
        <v>60</v>
      </c>
      <c r="D3" s="46">
        <v>50</v>
      </c>
      <c r="E3" s="49">
        <f>IF(C20&lt;=25%,D20,MIN(E20:F20))</f>
        <v>33.76</v>
      </c>
      <c r="F3" s="49">
        <f>MIN(H3:H17)</f>
        <v>2.66</v>
      </c>
      <c r="G3" s="5" t="s">
        <v>63</v>
      </c>
      <c r="H3" s="16">
        <v>50</v>
      </c>
      <c r="I3" s="17">
        <f>IF(H3="","",(IF($C$20&lt;25%,"n/a",IF(H3&lt;=($D$20+$A$20),H3,"Descartado"))))</f>
        <v>50</v>
      </c>
    </row>
    <row r="4" spans="1:9" x14ac:dyDescent="0.25">
      <c r="A4" s="50"/>
      <c r="B4" s="52"/>
      <c r="C4" s="46"/>
      <c r="D4" s="46"/>
      <c r="E4" s="49"/>
      <c r="F4" s="49"/>
      <c r="G4" s="5" t="s">
        <v>140</v>
      </c>
      <c r="H4" s="16">
        <v>2.66</v>
      </c>
      <c r="I4" s="17">
        <f t="shared" ref="I4:I17" si="0">IF(H4="","",(IF($C$20&lt;25%,"n/a",IF(H4&lt;=($D$20+$A$20),H4,"Descartado"))))</f>
        <v>2.66</v>
      </c>
    </row>
    <row r="5" spans="1:9" x14ac:dyDescent="0.25">
      <c r="A5" s="50"/>
      <c r="B5" s="52"/>
      <c r="C5" s="46"/>
      <c r="D5" s="46"/>
      <c r="E5" s="49"/>
      <c r="F5" s="49"/>
      <c r="G5" s="5" t="s">
        <v>142</v>
      </c>
      <c r="H5" s="16">
        <v>32.72</v>
      </c>
      <c r="I5" s="17">
        <f t="shared" si="0"/>
        <v>32.72</v>
      </c>
    </row>
    <row r="6" spans="1:9" x14ac:dyDescent="0.25">
      <c r="A6" s="50"/>
      <c r="B6" s="52"/>
      <c r="C6" s="46"/>
      <c r="D6" s="46"/>
      <c r="E6" s="49"/>
      <c r="F6" s="49"/>
      <c r="G6" s="5" t="s">
        <v>143</v>
      </c>
      <c r="H6" s="16">
        <v>33.76</v>
      </c>
      <c r="I6" s="17">
        <f t="shared" si="0"/>
        <v>33.76</v>
      </c>
    </row>
    <row r="7" spans="1:9" x14ac:dyDescent="0.25">
      <c r="A7" s="50"/>
      <c r="B7" s="52"/>
      <c r="C7" s="46"/>
      <c r="D7" s="46"/>
      <c r="E7" s="49"/>
      <c r="F7" s="49"/>
      <c r="G7" s="5" t="s">
        <v>144</v>
      </c>
      <c r="H7" s="16">
        <v>52.77</v>
      </c>
      <c r="I7" s="17">
        <f t="shared" si="0"/>
        <v>52.77</v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19.946646835997271</v>
      </c>
      <c r="B20" s="8">
        <f>COUNT(H3:H17)</f>
        <v>5</v>
      </c>
      <c r="C20" s="9">
        <f>IF(B20&lt;2,"n/a",(A20/D20))</f>
        <v>0.58018169970905376</v>
      </c>
      <c r="D20" s="10">
        <f>IFERROR(ROUND(AVERAGE(H3:H17),2),"")</f>
        <v>34.380000000000003</v>
      </c>
      <c r="E20" s="15">
        <f>IFERROR(ROUND(IF(B20&lt;2,"n/a",(IF(C20&lt;=25%,"n/a",AVERAGE(I3:I17)))),2),"n/a")</f>
        <v>34.380000000000003</v>
      </c>
      <c r="F20" s="10">
        <f>IFERROR(ROUND(MEDIAN(H3:H17),2),"")</f>
        <v>33.76</v>
      </c>
      <c r="G20" s="11" t="str">
        <f>IFERROR(INDEX(G3:G17,MATCH(H20,H3:H17,0)),"")</f>
        <v>ÚNICA PROPOSTA PE28/2022</v>
      </c>
      <c r="H20" s="12">
        <f>F3</f>
        <v>2.66</v>
      </c>
    </row>
    <row r="21" spans="1:9" x14ac:dyDescent="0.25">
      <c r="B21" s="37"/>
    </row>
    <row r="22" spans="1:9" x14ac:dyDescent="0.25">
      <c r="G22" s="13" t="s">
        <v>20</v>
      </c>
      <c r="H22" s="14">
        <f>IF(C20&lt;=25%,D20,MIN(E20:F20))</f>
        <v>33.76</v>
      </c>
    </row>
    <row r="23" spans="1:9" x14ac:dyDescent="0.25">
      <c r="G23" s="13" t="s">
        <v>6</v>
      </c>
      <c r="H23" s="14">
        <f>ROUND(H22,2)*D3</f>
        <v>1688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50">
        <v>25</v>
      </c>
      <c r="B3" s="51" t="s">
        <v>61</v>
      </c>
      <c r="C3" s="46" t="s">
        <v>55</v>
      </c>
      <c r="D3" s="46">
        <v>115</v>
      </c>
      <c r="E3" s="49">
        <f>IF(C20&lt;=25%,D20,MIN(E20:F20))</f>
        <v>46.25</v>
      </c>
      <c r="F3" s="49">
        <f>MIN(H3:H17)</f>
        <v>40</v>
      </c>
      <c r="G3" s="5" t="s">
        <v>63</v>
      </c>
      <c r="H3" s="16">
        <v>50</v>
      </c>
      <c r="I3" s="17">
        <f>IF(H3="","",(IF($C$20&lt;25%,"n/a",IF(H3&lt;=($D$20+$A$20),H3,"Descartado"))))</f>
        <v>50</v>
      </c>
    </row>
    <row r="4" spans="1:9" x14ac:dyDescent="0.25">
      <c r="A4" s="50"/>
      <c r="B4" s="52"/>
      <c r="C4" s="46"/>
      <c r="D4" s="46"/>
      <c r="E4" s="49"/>
      <c r="F4" s="49"/>
      <c r="G4" s="5" t="s">
        <v>77</v>
      </c>
      <c r="H4" s="16">
        <v>40</v>
      </c>
      <c r="I4" s="17">
        <f t="shared" ref="I4:I17" si="0">IF(H4="","",(IF($C$20&lt;25%,"n/a",IF(H4&lt;=($D$20+$A$20),H4,"Descartado"))))</f>
        <v>40</v>
      </c>
    </row>
    <row r="5" spans="1:9" x14ac:dyDescent="0.25">
      <c r="A5" s="50"/>
      <c r="B5" s="52"/>
      <c r="C5" s="46"/>
      <c r="D5" s="46"/>
      <c r="E5" s="49"/>
      <c r="F5" s="49"/>
      <c r="G5" s="5" t="s">
        <v>82</v>
      </c>
      <c r="H5" s="16">
        <v>55</v>
      </c>
      <c r="I5" s="17">
        <f t="shared" si="0"/>
        <v>55</v>
      </c>
    </row>
    <row r="6" spans="1:9" x14ac:dyDescent="0.25">
      <c r="A6" s="50"/>
      <c r="B6" s="52"/>
      <c r="C6" s="46"/>
      <c r="D6" s="46"/>
      <c r="E6" s="49"/>
      <c r="F6" s="49"/>
      <c r="G6" s="5" t="s">
        <v>83</v>
      </c>
      <c r="H6" s="16">
        <v>40</v>
      </c>
      <c r="I6" s="17">
        <f t="shared" si="0"/>
        <v>40</v>
      </c>
    </row>
    <row r="7" spans="1:9" x14ac:dyDescent="0.25">
      <c r="A7" s="50"/>
      <c r="B7" s="52"/>
      <c r="C7" s="46"/>
      <c r="D7" s="46"/>
      <c r="E7" s="49"/>
      <c r="F7" s="49"/>
      <c r="G7" s="5" t="s">
        <v>84</v>
      </c>
      <c r="H7" s="16">
        <v>95</v>
      </c>
      <c r="I7" s="17" t="str">
        <f t="shared" si="0"/>
        <v>Descartado</v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22.74862633215465</v>
      </c>
      <c r="B20" s="8">
        <f>COUNT(H3:H17)</f>
        <v>5</v>
      </c>
      <c r="C20" s="9">
        <f>IF(B20&lt;2,"n/a",(A20/D20))</f>
        <v>0.4062254702170473</v>
      </c>
      <c r="D20" s="10">
        <f>IFERROR(ROUND(AVERAGE(H3:H17),2),"")</f>
        <v>56</v>
      </c>
      <c r="E20" s="15">
        <f>IFERROR(ROUND(IF(B20&lt;2,"n/a",(IF(C20&lt;=25%,"n/a",AVERAGE(I3:I17)))),2),"n/a")</f>
        <v>46.25</v>
      </c>
      <c r="F20" s="10">
        <f>IFERROR(ROUND(MEDIAN(H3:H17),2),"")</f>
        <v>50</v>
      </c>
      <c r="G20" s="11" t="str">
        <f>IFERROR(INDEX(G3:G17,MATCH(H20,H3:H17,0)),"")</f>
        <v>BRASITUR PE38/2023 IFB</v>
      </c>
      <c r="H20" s="12">
        <f>F3</f>
        <v>40</v>
      </c>
    </row>
    <row r="22" spans="1:9" x14ac:dyDescent="0.25">
      <c r="G22" s="13" t="s">
        <v>20</v>
      </c>
      <c r="H22" s="14">
        <f>IF(C20&lt;=25%,D20,MIN(E20:F20))</f>
        <v>46.25</v>
      </c>
    </row>
    <row r="23" spans="1:9" x14ac:dyDescent="0.25">
      <c r="G23" s="13" t="s">
        <v>6</v>
      </c>
      <c r="H23" s="14">
        <f>ROUND(H22,2)*D3</f>
        <v>5318.75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topLeftCell="A22" zoomScale="118" zoomScaleNormal="100" zoomScaleSheetLayoutView="118" workbookViewId="0">
      <selection activeCell="G34" sqref="G34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15.7109375" style="1" customWidth="1"/>
    <col min="6" max="6" width="16.5703125" style="1" customWidth="1"/>
    <col min="7" max="8" width="15.7109375" style="1" customWidth="1"/>
    <col min="9" max="9" width="16.85546875" style="1" bestFit="1" customWidth="1"/>
    <col min="10" max="16384" width="9.140625" style="1"/>
  </cols>
  <sheetData>
    <row r="1" spans="1:9" ht="15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 ht="48.75" x14ac:dyDescent="0.25">
      <c r="A2" s="32" t="s">
        <v>29</v>
      </c>
      <c r="B2" s="32" t="s">
        <v>1</v>
      </c>
      <c r="C2" s="32" t="s">
        <v>2</v>
      </c>
      <c r="D2" s="32" t="s">
        <v>3</v>
      </c>
      <c r="E2" s="33" t="s">
        <v>65</v>
      </c>
      <c r="F2" s="33" t="s">
        <v>66</v>
      </c>
      <c r="G2" s="33" t="s">
        <v>67</v>
      </c>
      <c r="H2" s="32" t="s">
        <v>5</v>
      </c>
      <c r="I2" s="32" t="s">
        <v>30</v>
      </c>
    </row>
    <row r="3" spans="1:9" ht="165" x14ac:dyDescent="0.25">
      <c r="A3" s="25" t="s">
        <v>34</v>
      </c>
      <c r="B3" s="25">
        <f>Item1!A3</f>
        <v>1</v>
      </c>
      <c r="C3" s="27" t="str">
        <f>Item1!B3</f>
        <v xml:space="preserve">Locação de cerca metálica tubular, com gradeamento vertical, apoio nas extremidades em V invertido, com altura
de 1,10 m, comprimento de 2,00 m, nstaladas em local indicado em planta
Período: 04 a 07/10/2024 – 1º turno (04 dias)
25 a 28/10/2024 – 2º turno (04 dias) (Se houver)
Local de instalação: área externa/ estacionamento da Sede do TRE.                                          </v>
      </c>
      <c r="D3" s="25" t="s">
        <v>35</v>
      </c>
      <c r="E3" s="25">
        <f>Item1!D3</f>
        <v>100</v>
      </c>
      <c r="F3" s="35">
        <v>8</v>
      </c>
      <c r="G3" s="35">
        <f>ROUND((E3*F3),2)</f>
        <v>800</v>
      </c>
      <c r="H3" s="26">
        <f>Item1!E3</f>
        <v>10.19</v>
      </c>
      <c r="I3" s="26">
        <f>ROUND((G3*H3),2)</f>
        <v>8152</v>
      </c>
    </row>
    <row r="4" spans="1:9" ht="120" x14ac:dyDescent="0.25">
      <c r="A4" s="25" t="s">
        <v>34</v>
      </c>
      <c r="B4" s="25">
        <f>Item2!A3</f>
        <v>2</v>
      </c>
      <c r="C4" s="27" t="str">
        <f>Item2!B3</f>
        <v>Locação de tapume metálico, altura de 2,20m, 1 portão com largura de 5,0m,  instalados em local indicado em planta.
Período: 04 a 07/10/2024 – 1º turno (04 dias) 25 a 28/10/2024 – 2º turno (04 dias) (Se houver)
Local para instalação: área externa da Sede do TRE-BA.</v>
      </c>
      <c r="D4" s="25" t="str">
        <f>Item2!C3</f>
        <v>metro</v>
      </c>
      <c r="E4" s="25">
        <f>Item2!D3</f>
        <v>100</v>
      </c>
      <c r="F4" s="35">
        <v>8</v>
      </c>
      <c r="G4" s="35">
        <f t="shared" ref="G4:G27" si="0">ROUND((E4*F4),2)</f>
        <v>800</v>
      </c>
      <c r="H4" s="26">
        <f>Item2!E3</f>
        <v>45</v>
      </c>
      <c r="I4" s="26">
        <f>ROUND((G4*H4),2)</f>
        <v>36000</v>
      </c>
    </row>
    <row r="5" spans="1:9" ht="210" x14ac:dyDescent="0.25">
      <c r="A5" s="25" t="s">
        <v>34</v>
      </c>
      <c r="B5" s="25">
        <f>Item3!A3</f>
        <v>3</v>
      </c>
      <c r="C5" s="27" t="str">
        <f>Item3!B3</f>
        <v>Locação de toldo de 4 (quatro) águas, na cor branca, com dimensões (6,00 x 6,00 x 2,45)m, estrutura em aço galvanizado, resistente a ventos; toldo em lona PVC, resistente às chuvas, reforçada com poliéster, com proteção antifungos, antimofo e anti-uv. A altura de 2,45m é da
testeira e não da cumeeira.
Período: 04 a 07/10/2024 – 1º turno (04 dias)
25 a 28/10/2024 – 2º turno (04 dias) (Se houver)
Local de instalação: CAP</v>
      </c>
      <c r="D5" s="25" t="str">
        <f>Item3!C3</f>
        <v>unidade</v>
      </c>
      <c r="E5" s="25">
        <f>Item3!D3</f>
        <v>1</v>
      </c>
      <c r="F5" s="35">
        <v>8</v>
      </c>
      <c r="G5" s="35">
        <f t="shared" si="0"/>
        <v>8</v>
      </c>
      <c r="H5" s="26">
        <f>Item3!E3</f>
        <v>2626.22</v>
      </c>
      <c r="I5" s="26">
        <f>ROUND((G5*H5),2)</f>
        <v>21009.759999999998</v>
      </c>
    </row>
    <row r="6" spans="1:9" ht="180" x14ac:dyDescent="0.25">
      <c r="A6" s="25" t="s">
        <v>34</v>
      </c>
      <c r="B6" s="25">
        <f>Item4!A3</f>
        <v>4</v>
      </c>
      <c r="C6" s="27" t="str">
        <f>Item4!B3</f>
        <v>Sinalização em adesivo vinílico com fundo branco e letras pretas, tamanho 85 x 28 cm.
Quantidade: 9 unidades – 1º turno
                  9 unidades – 2º turno (Se houver)
Dizeres a serem definidos posteriormente.
Data de entrega: 04/10/2024 – 1º turno
25 /10/2024 – 2º turno (Se houver)
Local para instalação: fixação na entrada das salas e seções eleitorais.</v>
      </c>
      <c r="D6" s="25" t="str">
        <f>Item4!C3</f>
        <v>unidade</v>
      </c>
      <c r="E6" s="25">
        <f>Item4!D3</f>
        <v>18</v>
      </c>
      <c r="F6" s="35" t="s">
        <v>68</v>
      </c>
      <c r="G6" s="34" t="s">
        <v>68</v>
      </c>
      <c r="H6" s="26">
        <f>Item4!E3</f>
        <v>112.05</v>
      </c>
      <c r="I6" s="26">
        <f>ROUND((E6*H6),2)</f>
        <v>2016.9</v>
      </c>
    </row>
    <row r="7" spans="1:9" ht="270" x14ac:dyDescent="0.25">
      <c r="A7" s="25" t="s">
        <v>34</v>
      </c>
      <c r="B7" s="25">
        <f>Item5!A3</f>
        <v>5</v>
      </c>
      <c r="C7" s="27" t="str">
        <f>Item5!B3</f>
        <v>Faixa com as seguintes características:
􀀀 Confeccionadas em laminado, tipo polietileno, na cor branca;
􀀀 Texto em única cor (preto);
􀀀 Dimensões: 3,00m de comprimento e 0,70m de largura;
􀀀 Fixada em estrutura metálica “box truss”,
existente no local.
Quantidade: 01 unidade – 1º turno
                    01 unidade – 2º turno (Se houver)
Dizeres a serem definidos posteriormente.
Data de entrega: 04/10/2024 – 1º turno
25 /10/2024 – 2º turno (Se houver)
Local de instalação: sinalização na área externa da Sede.</v>
      </c>
      <c r="D7" s="25" t="str">
        <f>Item5!C3</f>
        <v>unidade</v>
      </c>
      <c r="E7" s="25">
        <f>Item5!D3</f>
        <v>2</v>
      </c>
      <c r="F7" s="35" t="s">
        <v>68</v>
      </c>
      <c r="G7" s="34" t="s">
        <v>68</v>
      </c>
      <c r="H7" s="26">
        <f>Item5!E3</f>
        <v>426.51</v>
      </c>
      <c r="I7" s="26">
        <f>ROUND((E7*H7),2)</f>
        <v>853.02</v>
      </c>
    </row>
    <row r="8" spans="1:9" ht="270" x14ac:dyDescent="0.25">
      <c r="A8" s="25" t="s">
        <v>34</v>
      </c>
      <c r="B8" s="25">
        <f>Item6!A3</f>
        <v>6</v>
      </c>
      <c r="C8" s="27" t="str">
        <f>Item6!B3</f>
        <v>Sinalização em adesivo acrílico aquoso permanente.
Especificação do Liner (papel protetor):
􀀀 Papel couché siliconizado com gramatura de
150g;
􀀀 8m de comprimento e 2,20m de altura;
􀀀 Aplicação em estrutura de TS;
􀀀 Dizeres e imagens a serem definidos
posteriormente.
Quantidade: 01 unidade – 1º turno
01 unidade – 2º turno, caso ocorra e seja solicitado pela
Fiscalização
Data de entrega: 04/10/2024 – 1º turno
25 /10/2024 – 2º turno (Se houver)
Local de instalação: Área para entrevistas (ver planta).</v>
      </c>
      <c r="D8" s="25" t="str">
        <f>Item6!C3</f>
        <v>unidade</v>
      </c>
      <c r="E8" s="25">
        <f>Item6!D3</f>
        <v>2</v>
      </c>
      <c r="F8" s="35" t="s">
        <v>68</v>
      </c>
      <c r="G8" s="34" t="s">
        <v>68</v>
      </c>
      <c r="H8" s="26">
        <f>Item6!E3</f>
        <v>5013.63</v>
      </c>
      <c r="I8" s="26">
        <f>ROUND((E8*H8),2)</f>
        <v>10027.26</v>
      </c>
    </row>
    <row r="9" spans="1:9" ht="195" x14ac:dyDescent="0.25">
      <c r="A9" s="25" t="s">
        <v>34</v>
      </c>
      <c r="B9" s="25">
        <f>Item7!A3</f>
        <v>7</v>
      </c>
      <c r="C9" s="27" t="str">
        <f>Item7!B3</f>
        <v>Locação de estrutura metálica “box truss” para fixação de faixa com dimensão de 3,00m de comprimento e 0,70m de largura, confeccionada em laminado, tipo polietileno. A faixa deve ficar com seu limite inferior a 0,50m do solo.
Período: 04 a 07/10/2024 – 1º turno (04 dias)
            25 a 28/10/2024 – 2º turno (04 dias) (Se houver)
Local de instalação: área externa da Sede do TRE-BA.</v>
      </c>
      <c r="D9" s="25" t="str">
        <f>Item7!C3</f>
        <v>unidade</v>
      </c>
      <c r="E9" s="25">
        <f>Item7!D3</f>
        <v>1</v>
      </c>
      <c r="F9" s="35">
        <v>8</v>
      </c>
      <c r="G9" s="35">
        <f t="shared" si="0"/>
        <v>8</v>
      </c>
      <c r="H9" s="26">
        <f>Item7!E3</f>
        <v>432</v>
      </c>
      <c r="I9" s="26">
        <f t="shared" ref="I9:I17" si="1">ROUND((G9*H9),2)</f>
        <v>3456</v>
      </c>
    </row>
    <row r="10" spans="1:9" ht="135" x14ac:dyDescent="0.25">
      <c r="A10" s="25" t="s">
        <v>34</v>
      </c>
      <c r="B10" s="25">
        <f>Item8!A3</f>
        <v>8</v>
      </c>
      <c r="C10" s="27" t="str">
        <f>Item8!B3</f>
        <v>Locação de pedestal com placa para identificação/sinalização de áreas, em material plástico de alta resistência, para fixação de sinalização com dimensão A4.
Período: 04 a 07/10/2024 – 1º turno (04 dias)
              25 a 28/10/2024 – 2º turno (04 dias) (Se houver)
Local de instalação Sede do TRE-BA.</v>
      </c>
      <c r="D10" s="25" t="str">
        <f>Item8!C3</f>
        <v>unidade</v>
      </c>
      <c r="E10" s="25">
        <f>Item8!D3</f>
        <v>8</v>
      </c>
      <c r="F10" s="35">
        <v>8</v>
      </c>
      <c r="G10" s="35">
        <f t="shared" si="0"/>
        <v>64</v>
      </c>
      <c r="H10" s="26">
        <f>Item8!E3</f>
        <v>36.6</v>
      </c>
      <c r="I10" s="26">
        <f t="shared" si="1"/>
        <v>2342.4</v>
      </c>
    </row>
    <row r="11" spans="1:9" ht="345" x14ac:dyDescent="0.25">
      <c r="A11" s="25" t="s">
        <v>34</v>
      </c>
      <c r="B11" s="25">
        <f>Item9!A3</f>
        <v>9</v>
      </c>
      <c r="C11" s="27" t="str">
        <f>Item9!B3</f>
        <v>Locação de sanitários químicos portáteis, de uso individual, contendo: vaso sanitário (com tampa móvel no fundo, que evite a visualização de dejetos) e cuba; iluminação e ventilação interna; constituídos de material de alta densidade, que proporcionem grande resistência a choques e temperatura externa. Inclui também os serviços contínuos de:
a ) manutenção (abastecimento de produtos químicos, papel higiênico, sabonete líquido e papel toalha),
b ) higienização (recolhimentotransporte e destinação dos dejetos acumulados, através de caminhão de sucção e lavagem dos sanitários).
Período: 04 a 07/10/2024 – 1º turno (04 dias)
               25 a 28/10/2024 – 2º turno (04 dias) (Se houver)
Local de instalação: área externa da Sede do TRE-BA.</v>
      </c>
      <c r="D11" s="25" t="str">
        <f>Item9!C3</f>
        <v>unidade</v>
      </c>
      <c r="E11" s="25">
        <f>Item9!D3</f>
        <v>4</v>
      </c>
      <c r="F11" s="35">
        <v>8</v>
      </c>
      <c r="G11" s="35">
        <f t="shared" si="0"/>
        <v>32</v>
      </c>
      <c r="H11" s="26">
        <f>Item9!E3</f>
        <v>350.83</v>
      </c>
      <c r="I11" s="26">
        <f t="shared" si="1"/>
        <v>11226.56</v>
      </c>
    </row>
    <row r="12" spans="1:9" ht="195" x14ac:dyDescent="0.25">
      <c r="A12" s="25" t="s">
        <v>34</v>
      </c>
      <c r="B12" s="25">
        <f>Item10!A3</f>
        <v>10</v>
      </c>
      <c r="C12" s="27" t="str">
        <f>Item10!B3</f>
        <v>Carrinhos tipo plataforma (com as seguintes características: assoalho em aço ou madeira; capacidade mínima de carga: 600 kg; cabo de tração em forma de “T” com articulação e com altura mínima de 800 mm; 4 rodas de borracha maciça; comprimento: 1.000 a 1600 mm; largura: 600 a 900 mm))
Período: 30/09 a 07/10/2024 – 1º turno (08 dias)
              21 a 28/10/2024 – 2º turno (08 dias) (Se houver)
Local de instalação: Cartórios Eleitorais.</v>
      </c>
      <c r="D12" s="25" t="str">
        <f>Item10!C3</f>
        <v>unidade</v>
      </c>
      <c r="E12" s="25">
        <f>Item10!D3</f>
        <v>19</v>
      </c>
      <c r="F12" s="35">
        <v>16</v>
      </c>
      <c r="G12" s="35">
        <f t="shared" si="0"/>
        <v>304</v>
      </c>
      <c r="H12" s="26">
        <f>Item10!E3</f>
        <v>194.66</v>
      </c>
      <c r="I12" s="26">
        <f t="shared" si="1"/>
        <v>59176.639999999999</v>
      </c>
    </row>
    <row r="13" spans="1:9" ht="300" x14ac:dyDescent="0.25">
      <c r="A13" s="25">
        <v>1</v>
      </c>
      <c r="B13" s="25">
        <f>Item11!A3</f>
        <v>11</v>
      </c>
      <c r="C13" s="27" t="str">
        <f>Item11!B3</f>
        <v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04 a 07/10/2024 – 1º turno (04 dias)
              25 a 28/10/2024 – 2º turno (04 dias) (Se houver)
Local de instalação: Edifício Sede e Anexos.</v>
      </c>
      <c r="D13" s="25" t="str">
        <f>Item11!C3</f>
        <v>unidade</v>
      </c>
      <c r="E13" s="25">
        <f>Item11!D3</f>
        <v>27</v>
      </c>
      <c r="F13" s="35">
        <v>8</v>
      </c>
      <c r="G13" s="35">
        <f t="shared" si="0"/>
        <v>216</v>
      </c>
      <c r="H13" s="26">
        <f>Item11!E3</f>
        <v>12.09</v>
      </c>
      <c r="I13" s="26">
        <f t="shared" si="1"/>
        <v>2611.44</v>
      </c>
    </row>
    <row r="14" spans="1:9" ht="300" x14ac:dyDescent="0.25">
      <c r="A14" s="25">
        <v>1</v>
      </c>
      <c r="B14" s="25">
        <f>Item12!A3</f>
        <v>12</v>
      </c>
      <c r="C14" s="27" t="str">
        <f>Item12!B3</f>
        <v>Locação de cadeira giratória, sem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 empresa contratada.
Período: 04 a 07/10/2024– 1º turno (04 dias)
              28 a 28/10/2024 – 2º turno (04) (Se houver)
Local de instalação: Edifício Sede e Anexos.</v>
      </c>
      <c r="D14" s="25" t="str">
        <f>Item12!C3</f>
        <v>unidade</v>
      </c>
      <c r="E14" s="25">
        <f>Item12!D3</f>
        <v>45</v>
      </c>
      <c r="F14" s="35">
        <v>8</v>
      </c>
      <c r="G14" s="35">
        <f t="shared" si="0"/>
        <v>360</v>
      </c>
      <c r="H14" s="26">
        <f>Item12!E3</f>
        <v>31.41</v>
      </c>
      <c r="I14" s="26">
        <f t="shared" si="1"/>
        <v>11307.6</v>
      </c>
    </row>
    <row r="15" spans="1:9" ht="255" x14ac:dyDescent="0.25">
      <c r="A15" s="25">
        <v>1</v>
      </c>
      <c r="B15" s="25">
        <f>Item13!A3</f>
        <v>13</v>
      </c>
      <c r="C15" s="27" t="str">
        <f>Item13!B3</f>
        <v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27/09 a 07/10/2024 – (11 dias)
              14 a 28/10/2024 – (15 dias)
Local de instalação: Votação Paralela</v>
      </c>
      <c r="D15" s="25" t="str">
        <f>Item13!C3</f>
        <v>unidade</v>
      </c>
      <c r="E15" s="25">
        <f>Item13!D3</f>
        <v>33</v>
      </c>
      <c r="F15" s="35">
        <v>26</v>
      </c>
      <c r="G15" s="35">
        <f t="shared" si="0"/>
        <v>858</v>
      </c>
      <c r="H15" s="26">
        <f>Item13!E3</f>
        <v>12.09</v>
      </c>
      <c r="I15" s="26">
        <f t="shared" si="1"/>
        <v>10373.219999999999</v>
      </c>
    </row>
    <row r="16" spans="1:9" ht="255" x14ac:dyDescent="0.25">
      <c r="A16" s="25">
        <v>1</v>
      </c>
      <c r="B16" s="25">
        <f>Item14!A3</f>
        <v>14</v>
      </c>
      <c r="C16" s="27" t="str">
        <f>Item14!B3</f>
        <v>Locação de cadeira giratória, sem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
empresa contratada. 
Período: 27 a 07/10/2024 – (11 dias)
               14 a 28/10/2024 – (15 dias)
Local de instalação: Votação Paralela</v>
      </c>
      <c r="D16" s="25" t="str">
        <f>Item14!C3</f>
        <v>unidade</v>
      </c>
      <c r="E16" s="25">
        <f>Item14!D3</f>
        <v>99</v>
      </c>
      <c r="F16" s="35">
        <v>26</v>
      </c>
      <c r="G16" s="35">
        <f t="shared" si="0"/>
        <v>2574</v>
      </c>
      <c r="H16" s="26">
        <f>Item14!E3</f>
        <v>28.69</v>
      </c>
      <c r="I16" s="26">
        <f t="shared" si="1"/>
        <v>73848.06</v>
      </c>
    </row>
    <row r="17" spans="1:9" ht="300" x14ac:dyDescent="0.25">
      <c r="A17" s="25">
        <v>1</v>
      </c>
      <c r="B17" s="25">
        <f>Item15!A3</f>
        <v>15</v>
      </c>
      <c r="C17" s="27" t="str">
        <f>Item15!B3</f>
        <v>Locação de mesa, formato retangular, dimensões 800mm x 600mm, sem gaveteiro acoplado, estrutura autoportante metálica em aço, na cor argila, branca, preta, cinza ou
prata, com pés niveladores, tampo com 18mm no mínimo e 25mm no máximo de espessura, constituído em MDP ou MDF, revestido com laminado melamínico na cor marfim, argila, branca cinza ou natural e faces laterais com acabamento com fita de borda, em bom estado de conservação e com identificação da empresa contratada.
Período: 30/09 a 08/10/2024 – 1º turno (09 dias)
             21/10 a 29/10/2024 – 2º turno (09 dias) (Se houver)
Local de instalação: MEZANINO ANEXO II - APURAÇÃO</v>
      </c>
      <c r="D17" s="25" t="str">
        <f>Item15!C3</f>
        <v>unidade</v>
      </c>
      <c r="E17" s="25">
        <f>Item15!D3</f>
        <v>43</v>
      </c>
      <c r="F17" s="35">
        <v>18</v>
      </c>
      <c r="G17" s="35">
        <f t="shared" si="0"/>
        <v>774</v>
      </c>
      <c r="H17" s="26">
        <f>Item14!E3</f>
        <v>28.69</v>
      </c>
      <c r="I17" s="26">
        <f t="shared" si="1"/>
        <v>22206.06</v>
      </c>
    </row>
    <row r="18" spans="1:9" ht="300" x14ac:dyDescent="0.25">
      <c r="A18" s="25">
        <v>1</v>
      </c>
      <c r="B18" s="25">
        <f>Item16!A3</f>
        <v>16</v>
      </c>
      <c r="C18" s="27" t="str">
        <f>Item16!B3</f>
        <v>Locação de cadeira giratória, com braços, borda frontal arredondada, ajuste de altura, assento com interior em compensado forrado com espuma e revestido com tecido
crepe ou similar a couro, na cor preta ou azul, encosto com interior em polipropileno forrado com espuma e revestido com tecido crepe ou similar a couro, na cor preta ou azul, base com estrutura em aço ou nylon com 5 (cinco) patas, em bom estado de conservação e com identificação da empresa contratada.
Período: 30/09 a 08/10/2024 – 1º turno (09 dias)
             21/10 a 29/10/2024 – 2º turno (09 dias) (Se houver)
Local de instalação: MEZANINO ANEXO II - APURAÇÃO</v>
      </c>
      <c r="D18" s="25" t="str">
        <f>Item16!C3</f>
        <v>unidade</v>
      </c>
      <c r="E18" s="25">
        <f>Item16!D3</f>
        <v>43</v>
      </c>
      <c r="F18" s="35">
        <v>18</v>
      </c>
      <c r="G18" s="35">
        <f t="shared" si="0"/>
        <v>774</v>
      </c>
      <c r="H18" s="26">
        <f>Item16!E3</f>
        <v>31</v>
      </c>
      <c r="I18" s="26">
        <f t="shared" ref="I18:I27" si="2">ROUND((G18*H18),2)</f>
        <v>23994</v>
      </c>
    </row>
    <row r="19" spans="1:9" ht="165" x14ac:dyDescent="0.25">
      <c r="A19" s="25">
        <v>2</v>
      </c>
      <c r="B19" s="25">
        <f>Item17!A3</f>
        <v>17</v>
      </c>
      <c r="C19" s="27" t="str">
        <f>Item17!B3</f>
        <v>Locação de mesa quadrada (dimensão de 0,70m x 0,70m), em plástico (PVC), na cor branca, em bom estado de conservação e com identificação da empresa contratada.
Período: 04 a 07/10/2024 – 1º turno (04 dias)
              25 a 28/10/2024 – 2º turno (04 dias) (Se houver)
Local para instalação: Cartórios Eleitorais e AMAVE</v>
      </c>
      <c r="D19" s="25" t="str">
        <f>Item17!C3</f>
        <v>unidade</v>
      </c>
      <c r="E19" s="25">
        <f>Item17!D3</f>
        <v>142</v>
      </c>
      <c r="F19" s="35">
        <v>8</v>
      </c>
      <c r="G19" s="35">
        <f t="shared" si="0"/>
        <v>1136</v>
      </c>
      <c r="H19" s="26">
        <f>Item17!E3</f>
        <v>10.09</v>
      </c>
      <c r="I19" s="26">
        <f t="shared" ref="I19:I26" si="3">ROUND((G19*H19),2)</f>
        <v>11462.24</v>
      </c>
    </row>
    <row r="20" spans="1:9" ht="150" x14ac:dyDescent="0.25">
      <c r="A20" s="25">
        <v>2</v>
      </c>
      <c r="B20" s="25">
        <f>Item18!A3</f>
        <v>18</v>
      </c>
      <c r="C20" s="27" t="str">
        <f>Item18!B3</f>
        <v>Locação de cadeiras fixas e sem braço, em plástico (PVC), na cor branca, em bom estado de conservação e com identificação da empresa contratada.
Período: 04 a 07/10/2024 – 1º turno (04 dias)
             25 a 28/10/2024 – 2º turno (04 dias) (Se houver)
Local para instalação: Cartórios Eleitorais e AMAVE</v>
      </c>
      <c r="D20" s="25" t="str">
        <f>Item18!C3</f>
        <v>unidade</v>
      </c>
      <c r="E20" s="25">
        <f>Item18!D3</f>
        <v>533</v>
      </c>
      <c r="F20" s="35">
        <v>8</v>
      </c>
      <c r="G20" s="35">
        <f t="shared" si="0"/>
        <v>4264</v>
      </c>
      <c r="H20" s="26">
        <f>Item18!E3</f>
        <v>4.0599999999999996</v>
      </c>
      <c r="I20" s="26">
        <f t="shared" si="3"/>
        <v>17311.84</v>
      </c>
    </row>
    <row r="21" spans="1:9" ht="90" x14ac:dyDescent="0.25">
      <c r="A21" s="25">
        <v>3</v>
      </c>
      <c r="B21" s="25">
        <f>Item19!A3</f>
        <v>19</v>
      </c>
      <c r="C21" s="27" t="str">
        <f>Item19!B3</f>
        <v>Locação de aparelho de ar-condicionado 18.000 BTUs, 110V, com estrutura para sala em “octanorm”.
Obs: Os aparelhos devem ter mangueira para drenagem e recipiente para recepção de água.</v>
      </c>
      <c r="D21" s="25" t="str">
        <f>Item19!C3</f>
        <v>unidade</v>
      </c>
      <c r="E21" s="25">
        <f>Item19!D3</f>
        <v>9</v>
      </c>
      <c r="F21" s="35">
        <v>8</v>
      </c>
      <c r="G21" s="35">
        <f t="shared" si="0"/>
        <v>72</v>
      </c>
      <c r="H21" s="26">
        <f>Item19!E3</f>
        <v>33.39</v>
      </c>
      <c r="I21" s="26">
        <f t="shared" si="3"/>
        <v>2404.08</v>
      </c>
    </row>
    <row r="22" spans="1:9" ht="45" x14ac:dyDescent="0.25">
      <c r="A22" s="25">
        <v>3</v>
      </c>
      <c r="B22" s="25">
        <f>Item20!A3</f>
        <v>20</v>
      </c>
      <c r="C22" s="27" t="str">
        <f>Item20!B3</f>
        <v>Forro para salas com estrutura em "octanorm" com fechamento em TS, com iluminação.</v>
      </c>
      <c r="D22" s="40" t="s">
        <v>145</v>
      </c>
      <c r="E22" s="25">
        <f>Item20!D3</f>
        <v>135</v>
      </c>
      <c r="F22" s="35">
        <v>8</v>
      </c>
      <c r="G22" s="35">
        <f t="shared" si="0"/>
        <v>1080</v>
      </c>
      <c r="H22" s="26">
        <f>Item20!E3</f>
        <v>5.38</v>
      </c>
      <c r="I22" s="26">
        <f t="shared" si="3"/>
        <v>5810.4</v>
      </c>
    </row>
    <row r="23" spans="1:9" ht="75" x14ac:dyDescent="0.25">
      <c r="A23" s="25">
        <v>3</v>
      </c>
      <c r="B23" s="25">
        <f>Item21!A3</f>
        <v>21</v>
      </c>
      <c r="C23" s="27" t="str">
        <f>Item21!B3</f>
        <v>Luminárias com duas lâmpadas LED T8, 18W, mínimo de 1600 lúmens cada, bivolt, luz branca (6000 ou 6500K), específicas para forro de estrutura em “octanorm”.</v>
      </c>
      <c r="D23" s="25" t="str">
        <f>Item21!C3</f>
        <v>unidade</v>
      </c>
      <c r="E23" s="25">
        <f>Item21!D3</f>
        <v>18</v>
      </c>
      <c r="F23" s="35">
        <v>8</v>
      </c>
      <c r="G23" s="35">
        <f t="shared" si="0"/>
        <v>144</v>
      </c>
      <c r="H23" s="26">
        <f>Item21!E3</f>
        <v>11.78</v>
      </c>
      <c r="I23" s="26">
        <f t="shared" si="3"/>
        <v>1696.32</v>
      </c>
    </row>
    <row r="24" spans="1:9" ht="75" x14ac:dyDescent="0.25">
      <c r="A24" s="25">
        <v>3</v>
      </c>
      <c r="B24" s="25">
        <f>Item22!A3</f>
        <v>22</v>
      </c>
      <c r="C24" s="27" t="str">
        <f>Item22!B3</f>
        <v>Estrutura em “octanorm” fechamento em TS, h=2,20 (ver planta de detalhamento).
Obs.: com 8 portas com visor conforme detalhamento</v>
      </c>
      <c r="D24" s="40" t="s">
        <v>145</v>
      </c>
      <c r="E24" s="25">
        <f>Item22!D3</f>
        <v>230</v>
      </c>
      <c r="F24" s="35">
        <v>8</v>
      </c>
      <c r="G24" s="35">
        <f t="shared" si="0"/>
        <v>1840</v>
      </c>
      <c r="H24" s="26">
        <f>Item22!E3</f>
        <v>6.5</v>
      </c>
      <c r="I24" s="26">
        <f t="shared" si="3"/>
        <v>11960</v>
      </c>
    </row>
    <row r="25" spans="1:9" ht="60" x14ac:dyDescent="0.25">
      <c r="A25" s="25">
        <v>3</v>
      </c>
      <c r="B25" s="25">
        <f>Item23!A3</f>
        <v>23</v>
      </c>
      <c r="C25" s="27" t="str">
        <f>Item23!B3</f>
        <v>Estrutura em “octanorm” fechamento inferior em TS, e vidro a partir de 1 m de altura, h=2,20 (ver planta de detalhamento).</v>
      </c>
      <c r="D25" s="40" t="s">
        <v>145</v>
      </c>
      <c r="E25" s="25">
        <f>Item23!D3</f>
        <v>20</v>
      </c>
      <c r="F25" s="35">
        <v>8</v>
      </c>
      <c r="G25" s="35">
        <f t="shared" si="0"/>
        <v>160</v>
      </c>
      <c r="H25" s="26">
        <f>Item23!E3</f>
        <v>5.94</v>
      </c>
      <c r="I25" s="26">
        <f t="shared" si="3"/>
        <v>950.4</v>
      </c>
    </row>
    <row r="26" spans="1:9" ht="30" x14ac:dyDescent="0.25">
      <c r="A26" s="25">
        <v>3</v>
      </c>
      <c r="B26" s="25">
        <f>Item24!A3</f>
        <v>24</v>
      </c>
      <c r="C26" s="27" t="str">
        <f>Item24!B3</f>
        <v>Locação de organizadores de ambiente tipo “unifila”, altura mínima 1 metro.</v>
      </c>
      <c r="D26" s="25" t="s">
        <v>35</v>
      </c>
      <c r="E26" s="25">
        <f>Item24!D3</f>
        <v>50</v>
      </c>
      <c r="F26" s="35">
        <v>8</v>
      </c>
      <c r="G26" s="35">
        <f t="shared" si="0"/>
        <v>400</v>
      </c>
      <c r="H26" s="26">
        <f>Item24!E3</f>
        <v>33.76</v>
      </c>
      <c r="I26" s="26">
        <f t="shared" si="3"/>
        <v>13504</v>
      </c>
    </row>
    <row r="27" spans="1:9" ht="45" x14ac:dyDescent="0.25">
      <c r="A27" s="25">
        <v>3</v>
      </c>
      <c r="B27" s="25">
        <f>Item25!A3</f>
        <v>25</v>
      </c>
      <c r="C27" s="27" t="str">
        <f>Item25!B3</f>
        <v>Carpete novo na cor cinza ou marrom claro, para salas com estrutura em "octanorm" com fechamento em TS.</v>
      </c>
      <c r="D27" s="40" t="s">
        <v>145</v>
      </c>
      <c r="E27" s="25">
        <f>Item25!D3</f>
        <v>115</v>
      </c>
      <c r="F27" s="35">
        <v>8</v>
      </c>
      <c r="G27" s="35">
        <f t="shared" si="0"/>
        <v>920</v>
      </c>
      <c r="H27" s="26">
        <f>Item25!E3</f>
        <v>46.25</v>
      </c>
      <c r="I27" s="26">
        <f t="shared" si="2"/>
        <v>42550</v>
      </c>
    </row>
    <row r="28" spans="1:9" x14ac:dyDescent="0.25">
      <c r="A28" s="28"/>
      <c r="B28" s="28"/>
      <c r="C28" s="29"/>
      <c r="D28" s="30"/>
      <c r="E28" s="30"/>
      <c r="F28" s="31"/>
      <c r="G28" s="31"/>
      <c r="I28" s="36"/>
    </row>
    <row r="29" spans="1:9" ht="15.75" thickBot="1" x14ac:dyDescent="0.3"/>
    <row r="30" spans="1:9" ht="16.5" thickTop="1" thickBot="1" x14ac:dyDescent="0.3">
      <c r="D30" s="22"/>
      <c r="E30" s="23" t="s">
        <v>33</v>
      </c>
      <c r="F30" s="24">
        <f>SUM(I:I)</f>
        <v>406250.20000000007</v>
      </c>
    </row>
    <row r="31" spans="1:9" ht="15.75" thickTop="1" x14ac:dyDescent="0.25">
      <c r="F31" s="3"/>
    </row>
    <row r="32" spans="1:9" x14ac:dyDescent="0.25">
      <c r="D32" s="21" t="s">
        <v>32</v>
      </c>
      <c r="E32" s="13">
        <f>MAX(A:A)</f>
        <v>3</v>
      </c>
      <c r="H32" s="36"/>
    </row>
    <row r="33" spans="4:9" x14ac:dyDescent="0.25">
      <c r="H33" s="36"/>
      <c r="I33" s="36"/>
    </row>
    <row r="34" spans="4:9" x14ac:dyDescent="0.25">
      <c r="D34" s="18" t="s">
        <v>31</v>
      </c>
      <c r="E34" s="19">
        <v>1</v>
      </c>
      <c r="F34" s="20">
        <f t="shared" ref="F34:F36" si="4">SUMIF(A:A,E34,I:I)</f>
        <v>144340.38</v>
      </c>
      <c r="H34" s="36"/>
    </row>
    <row r="35" spans="4:9" x14ac:dyDescent="0.25">
      <c r="D35" s="18" t="s">
        <v>31</v>
      </c>
      <c r="E35" s="19">
        <v>2</v>
      </c>
      <c r="F35" s="20">
        <f t="shared" si="4"/>
        <v>28774.080000000002</v>
      </c>
      <c r="H35" s="36"/>
    </row>
    <row r="36" spans="4:9" x14ac:dyDescent="0.25">
      <c r="D36" s="18" t="s">
        <v>31</v>
      </c>
      <c r="E36" s="19">
        <v>3</v>
      </c>
      <c r="F36" s="20">
        <f t="shared" si="4"/>
        <v>78875.199999999997</v>
      </c>
      <c r="H36" s="36"/>
    </row>
    <row r="37" spans="4:9" x14ac:dyDescent="0.25">
      <c r="D37" s="18" t="s">
        <v>31</v>
      </c>
      <c r="E37" s="19">
        <v>4</v>
      </c>
      <c r="F37" s="20">
        <f>SUMIF(A:A,E37,I:I)</f>
        <v>0</v>
      </c>
    </row>
  </sheetData>
  <mergeCells count="1">
    <mergeCell ref="A1:I1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headerFooter>
    <oddHeader>&amp;C&amp;G</oddHeader>
    <oddFooter>&amp;L&amp;"-,Negrito"Estimativa em &amp;D&amp;R&amp;"-,Negrito"n/a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3</v>
      </c>
      <c r="B3" s="51" t="s">
        <v>37</v>
      </c>
      <c r="C3" s="46" t="s">
        <v>7</v>
      </c>
      <c r="D3" s="46">
        <v>1</v>
      </c>
      <c r="E3" s="49">
        <f>IF(C20&lt;=25%,D20,MIN(E20:F20))</f>
        <v>2626.22</v>
      </c>
      <c r="F3" s="49">
        <f>MIN(H3:H17)</f>
        <v>500</v>
      </c>
      <c r="G3" s="5" t="s">
        <v>62</v>
      </c>
      <c r="H3" s="16">
        <v>500</v>
      </c>
      <c r="I3" s="17">
        <f>IF(H3="","",(IF($C$20&lt;25%,"n/a",IF(H3&lt;=($D$20+$A$20),H3,"Descartado"))))</f>
        <v>500</v>
      </c>
    </row>
    <row r="4" spans="1:9" x14ac:dyDescent="0.25">
      <c r="A4" s="50"/>
      <c r="B4" s="52"/>
      <c r="C4" s="46"/>
      <c r="D4" s="46"/>
      <c r="E4" s="49"/>
      <c r="F4" s="49"/>
      <c r="G4" s="5" t="s">
        <v>63</v>
      </c>
      <c r="H4" s="16">
        <v>800</v>
      </c>
      <c r="I4" s="17">
        <f t="shared" ref="I4:I17" si="0">IF(H4="","",(IF($C$20&lt;25%,"n/a",IF(H4&lt;=($D$20+$A$20),H4,"Descartado"))))</f>
        <v>800</v>
      </c>
    </row>
    <row r="5" spans="1:9" x14ac:dyDescent="0.25">
      <c r="A5" s="50"/>
      <c r="B5" s="52"/>
      <c r="C5" s="46"/>
      <c r="D5" s="46"/>
      <c r="E5" s="49"/>
      <c r="F5" s="49"/>
      <c r="G5" s="5" t="s">
        <v>102</v>
      </c>
      <c r="H5" s="16">
        <v>2587</v>
      </c>
      <c r="I5" s="17">
        <f t="shared" si="0"/>
        <v>2587</v>
      </c>
    </row>
    <row r="6" spans="1:9" x14ac:dyDescent="0.25">
      <c r="A6" s="50"/>
      <c r="B6" s="52"/>
      <c r="C6" s="46"/>
      <c r="D6" s="46"/>
      <c r="E6" s="49"/>
      <c r="F6" s="49"/>
      <c r="G6" s="5" t="s">
        <v>101</v>
      </c>
      <c r="H6" s="16">
        <v>4629.41</v>
      </c>
      <c r="I6" s="17">
        <f t="shared" si="0"/>
        <v>4629.41</v>
      </c>
    </row>
    <row r="7" spans="1:9" x14ac:dyDescent="0.25">
      <c r="A7" s="50"/>
      <c r="B7" s="52"/>
      <c r="C7" s="46"/>
      <c r="D7" s="46"/>
      <c r="E7" s="49"/>
      <c r="F7" s="49"/>
      <c r="G7" s="5" t="s">
        <v>100</v>
      </c>
      <c r="H7" s="16">
        <v>4614.7</v>
      </c>
      <c r="I7" s="17">
        <f t="shared" si="0"/>
        <v>4614.7</v>
      </c>
    </row>
    <row r="8" spans="1:9" x14ac:dyDescent="0.25">
      <c r="A8" s="50"/>
      <c r="B8" s="52"/>
      <c r="C8" s="46"/>
      <c r="D8" s="46"/>
      <c r="E8" s="49"/>
      <c r="F8" s="49"/>
      <c r="G8" s="5" t="s">
        <v>128</v>
      </c>
      <c r="H8" s="16">
        <v>5270.37</v>
      </c>
      <c r="I8" s="17" t="str">
        <f t="shared" si="0"/>
        <v>Descartado</v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2080.890079265761</v>
      </c>
      <c r="B20" s="8">
        <f>COUNT(H3:H17)</f>
        <v>6</v>
      </c>
      <c r="C20" s="9">
        <f>IF(B20&lt;2,"n/a",(A20/D20))</f>
        <v>0.67849727552023409</v>
      </c>
      <c r="D20" s="10">
        <f>IFERROR(ROUND(AVERAGE(H3:H17),2),"")</f>
        <v>3066.91</v>
      </c>
      <c r="E20" s="15">
        <f>IFERROR(ROUND(IF(B20&lt;2,"n/a",(IF(C20&lt;=25%,"n/a",AVERAGE(I3:I17)))),2),"n/a")</f>
        <v>2626.22</v>
      </c>
      <c r="F20" s="10">
        <f>IFERROR(ROUND(MEDIAN(H3:H17),2),"")</f>
        <v>3600.85</v>
      </c>
      <c r="G20" s="11" t="str">
        <f>IFERROR(INDEX(G3:G17,MATCH(H20,H3:H17,0)),"")</f>
        <v xml:space="preserve">DETALHE  LOCAÇÃO 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2626.22</v>
      </c>
    </row>
    <row r="23" spans="1:9" x14ac:dyDescent="0.25">
      <c r="G23" s="13" t="s">
        <v>6</v>
      </c>
      <c r="H23" s="14">
        <f>ROUND(H22,2)*D3</f>
        <v>2626.22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4</v>
      </c>
      <c r="B3" s="51" t="s">
        <v>38</v>
      </c>
      <c r="C3" s="46" t="s">
        <v>7</v>
      </c>
      <c r="D3" s="46">
        <v>18</v>
      </c>
      <c r="E3" s="49">
        <f>IF(C20&lt;=25%,D20,MIN(E20:F20))</f>
        <v>112.05</v>
      </c>
      <c r="F3" s="49">
        <f>MIN(H3:H17)</f>
        <v>90</v>
      </c>
      <c r="G3" s="5" t="s">
        <v>62</v>
      </c>
      <c r="H3" s="16">
        <v>90</v>
      </c>
      <c r="I3" s="17" t="str">
        <f>IF(H3="","",(IF($C$20&lt;25%,"n/a",IF(H3&lt;=($D$20+$A$20),H3,"Descartado"))))</f>
        <v>n/a</v>
      </c>
    </row>
    <row r="4" spans="1:9" x14ac:dyDescent="0.25">
      <c r="A4" s="50"/>
      <c r="B4" s="52"/>
      <c r="C4" s="46"/>
      <c r="D4" s="46"/>
      <c r="E4" s="49"/>
      <c r="F4" s="49"/>
      <c r="G4" s="5" t="s">
        <v>63</v>
      </c>
      <c r="H4" s="16">
        <v>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50"/>
      <c r="B5" s="52"/>
      <c r="C5" s="46"/>
      <c r="D5" s="46"/>
      <c r="E5" s="49"/>
      <c r="F5" s="49"/>
      <c r="G5" s="5" t="s">
        <v>123</v>
      </c>
      <c r="H5" s="16">
        <v>128.86000000000001</v>
      </c>
      <c r="I5" s="17" t="str">
        <f>IF(H5="","",(IF($C$20&lt;25%,"n/a",IF(H5&lt;=($D$20+$A$20),H5,"Descartado"))))</f>
        <v>n/a</v>
      </c>
    </row>
    <row r="6" spans="1:9" x14ac:dyDescent="0.25">
      <c r="A6" s="50"/>
      <c r="B6" s="52"/>
      <c r="C6" s="46"/>
      <c r="D6" s="46"/>
      <c r="E6" s="49"/>
      <c r="F6" s="49"/>
      <c r="G6" s="5" t="s">
        <v>122</v>
      </c>
      <c r="H6" s="16">
        <v>139.32</v>
      </c>
      <c r="I6" s="17" t="str">
        <f t="shared" si="0"/>
        <v>n/a</v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37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25.81106933081232</v>
      </c>
      <c r="B20" s="8">
        <f>COUNT(H3:H17)</f>
        <v>4</v>
      </c>
      <c r="C20" s="9">
        <f>IF(B20&lt;2,"n/a",(A20/D20))</f>
        <v>0.23035313994477752</v>
      </c>
      <c r="D20" s="10">
        <f>IFERROR(ROUND(AVERAGE(H3:H17),2),"")</f>
        <v>112.05</v>
      </c>
      <c r="E20" s="15" t="str">
        <f>IFERROR(ROUND(IF(B20&lt;2,"n/a",(IF(C20&lt;=25%,"n/a",AVERAGE(I3:I17)))),2),"n/a")</f>
        <v>n/a</v>
      </c>
      <c r="F20" s="10">
        <f>IFERROR(ROUND(MEDIAN(H3:H17),2),"")</f>
        <v>109.43</v>
      </c>
      <c r="G20" s="11" t="str">
        <f>IFERROR(INDEX(G3:G17,MATCH(H20,H3:H17,0)),"")</f>
        <v xml:space="preserve">DETALHE  LOCAÇÃO </v>
      </c>
      <c r="H20" s="12">
        <f>F3</f>
        <v>90</v>
      </c>
    </row>
    <row r="22" spans="1:9" x14ac:dyDescent="0.25">
      <c r="G22" s="13" t="s">
        <v>20</v>
      </c>
      <c r="H22" s="14">
        <f>IF(C20&lt;=25%,D20,MIN(E20:F20))</f>
        <v>112.05</v>
      </c>
    </row>
    <row r="23" spans="1:9" x14ac:dyDescent="0.25">
      <c r="G23" s="13" t="s">
        <v>6</v>
      </c>
      <c r="H23" s="14">
        <f>ROUND(H22,2)*D3</f>
        <v>2016.8999999999999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5</v>
      </c>
      <c r="B3" s="51" t="s">
        <v>39</v>
      </c>
      <c r="C3" s="46" t="s">
        <v>7</v>
      </c>
      <c r="D3" s="46">
        <v>2</v>
      </c>
      <c r="E3" s="49">
        <f>IF(C20&lt;=25%,D20,MIN(E20:F20))</f>
        <v>426.51</v>
      </c>
      <c r="F3" s="49">
        <f>MIN(H3:H17)</f>
        <v>405.77</v>
      </c>
      <c r="G3" s="5" t="s">
        <v>63</v>
      </c>
      <c r="H3" s="16">
        <v>900</v>
      </c>
      <c r="I3" s="17" t="str">
        <f>IF(H3="","",(IF($C$20&lt;25%,"n/a",IF(H3&lt;=($D$20+$A$20),H3,"Descartado"))))</f>
        <v>Descartado</v>
      </c>
    </row>
    <row r="4" spans="1:9" x14ac:dyDescent="0.25">
      <c r="A4" s="50"/>
      <c r="B4" s="52"/>
      <c r="C4" s="46"/>
      <c r="D4" s="46"/>
      <c r="E4" s="49"/>
      <c r="F4" s="49"/>
      <c r="G4" s="5" t="s">
        <v>124</v>
      </c>
      <c r="H4" s="16">
        <v>405.77</v>
      </c>
      <c r="I4" s="17">
        <f t="shared" ref="I4:I17" si="0">IF(H4="","",(IF($C$20&lt;25%,"n/a",IF(H4&lt;=($D$20+$A$20),H4,"Descartado"))))</f>
        <v>405.77</v>
      </c>
    </row>
    <row r="5" spans="1:9" x14ac:dyDescent="0.25">
      <c r="A5" s="50"/>
      <c r="B5" s="52"/>
      <c r="C5" s="46"/>
      <c r="D5" s="46"/>
      <c r="E5" s="49"/>
      <c r="F5" s="49"/>
      <c r="G5" s="5" t="s">
        <v>125</v>
      </c>
      <c r="H5" s="16">
        <v>447.24</v>
      </c>
      <c r="I5" s="17">
        <f t="shared" si="0"/>
        <v>447.24</v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274.15770139343766</v>
      </c>
      <c r="B20" s="8">
        <f>COUNT(H3:H17)</f>
        <v>3</v>
      </c>
      <c r="C20" s="9">
        <f>IF(B20&lt;2,"n/a",(A20/D20))</f>
        <v>0.46917496901365241</v>
      </c>
      <c r="D20" s="10">
        <f>IFERROR(ROUND(AVERAGE(H3:H17),2),"")</f>
        <v>584.34</v>
      </c>
      <c r="E20" s="15">
        <f>IFERROR(ROUND(IF(B20&lt;2,"n/a",(IF(C20&lt;=25%,"n/a",AVERAGE(I3:I17)))),2),"n/a")</f>
        <v>426.51</v>
      </c>
      <c r="F20" s="10">
        <f>IFERROR(ROUND(MEDIAN(H3:H17),2),"")</f>
        <v>447.24</v>
      </c>
      <c r="G20" s="11" t="str">
        <f>IFERROR(INDEX(G3:G17,MATCH(H20,H3:H17,0)),"")</f>
        <v>SILK BRINDES- PE57/2022 TRE-BA atualizado</v>
      </c>
      <c r="H20" s="12">
        <f>F3</f>
        <v>405.77</v>
      </c>
    </row>
    <row r="22" spans="1:9" x14ac:dyDescent="0.25">
      <c r="B22" s="38"/>
      <c r="D22"/>
      <c r="G22" s="13" t="s">
        <v>20</v>
      </c>
      <c r="H22" s="14">
        <f>IF(C20&lt;=25%,D20,MIN(E20:F20))</f>
        <v>426.51</v>
      </c>
    </row>
    <row r="23" spans="1:9" x14ac:dyDescent="0.25">
      <c r="G23" s="13" t="s">
        <v>6</v>
      </c>
      <c r="H23" s="14">
        <f>ROUND(H22,2)*D3</f>
        <v>853.02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6</v>
      </c>
      <c r="B3" s="51" t="s">
        <v>40</v>
      </c>
      <c r="C3" s="46" t="s">
        <v>7</v>
      </c>
      <c r="D3" s="46">
        <v>2</v>
      </c>
      <c r="E3" s="49">
        <f>IF(C20&lt;=25%,D20,MIN(E20:F20))</f>
        <v>5013.63</v>
      </c>
      <c r="F3" s="49">
        <f>MIN(H3:H17)</f>
        <v>4747.26</v>
      </c>
      <c r="G3" s="5" t="s">
        <v>63</v>
      </c>
      <c r="H3" s="16">
        <v>5280</v>
      </c>
      <c r="I3" s="17" t="str">
        <f>IF(H3="","",(IF($C$20&lt;25%,"n/a",IF(H3&lt;=($D$20+$A$20),H3,"Descartado"))))</f>
        <v>n/a</v>
      </c>
    </row>
    <row r="4" spans="1:9" x14ac:dyDescent="0.25">
      <c r="A4" s="50"/>
      <c r="B4" s="52"/>
      <c r="C4" s="46"/>
      <c r="D4" s="46"/>
      <c r="E4" s="49"/>
      <c r="F4" s="49"/>
      <c r="G4" s="5" t="s">
        <v>120</v>
      </c>
      <c r="H4" s="16">
        <f>2*2373.63</f>
        <v>4747.26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376.70406660932116</v>
      </c>
      <c r="B20" s="8">
        <f>COUNT(H3:H17)</f>
        <v>2</v>
      </c>
      <c r="C20" s="9">
        <f>IF(B20&lt;2,"n/a",(A20/D20))</f>
        <v>7.5135992606020219E-2</v>
      </c>
      <c r="D20" s="10">
        <f>IFERROR(ROUND(AVERAGE(H3:H17),2),"")</f>
        <v>5013.63</v>
      </c>
      <c r="E20" s="15" t="str">
        <f>IFERROR(ROUND(IF(B20&lt;2,"n/a",(IF(C20&lt;=25%,"n/a",AVERAGE(I3:I17)))),2),"n/a")</f>
        <v>n/a</v>
      </c>
      <c r="F20" s="10">
        <f>IFERROR(ROUND(MEDIAN(H3:H17),2),"")</f>
        <v>5013.63</v>
      </c>
      <c r="G20" s="11" t="str">
        <f>IFERROR(INDEX(G3:G17,MATCH(H20,H3:H17,0)),"")</f>
        <v>TJ Proposta Estimativa PE28/2022 TRE_BA</v>
      </c>
      <c r="H20" s="12">
        <f>F3</f>
        <v>4747.26</v>
      </c>
    </row>
    <row r="22" spans="1:9" x14ac:dyDescent="0.25">
      <c r="G22" s="13" t="s">
        <v>20</v>
      </c>
      <c r="H22" s="14">
        <f>IF(C20&lt;=25%,D20,MIN(E20:F20))</f>
        <v>5013.63</v>
      </c>
    </row>
    <row r="23" spans="1:9" x14ac:dyDescent="0.25">
      <c r="G23" s="13" t="s">
        <v>6</v>
      </c>
      <c r="H23" s="14">
        <f>ROUND(H22,2)*D3</f>
        <v>10027.26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7</v>
      </c>
      <c r="B3" s="51" t="s">
        <v>41</v>
      </c>
      <c r="C3" s="46" t="s">
        <v>7</v>
      </c>
      <c r="D3" s="46">
        <v>1</v>
      </c>
      <c r="E3" s="49">
        <f>IF(C20&lt;=25%,D20,MIN(E20:F20))</f>
        <v>432</v>
      </c>
      <c r="F3" s="49">
        <f>MIN(H3:H17)</f>
        <v>135</v>
      </c>
      <c r="G3" s="5" t="s">
        <v>62</v>
      </c>
      <c r="H3" s="16">
        <v>600</v>
      </c>
      <c r="I3" s="17">
        <f>IF(H3="","",(IF($C$20&lt;25%,"n/a",IF(H3&lt;=($D$20+$A$20),H3,"Descartado"))))</f>
        <v>600</v>
      </c>
    </row>
    <row r="4" spans="1:9" x14ac:dyDescent="0.25">
      <c r="A4" s="50"/>
      <c r="B4" s="52"/>
      <c r="C4" s="46"/>
      <c r="D4" s="46"/>
      <c r="E4" s="49"/>
      <c r="F4" s="49"/>
      <c r="G4" s="5" t="s">
        <v>63</v>
      </c>
      <c r="H4" s="16">
        <v>800</v>
      </c>
      <c r="I4" s="17">
        <f t="shared" ref="I4:I17" si="0">IF(H4="","",(IF($C$20&lt;25%,"n/a",IF(H4&lt;=($D$20+$A$20),H4,"Descartado"))))</f>
        <v>800</v>
      </c>
    </row>
    <row r="5" spans="1:9" x14ac:dyDescent="0.25">
      <c r="A5" s="50"/>
      <c r="B5" s="52"/>
      <c r="C5" s="46"/>
      <c r="D5" s="46"/>
      <c r="E5" s="49"/>
      <c r="F5" s="49"/>
      <c r="G5" s="5" t="s">
        <v>99</v>
      </c>
      <c r="H5" s="16">
        <f>45*3</f>
        <v>135</v>
      </c>
      <c r="I5" s="17">
        <f t="shared" si="0"/>
        <v>135</v>
      </c>
    </row>
    <row r="6" spans="1:9" x14ac:dyDescent="0.25">
      <c r="A6" s="50"/>
      <c r="B6" s="52"/>
      <c r="C6" s="46"/>
      <c r="D6" s="46"/>
      <c r="E6" s="49"/>
      <c r="F6" s="49"/>
      <c r="G6" s="5" t="s">
        <v>98</v>
      </c>
      <c r="H6" s="16">
        <v>395</v>
      </c>
      <c r="I6" s="17">
        <f t="shared" si="0"/>
        <v>395</v>
      </c>
    </row>
    <row r="7" spans="1:9" x14ac:dyDescent="0.25">
      <c r="A7" s="50"/>
      <c r="B7" s="52"/>
      <c r="C7" s="46"/>
      <c r="D7" s="46"/>
      <c r="E7" s="49"/>
      <c r="F7" s="49"/>
      <c r="G7" s="5" t="s">
        <v>97</v>
      </c>
      <c r="H7" s="16">
        <v>396</v>
      </c>
      <c r="I7" s="17">
        <f t="shared" si="0"/>
        <v>396</v>
      </c>
    </row>
    <row r="8" spans="1:9" x14ac:dyDescent="0.25">
      <c r="A8" s="50"/>
      <c r="B8" s="52"/>
      <c r="C8" s="46"/>
      <c r="D8" s="46"/>
      <c r="E8" s="49"/>
      <c r="F8" s="49"/>
      <c r="G8" s="5" t="s">
        <v>96</v>
      </c>
      <c r="H8" s="16">
        <v>420</v>
      </c>
      <c r="I8" s="17">
        <f t="shared" si="0"/>
        <v>420</v>
      </c>
    </row>
    <row r="9" spans="1:9" x14ac:dyDescent="0.25">
      <c r="A9" s="50"/>
      <c r="B9" s="52"/>
      <c r="C9" s="46"/>
      <c r="D9" s="46"/>
      <c r="E9" s="49"/>
      <c r="F9" s="49"/>
      <c r="G9" s="5" t="s">
        <v>95</v>
      </c>
      <c r="H9" s="16">
        <v>444</v>
      </c>
      <c r="I9" s="17">
        <f t="shared" si="0"/>
        <v>444</v>
      </c>
    </row>
    <row r="10" spans="1:9" x14ac:dyDescent="0.25">
      <c r="A10" s="50"/>
      <c r="B10" s="52"/>
      <c r="C10" s="46"/>
      <c r="D10" s="46"/>
      <c r="E10" s="49"/>
      <c r="F10" s="49"/>
      <c r="G10" s="5" t="s">
        <v>94</v>
      </c>
      <c r="H10" s="16">
        <v>2000</v>
      </c>
      <c r="I10" s="17" t="str">
        <f t="shared" si="0"/>
        <v>Descartado</v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577.87659335091359</v>
      </c>
      <c r="B20" s="8">
        <f>COUNT(H3:H17)</f>
        <v>8</v>
      </c>
      <c r="C20" s="9">
        <f>IF(B20&lt;2,"n/a",(A20/D20))</f>
        <v>0.89075390111894193</v>
      </c>
      <c r="D20" s="10">
        <f>IFERROR(ROUND(AVERAGE(H3:H17),2),"")</f>
        <v>648.75</v>
      </c>
      <c r="E20" s="15">
        <f>IFERROR(ROUND(IF(B20&lt;2,"n/a",(IF(C20&lt;=25%,"n/a",AVERAGE(I3:I17)))),2),"n/a")</f>
        <v>455.71</v>
      </c>
      <c r="F20" s="10">
        <f>IFERROR(ROUND(MEDIAN(H3:H17),2),"")</f>
        <v>432</v>
      </c>
      <c r="G20" s="11" t="str">
        <f>IFERROR(INDEX(G3:G17,MATCH(H20,H3:H17,0)),"")</f>
        <v>WELCOME SERVIÇOS PE179/2023 BACEN</v>
      </c>
      <c r="H20" s="12">
        <f>F3</f>
        <v>135</v>
      </c>
    </row>
    <row r="22" spans="1:9" x14ac:dyDescent="0.25">
      <c r="G22" s="13" t="s">
        <v>20</v>
      </c>
      <c r="H22" s="14">
        <f>IF(C20&lt;=25%,D20,MIN(E20:F20))</f>
        <v>432</v>
      </c>
    </row>
    <row r="23" spans="1:9" x14ac:dyDescent="0.25">
      <c r="G23" s="13" t="s">
        <v>6</v>
      </c>
      <c r="H23" s="14">
        <f>ROUND(H22,2)*D3</f>
        <v>432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8</v>
      </c>
      <c r="B3" s="51" t="s">
        <v>42</v>
      </c>
      <c r="C3" s="46" t="s">
        <v>7</v>
      </c>
      <c r="D3" s="46">
        <v>8</v>
      </c>
      <c r="E3" s="49">
        <f>IF(C20&lt;=25%,D20,MIN(E20:F20))</f>
        <v>36.6</v>
      </c>
      <c r="F3" s="49">
        <f>MIN(H3:H17)</f>
        <v>32.53</v>
      </c>
      <c r="G3" s="5" t="s">
        <v>129</v>
      </c>
      <c r="H3" s="16">
        <v>32.53</v>
      </c>
      <c r="I3" s="17" t="str">
        <f>IF(H3="","",(IF($C$20&lt;25%,"n/a",IF(H3&lt;=($D$20+$A$20),H3,"Descartado"))))</f>
        <v>n/a</v>
      </c>
    </row>
    <row r="4" spans="1:9" x14ac:dyDescent="0.25">
      <c r="A4" s="50"/>
      <c r="B4" s="52"/>
      <c r="C4" s="46"/>
      <c r="D4" s="46"/>
      <c r="E4" s="49"/>
      <c r="F4" s="49"/>
      <c r="G4" s="5" t="s">
        <v>118</v>
      </c>
      <c r="H4" s="16">
        <v>40.659999999999997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50"/>
      <c r="B5" s="52"/>
      <c r="C5" s="46"/>
      <c r="D5" s="46"/>
      <c r="E5" s="49"/>
      <c r="F5" s="49"/>
      <c r="G5" s="5"/>
      <c r="H5" s="16"/>
      <c r="I5" s="17" t="str">
        <f t="shared" si="0"/>
        <v/>
      </c>
    </row>
    <row r="6" spans="1:9" x14ac:dyDescent="0.25">
      <c r="A6" s="50"/>
      <c r="B6" s="52"/>
      <c r="C6" s="46"/>
      <c r="D6" s="46"/>
      <c r="E6" s="49"/>
      <c r="F6" s="49"/>
      <c r="G6" s="5"/>
      <c r="H6" s="16"/>
      <c r="I6" s="17" t="str">
        <f t="shared" si="0"/>
        <v/>
      </c>
    </row>
    <row r="7" spans="1:9" x14ac:dyDescent="0.25">
      <c r="A7" s="50"/>
      <c r="B7" s="52"/>
      <c r="C7" s="46"/>
      <c r="D7" s="46"/>
      <c r="E7" s="49"/>
      <c r="F7" s="49"/>
      <c r="G7" s="5"/>
      <c r="H7" s="16"/>
      <c r="I7" s="17" t="str">
        <f t="shared" si="0"/>
        <v/>
      </c>
    </row>
    <row r="8" spans="1:9" x14ac:dyDescent="0.25">
      <c r="A8" s="50"/>
      <c r="B8" s="52"/>
      <c r="C8" s="46"/>
      <c r="D8" s="46"/>
      <c r="E8" s="49"/>
      <c r="F8" s="49"/>
      <c r="G8" s="5"/>
      <c r="H8" s="16"/>
      <c r="I8" s="17" t="str">
        <f t="shared" si="0"/>
        <v/>
      </c>
    </row>
    <row r="9" spans="1:9" x14ac:dyDescent="0.25">
      <c r="A9" s="50"/>
      <c r="B9" s="52"/>
      <c r="C9" s="46"/>
      <c r="D9" s="46"/>
      <c r="E9" s="49"/>
      <c r="F9" s="49"/>
      <c r="G9" s="5"/>
      <c r="H9" s="16"/>
      <c r="I9" s="17" t="str">
        <f t="shared" si="0"/>
        <v/>
      </c>
    </row>
    <row r="10" spans="1:9" x14ac:dyDescent="0.25">
      <c r="A10" s="50"/>
      <c r="B10" s="52"/>
      <c r="C10" s="46"/>
      <c r="D10" s="46"/>
      <c r="E10" s="49"/>
      <c r="F10" s="49"/>
      <c r="G10" s="5"/>
      <c r="H10" s="16"/>
      <c r="I10" s="17" t="str">
        <f t="shared" si="0"/>
        <v/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5.7487781310466115</v>
      </c>
      <c r="B20" s="8">
        <f>COUNT(H3:H17)</f>
        <v>2</v>
      </c>
      <c r="C20" s="9">
        <f>IF(B20&lt;2,"n/a",(A20/D20))</f>
        <v>0.15707044073897844</v>
      </c>
      <c r="D20" s="10">
        <f>IFERROR(ROUND(AVERAGE(H3:H17),2),"")</f>
        <v>36.6</v>
      </c>
      <c r="E20" s="15" t="str">
        <f>IFERROR(ROUND(IF(B20&lt;2,"n/a",(IF(C20&lt;=25%,"n/a",AVERAGE(I3:I17)))),2),"n/a")</f>
        <v>n/a</v>
      </c>
      <c r="F20" s="10">
        <f>IFERROR(ROUND(MEDIAN(H3:H17),2),"")</f>
        <v>36.6</v>
      </c>
      <c r="G20" s="11" t="str">
        <f>IFERROR(INDEX(G3:G17,MATCH(H20,H3:H17,0)),"")</f>
        <v>OKALANGO PE57/2022 TRE-BA</v>
      </c>
      <c r="H20" s="12">
        <f>F3</f>
        <v>32.53</v>
      </c>
    </row>
    <row r="22" spans="1:9" x14ac:dyDescent="0.25">
      <c r="G22" s="13" t="s">
        <v>20</v>
      </c>
      <c r="H22" s="14">
        <f>IF(C20&lt;=25%,D20,MIN(E20:F20))</f>
        <v>36.6</v>
      </c>
    </row>
    <row r="23" spans="1:9" x14ac:dyDescent="0.25">
      <c r="G23" s="13" t="s">
        <v>6</v>
      </c>
      <c r="H23" s="14">
        <f>ROUND(H22,2)*D3</f>
        <v>292.8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50">
        <v>9</v>
      </c>
      <c r="B3" s="51" t="s">
        <v>48</v>
      </c>
      <c r="C3" s="46" t="s">
        <v>7</v>
      </c>
      <c r="D3" s="46">
        <v>4</v>
      </c>
      <c r="E3" s="49">
        <f>IF(C20&lt;=25%,D20,MIN(E20:F20))</f>
        <v>350.83</v>
      </c>
      <c r="F3" s="49">
        <f>MIN(H3:H17)</f>
        <v>99.41</v>
      </c>
      <c r="G3" s="5" t="s">
        <v>63</v>
      </c>
      <c r="H3" s="16">
        <v>500</v>
      </c>
      <c r="I3" s="17">
        <f>IF(H3="","",(IF($C$20&lt;25%,"n/a",IF(H3&lt;=($D$20+$A$20),H3,"Descartado"))))</f>
        <v>500</v>
      </c>
    </row>
    <row r="4" spans="1:9" x14ac:dyDescent="0.25">
      <c r="A4" s="50"/>
      <c r="B4" s="52"/>
      <c r="C4" s="46"/>
      <c r="D4" s="46"/>
      <c r="E4" s="49"/>
      <c r="F4" s="49"/>
      <c r="G4" s="5" t="s">
        <v>71</v>
      </c>
      <c r="H4" s="16">
        <v>850</v>
      </c>
      <c r="I4" s="17">
        <f t="shared" ref="I4:I17" si="0">IF(H4="","",(IF($C$20&lt;25%,"n/a",IF(H4&lt;=($D$20+$A$20),H4,"Descartado"))))</f>
        <v>850</v>
      </c>
    </row>
    <row r="5" spans="1:9" x14ac:dyDescent="0.25">
      <c r="A5" s="50"/>
      <c r="B5" s="52"/>
      <c r="C5" s="46"/>
      <c r="D5" s="46"/>
      <c r="E5" s="49"/>
      <c r="F5" s="49"/>
      <c r="G5" s="5" t="s">
        <v>115</v>
      </c>
      <c r="H5" s="16">
        <v>900</v>
      </c>
      <c r="I5" s="17" t="str">
        <f t="shared" si="0"/>
        <v>Descartado</v>
      </c>
    </row>
    <row r="6" spans="1:9" x14ac:dyDescent="0.25">
      <c r="A6" s="50"/>
      <c r="B6" s="52"/>
      <c r="C6" s="46"/>
      <c r="D6" s="46"/>
      <c r="E6" s="49"/>
      <c r="F6" s="49"/>
      <c r="G6" s="5" t="s">
        <v>116</v>
      </c>
      <c r="H6" s="16">
        <v>99.41</v>
      </c>
      <c r="I6" s="17">
        <f t="shared" si="0"/>
        <v>99.41</v>
      </c>
    </row>
    <row r="7" spans="1:9" x14ac:dyDescent="0.25">
      <c r="A7" s="50"/>
      <c r="B7" s="52"/>
      <c r="C7" s="46"/>
      <c r="D7" s="46"/>
      <c r="E7" s="49"/>
      <c r="F7" s="49"/>
      <c r="G7" s="5" t="s">
        <v>117</v>
      </c>
      <c r="H7" s="16">
        <v>218.52</v>
      </c>
      <c r="I7" s="17">
        <f t="shared" si="0"/>
        <v>218.52</v>
      </c>
    </row>
    <row r="8" spans="1:9" x14ac:dyDescent="0.25">
      <c r="A8" s="50"/>
      <c r="B8" s="52"/>
      <c r="C8" s="46"/>
      <c r="D8" s="46"/>
      <c r="E8" s="49"/>
      <c r="F8" s="49"/>
      <c r="G8" s="5" t="s">
        <v>74</v>
      </c>
      <c r="H8" s="16">
        <v>1000</v>
      </c>
      <c r="I8" s="17" t="str">
        <f t="shared" si="0"/>
        <v>Descartado</v>
      </c>
    </row>
    <row r="9" spans="1:9" x14ac:dyDescent="0.25">
      <c r="A9" s="50"/>
      <c r="B9" s="52"/>
      <c r="C9" s="46"/>
      <c r="D9" s="46"/>
      <c r="E9" s="49"/>
      <c r="F9" s="49"/>
      <c r="G9" s="5" t="s">
        <v>75</v>
      </c>
      <c r="H9" s="16">
        <v>300</v>
      </c>
      <c r="I9" s="17">
        <f t="shared" si="0"/>
        <v>300</v>
      </c>
    </row>
    <row r="10" spans="1:9" x14ac:dyDescent="0.25">
      <c r="A10" s="50"/>
      <c r="B10" s="52"/>
      <c r="C10" s="46"/>
      <c r="D10" s="46"/>
      <c r="E10" s="49"/>
      <c r="F10" s="49"/>
      <c r="G10" s="5" t="s">
        <v>76</v>
      </c>
      <c r="H10" s="16">
        <v>137.04</v>
      </c>
      <c r="I10" s="17">
        <f t="shared" si="0"/>
        <v>137.04</v>
      </c>
    </row>
    <row r="11" spans="1:9" x14ac:dyDescent="0.25">
      <c r="A11" s="50"/>
      <c r="B11" s="52"/>
      <c r="C11" s="46"/>
      <c r="D11" s="46"/>
      <c r="E11" s="49"/>
      <c r="F11" s="49"/>
      <c r="G11" s="5"/>
      <c r="H11" s="16"/>
      <c r="I11" s="17" t="str">
        <f t="shared" si="0"/>
        <v/>
      </c>
    </row>
    <row r="12" spans="1:9" x14ac:dyDescent="0.25">
      <c r="A12" s="50"/>
      <c r="B12" s="52"/>
      <c r="C12" s="46"/>
      <c r="D12" s="46"/>
      <c r="E12" s="49"/>
      <c r="F12" s="49"/>
      <c r="G12" s="5"/>
      <c r="H12" s="16"/>
      <c r="I12" s="17" t="str">
        <f t="shared" si="0"/>
        <v/>
      </c>
    </row>
    <row r="13" spans="1:9" x14ac:dyDescent="0.25">
      <c r="A13" s="50"/>
      <c r="B13" s="52"/>
      <c r="C13" s="46"/>
      <c r="D13" s="46"/>
      <c r="E13" s="49"/>
      <c r="F13" s="49"/>
      <c r="G13" s="5"/>
      <c r="H13" s="16"/>
      <c r="I13" s="17" t="str">
        <f t="shared" si="0"/>
        <v/>
      </c>
    </row>
    <row r="14" spans="1:9" x14ac:dyDescent="0.25">
      <c r="A14" s="50"/>
      <c r="B14" s="52"/>
      <c r="C14" s="46"/>
      <c r="D14" s="46"/>
      <c r="E14" s="49"/>
      <c r="F14" s="49"/>
      <c r="G14" s="5"/>
      <c r="H14" s="16"/>
      <c r="I14" s="17" t="str">
        <f t="shared" si="0"/>
        <v/>
      </c>
    </row>
    <row r="15" spans="1:9" x14ac:dyDescent="0.25">
      <c r="A15" s="50"/>
      <c r="B15" s="52"/>
      <c r="C15" s="46"/>
      <c r="D15" s="46"/>
      <c r="E15" s="49"/>
      <c r="F15" s="49"/>
      <c r="G15" s="5"/>
      <c r="H15" s="16"/>
      <c r="I15" s="17" t="str">
        <f t="shared" si="0"/>
        <v/>
      </c>
    </row>
    <row r="16" spans="1:9" x14ac:dyDescent="0.25">
      <c r="A16" s="50"/>
      <c r="B16" s="52"/>
      <c r="C16" s="46"/>
      <c r="D16" s="46"/>
      <c r="E16" s="49"/>
      <c r="F16" s="49"/>
      <c r="G16" s="5"/>
      <c r="H16" s="16"/>
      <c r="I16" s="17" t="str">
        <f t="shared" si="0"/>
        <v/>
      </c>
    </row>
    <row r="17" spans="1:9" x14ac:dyDescent="0.25">
      <c r="A17" s="50"/>
      <c r="B17" s="52"/>
      <c r="C17" s="46"/>
      <c r="D17" s="46"/>
      <c r="E17" s="49"/>
      <c r="F17" s="49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367.21737674561183</v>
      </c>
      <c r="B20" s="8">
        <f>COUNT(H3:H17)</f>
        <v>8</v>
      </c>
      <c r="C20" s="9">
        <f>IF(B20&lt;2,"n/a",(A20/D20))</f>
        <v>0.73352518226521479</v>
      </c>
      <c r="D20" s="10">
        <f>IFERROR(ROUND(AVERAGE(H3:H17),2),"")</f>
        <v>500.62</v>
      </c>
      <c r="E20" s="15">
        <f>IFERROR(ROUND(IF(B20&lt;2,"n/a",(IF(C20&lt;=25%,"n/a",AVERAGE(I3:I17)))),2),"n/a")</f>
        <v>350.83</v>
      </c>
      <c r="F20" s="10">
        <f>IFERROR(ROUND(MEDIAN(H3:H17),2),"")</f>
        <v>400</v>
      </c>
      <c r="G20" s="11" t="str">
        <f>IFERROR(INDEX(G3:G17,MATCH(H20,H3:H17,0)),"")</f>
        <v>HID IMUNIZAÇÂO-PE90007/2024 TRE-BA</v>
      </c>
      <c r="H20" s="12">
        <f>F3</f>
        <v>99.41</v>
      </c>
    </row>
    <row r="22" spans="1:9" x14ac:dyDescent="0.25">
      <c r="G22" s="13" t="s">
        <v>20</v>
      </c>
      <c r="H22" s="14">
        <f>IF(C20&lt;=25%,D20,MIN(E20:F20))</f>
        <v>350.83</v>
      </c>
    </row>
    <row r="23" spans="1:9" x14ac:dyDescent="0.25">
      <c r="G23" s="13" t="s">
        <v>6</v>
      </c>
      <c r="H23" s="14">
        <f>ROUND(H22,2)*D3</f>
        <v>1403.32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2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2024-07-18T14:57:06Z</cp:lastPrinted>
  <dcterms:created xsi:type="dcterms:W3CDTF">2023-11-07T17:10:34Z</dcterms:created>
  <dcterms:modified xsi:type="dcterms:W3CDTF">2024-07-20T18:24:46Z</dcterms:modified>
</cp:coreProperties>
</file>