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0700" windowHeight="11760" tabRatio="804" activeTab="1"/>
  </bookViews>
  <sheets>
    <sheet name="totalestimado" sheetId="23" r:id="rId1"/>
    <sheet name="arqeng" sheetId="2" r:id="rId2"/>
    <sheet name="engmec" sheetId="16" r:id="rId3"/>
    <sheet name="engeletr" sheetId="17" r:id="rId4"/>
    <sheet name="ART-RRT" sheetId="20" r:id="rId5"/>
    <sheet name="eventuais-consultoria" sheetId="22" state="hidden" r:id="rId6"/>
    <sheet name="Hora extra" sheetId="4" r:id="rId7"/>
    <sheet name="DESLOC.MÉDIO" sheetId="11" r:id="rId8"/>
    <sheet name="Deslocamento 1 município" sheetId="6" r:id="rId9"/>
    <sheet name="Deslocamento 2 municípios" sheetId="7" r:id="rId10"/>
    <sheet name="Deslocamento 3 municípios" sheetId="8" r:id="rId11"/>
    <sheet name="Deslocamento 4 municípios" sheetId="9" r:id="rId12"/>
    <sheet name="Deslocamento 5 municípios" sheetId="10" r:id="rId13"/>
  </sheets>
  <definedNames>
    <definedName name="_xlnm.Print_Area" localSheetId="1">arqeng!$A$1:$D$138</definedName>
    <definedName name="_xlnm.Print_Area" localSheetId="7">DESLOC.MÉDIO!$A$1:$B$9</definedName>
    <definedName name="_xlnm.Print_Area" localSheetId="8">'Deslocamento 1 município'!#REF!</definedName>
    <definedName name="_xlnm.Print_Area" localSheetId="9">'Deslocamento 2 municípios'!$A$1:$R$47</definedName>
    <definedName name="_xlnm.Print_Area" localSheetId="10">'Deslocamento 3 municípios'!$A$1:$R$44</definedName>
    <definedName name="_xlnm.Print_Area" localSheetId="11">'Deslocamento 4 municípios'!$A$1:$R$40</definedName>
    <definedName name="_xlnm.Print_Area" localSheetId="12">'Deslocamento 5 municípios'!$A$1:$R$37</definedName>
    <definedName name="_xlnm.Print_Area" localSheetId="3">engeletr!$A$1:$D$138</definedName>
    <definedName name="_xlnm.Print_Area" localSheetId="2">engmec!$A$1:$D$138</definedName>
  </definedNames>
  <calcPr calcId="145621"/>
</workbook>
</file>

<file path=xl/calcChain.xml><?xml version="1.0" encoding="utf-8"?>
<calcChain xmlns="http://schemas.openxmlformats.org/spreadsheetml/2006/main">
  <c r="C86" i="16" l="1"/>
  <c r="C86" i="17"/>
  <c r="C86" i="2"/>
  <c r="C84" i="16"/>
  <c r="C84" i="17"/>
  <c r="C84" i="2"/>
  <c r="C85" i="16"/>
  <c r="C85" i="17"/>
  <c r="C85" i="2"/>
  <c r="B13" i="23" l="1"/>
  <c r="D12" i="23"/>
  <c r="F12" i="23" s="1"/>
  <c r="B12" i="23"/>
  <c r="F14" i="23"/>
  <c r="B14" i="23"/>
  <c r="B7" i="23"/>
  <c r="B6" i="23"/>
  <c r="B5" i="23"/>
  <c r="B16" i="22"/>
  <c r="C13" i="22"/>
  <c r="C14" i="22" s="1"/>
  <c r="C15" i="22" s="1"/>
  <c r="B6" i="22"/>
  <c r="C3" i="22"/>
  <c r="C4" i="22" s="1"/>
  <c r="C5" i="22" s="1"/>
  <c r="C87" i="16"/>
  <c r="C87" i="17"/>
  <c r="C87" i="2"/>
  <c r="C83" i="16"/>
  <c r="C83" i="17"/>
  <c r="C83" i="2"/>
  <c r="C73" i="16"/>
  <c r="C73" i="17"/>
  <c r="C73" i="2"/>
  <c r="C71" i="16"/>
  <c r="C71" i="17"/>
  <c r="C71" i="2"/>
  <c r="C70" i="16"/>
  <c r="C70" i="17"/>
  <c r="C70" i="2"/>
  <c r="C68" i="16"/>
  <c r="C68" i="17"/>
  <c r="C68" i="2"/>
  <c r="C16" i="22" l="1"/>
  <c r="C17" i="22" s="1"/>
  <c r="C18" i="22" s="1"/>
  <c r="C6" i="22"/>
  <c r="C7" i="22" s="1"/>
  <c r="C8" i="22" s="1"/>
  <c r="C69" i="16"/>
  <c r="C69" i="17"/>
  <c r="C69" i="2"/>
  <c r="F6" i="8" l="1"/>
  <c r="F8" i="8"/>
  <c r="F10" i="8"/>
  <c r="F12" i="8"/>
  <c r="F6" i="9"/>
  <c r="F8" i="9"/>
  <c r="F10" i="9"/>
  <c r="F12" i="9"/>
  <c r="F6" i="10"/>
  <c r="F8" i="10"/>
  <c r="F10" i="10"/>
  <c r="F12" i="10"/>
  <c r="F6" i="7"/>
  <c r="F8" i="7"/>
  <c r="F10" i="7"/>
  <c r="F12" i="7"/>
  <c r="F5" i="8"/>
  <c r="F5" i="9"/>
  <c r="F5" i="10"/>
  <c r="F5" i="7"/>
  <c r="N17" i="10" l="1"/>
  <c r="N18" i="10"/>
  <c r="N19" i="10"/>
  <c r="N20" i="10"/>
  <c r="N21" i="10"/>
  <c r="N22" i="10"/>
  <c r="N23" i="10"/>
  <c r="N24" i="10"/>
  <c r="N25" i="10"/>
  <c r="N26" i="10"/>
  <c r="N27" i="10"/>
  <c r="N28" i="10"/>
  <c r="N29" i="10"/>
  <c r="N30" i="10"/>
  <c r="N31" i="10"/>
  <c r="N32" i="10"/>
  <c r="N33" i="10"/>
  <c r="N34" i="10"/>
  <c r="N35" i="10"/>
  <c r="N16" i="10"/>
  <c r="N17" i="9"/>
  <c r="N18" i="9"/>
  <c r="N19" i="9"/>
  <c r="N20" i="9"/>
  <c r="N21" i="9"/>
  <c r="N22" i="9"/>
  <c r="N23" i="9"/>
  <c r="N24" i="9"/>
  <c r="N25" i="9"/>
  <c r="N26" i="9"/>
  <c r="N27" i="9"/>
  <c r="N28" i="9"/>
  <c r="N29" i="9"/>
  <c r="N30" i="9"/>
  <c r="N31" i="9"/>
  <c r="N32" i="9"/>
  <c r="N33" i="9"/>
  <c r="N34" i="9"/>
  <c r="N35" i="9"/>
  <c r="N36" i="9"/>
  <c r="N37" i="9"/>
  <c r="N38" i="9"/>
  <c r="N16" i="9"/>
  <c r="N17" i="8"/>
  <c r="N18" i="8"/>
  <c r="N19" i="8"/>
  <c r="N20" i="8"/>
  <c r="N21" i="8"/>
  <c r="N22" i="8"/>
  <c r="N23" i="8"/>
  <c r="N24" i="8"/>
  <c r="N25" i="8"/>
  <c r="N26" i="8"/>
  <c r="N27" i="8"/>
  <c r="N28" i="8"/>
  <c r="N29" i="8"/>
  <c r="N30" i="8"/>
  <c r="N31" i="8"/>
  <c r="N32" i="8"/>
  <c r="N33" i="8"/>
  <c r="N34" i="8"/>
  <c r="N35" i="8"/>
  <c r="N36" i="8"/>
  <c r="N37" i="8"/>
  <c r="N38" i="8"/>
  <c r="N39" i="8"/>
  <c r="N40" i="8"/>
  <c r="N41" i="8"/>
  <c r="N42" i="8"/>
  <c r="N16" i="8"/>
  <c r="N17" i="7"/>
  <c r="N18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N32" i="7"/>
  <c r="N33" i="7"/>
  <c r="N34" i="7"/>
  <c r="N35" i="7"/>
  <c r="N36" i="7"/>
  <c r="N37" i="7"/>
  <c r="N38" i="7"/>
  <c r="N39" i="7"/>
  <c r="N40" i="7"/>
  <c r="N41" i="7"/>
  <c r="N42" i="7"/>
  <c r="N43" i="7"/>
  <c r="N44" i="7"/>
  <c r="N45" i="7"/>
  <c r="N16" i="7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32" i="6"/>
  <c r="N33" i="6"/>
  <c r="N34" i="6"/>
  <c r="N35" i="6"/>
  <c r="N36" i="6"/>
  <c r="N37" i="6"/>
  <c r="N16" i="6"/>
  <c r="G21" i="6" l="1"/>
  <c r="H21" i="6" s="1"/>
  <c r="G16" i="6"/>
  <c r="H16" i="6" s="1"/>
  <c r="I16" i="6" s="1"/>
  <c r="M16" i="6" s="1"/>
  <c r="F22" i="6"/>
  <c r="G22" i="6" s="1"/>
  <c r="H22" i="6" s="1"/>
  <c r="F34" i="6"/>
  <c r="G34" i="6" s="1"/>
  <c r="H34" i="6" s="1"/>
  <c r="F37" i="6"/>
  <c r="G37" i="6" s="1"/>
  <c r="H37" i="6" s="1"/>
  <c r="D16" i="6"/>
  <c r="F16" i="6" s="1"/>
  <c r="C16" i="6"/>
  <c r="D17" i="6"/>
  <c r="F17" i="6" s="1"/>
  <c r="G17" i="6" s="1"/>
  <c r="H17" i="6" s="1"/>
  <c r="D18" i="6"/>
  <c r="F18" i="6" s="1"/>
  <c r="G18" i="6" s="1"/>
  <c r="H18" i="6" s="1"/>
  <c r="D19" i="6"/>
  <c r="F19" i="6" s="1"/>
  <c r="G19" i="6" s="1"/>
  <c r="H19" i="6" s="1"/>
  <c r="D20" i="6"/>
  <c r="F20" i="6" s="1"/>
  <c r="G20" i="6" s="1"/>
  <c r="H20" i="6" s="1"/>
  <c r="D21" i="6"/>
  <c r="F21" i="6" s="1"/>
  <c r="D22" i="6"/>
  <c r="D23" i="6"/>
  <c r="F23" i="6" s="1"/>
  <c r="G23" i="6" s="1"/>
  <c r="H23" i="6" s="1"/>
  <c r="D24" i="6"/>
  <c r="F24" i="6" s="1"/>
  <c r="G24" i="6" s="1"/>
  <c r="H24" i="6" s="1"/>
  <c r="D25" i="6"/>
  <c r="F25" i="6" s="1"/>
  <c r="G25" i="6" s="1"/>
  <c r="H25" i="6" s="1"/>
  <c r="D26" i="6"/>
  <c r="F26" i="6" s="1"/>
  <c r="G26" i="6" s="1"/>
  <c r="H26" i="6" s="1"/>
  <c r="D27" i="6"/>
  <c r="F27" i="6" s="1"/>
  <c r="G27" i="6" s="1"/>
  <c r="H27" i="6" s="1"/>
  <c r="D28" i="6"/>
  <c r="F28" i="6" s="1"/>
  <c r="G28" i="6" s="1"/>
  <c r="H28" i="6" s="1"/>
  <c r="D29" i="6"/>
  <c r="F29" i="6" s="1"/>
  <c r="G29" i="6" s="1"/>
  <c r="H29" i="6" s="1"/>
  <c r="D30" i="6"/>
  <c r="F30" i="6" s="1"/>
  <c r="G30" i="6" s="1"/>
  <c r="H30" i="6" s="1"/>
  <c r="D31" i="6"/>
  <c r="F31" i="6" s="1"/>
  <c r="G31" i="6" s="1"/>
  <c r="H31" i="6" s="1"/>
  <c r="D32" i="6"/>
  <c r="F32" i="6" s="1"/>
  <c r="G32" i="6" s="1"/>
  <c r="H32" i="6" s="1"/>
  <c r="D33" i="6"/>
  <c r="F33" i="6" s="1"/>
  <c r="G33" i="6" s="1"/>
  <c r="H33" i="6" s="1"/>
  <c r="D34" i="6"/>
  <c r="D35" i="6"/>
  <c r="F35" i="6" s="1"/>
  <c r="G35" i="6" s="1"/>
  <c r="H35" i="6" s="1"/>
  <c r="D36" i="6"/>
  <c r="F36" i="6" s="1"/>
  <c r="G36" i="6" s="1"/>
  <c r="H36" i="6" s="1"/>
  <c r="D37" i="6"/>
  <c r="C17" i="6"/>
  <c r="K17" i="6" s="1"/>
  <c r="C18" i="6"/>
  <c r="C19" i="6"/>
  <c r="C20" i="6"/>
  <c r="K20" i="6" s="1"/>
  <c r="C21" i="6"/>
  <c r="K21" i="6" s="1"/>
  <c r="C22" i="6"/>
  <c r="K22" i="6" s="1"/>
  <c r="C23" i="6"/>
  <c r="C24" i="6"/>
  <c r="C25" i="6"/>
  <c r="C26" i="6"/>
  <c r="K26" i="6" s="1"/>
  <c r="C27" i="6"/>
  <c r="K27" i="6" s="1"/>
  <c r="C28" i="6"/>
  <c r="K28" i="6" s="1"/>
  <c r="C29" i="6"/>
  <c r="K29" i="6" s="1"/>
  <c r="C30" i="6"/>
  <c r="C31" i="6"/>
  <c r="C32" i="6"/>
  <c r="K32" i="6" s="1"/>
  <c r="C33" i="6"/>
  <c r="K33" i="6" s="1"/>
  <c r="C34" i="6"/>
  <c r="K34" i="6" s="1"/>
  <c r="C35" i="6"/>
  <c r="K35" i="6" s="1"/>
  <c r="C36" i="6"/>
  <c r="C37" i="6"/>
  <c r="L16" i="6" l="1"/>
  <c r="I32" i="6"/>
  <c r="M32" i="6" s="1"/>
  <c r="L32" i="6"/>
  <c r="I26" i="6"/>
  <c r="M26" i="6" s="1"/>
  <c r="L26" i="6"/>
  <c r="I20" i="6"/>
  <c r="M20" i="6" s="1"/>
  <c r="L37" i="6"/>
  <c r="I37" i="6"/>
  <c r="M37" i="6" s="1"/>
  <c r="I25" i="6"/>
  <c r="M25" i="6" s="1"/>
  <c r="L25" i="6"/>
  <c r="I30" i="6"/>
  <c r="M30" i="6" s="1"/>
  <c r="L30" i="6"/>
  <c r="I35" i="6"/>
  <c r="M35" i="6" s="1"/>
  <c r="L35" i="6"/>
  <c r="L34" i="6"/>
  <c r="I34" i="6"/>
  <c r="M34" i="6" s="1"/>
  <c r="I17" i="6"/>
  <c r="M17" i="6" s="1"/>
  <c r="L17" i="6"/>
  <c r="L31" i="6"/>
  <c r="I31" i="6"/>
  <c r="M31" i="6" s="1"/>
  <c r="L19" i="6"/>
  <c r="I19" i="6"/>
  <c r="M19" i="6" s="1"/>
  <c r="L24" i="6"/>
  <c r="I24" i="6"/>
  <c r="M24" i="6" s="1"/>
  <c r="I23" i="6"/>
  <c r="M23" i="6" s="1"/>
  <c r="L23" i="6"/>
  <c r="L29" i="6"/>
  <c r="I29" i="6"/>
  <c r="M29" i="6" s="1"/>
  <c r="I27" i="6"/>
  <c r="M27" i="6" s="1"/>
  <c r="L27" i="6"/>
  <c r="O27" i="6" s="1"/>
  <c r="L28" i="6"/>
  <c r="I28" i="6"/>
  <c r="M28" i="6" s="1"/>
  <c r="L21" i="6"/>
  <c r="I21" i="6"/>
  <c r="M21" i="6" s="1"/>
  <c r="K23" i="6"/>
  <c r="L36" i="6"/>
  <c r="I36" i="6"/>
  <c r="M36" i="6" s="1"/>
  <c r="I18" i="6"/>
  <c r="K36" i="6"/>
  <c r="K30" i="6"/>
  <c r="K24" i="6"/>
  <c r="K18" i="6"/>
  <c r="K16" i="6"/>
  <c r="I33" i="6"/>
  <c r="M33" i="6" s="1"/>
  <c r="L33" i="6"/>
  <c r="I22" i="6"/>
  <c r="M22" i="6" s="1"/>
  <c r="K37" i="6"/>
  <c r="K31" i="6"/>
  <c r="K25" i="6"/>
  <c r="K19" i="6"/>
  <c r="M18" i="6"/>
  <c r="L22" i="6"/>
  <c r="L20" i="6"/>
  <c r="L18" i="6"/>
  <c r="O17" i="6" l="1"/>
  <c r="O35" i="6"/>
  <c r="O32" i="6"/>
  <c r="O24" i="6"/>
  <c r="O29" i="6"/>
  <c r="O25" i="6"/>
  <c r="O21" i="6"/>
  <c r="O23" i="6"/>
  <c r="O36" i="6"/>
  <c r="O19" i="6"/>
  <c r="O20" i="6"/>
  <c r="O37" i="6"/>
  <c r="O30" i="6"/>
  <c r="O33" i="6"/>
  <c r="O16" i="6"/>
  <c r="O28" i="6"/>
  <c r="O31" i="6"/>
  <c r="O34" i="6"/>
  <c r="O26" i="6"/>
  <c r="O18" i="6"/>
  <c r="O22" i="6"/>
  <c r="C121" i="17" l="1"/>
  <c r="C125" i="17" s="1"/>
  <c r="D53" i="17"/>
  <c r="D61" i="17" s="1"/>
  <c r="C44" i="17"/>
  <c r="C72" i="17" s="1"/>
  <c r="C29" i="17"/>
  <c r="C28" i="17"/>
  <c r="D20" i="17"/>
  <c r="C121" i="16"/>
  <c r="C125" i="16" s="1"/>
  <c r="D53" i="16"/>
  <c r="D61" i="16" s="1"/>
  <c r="C44" i="16"/>
  <c r="C72" i="16" s="1"/>
  <c r="C29" i="16"/>
  <c r="C28" i="16"/>
  <c r="D20" i="16"/>
  <c r="D73" i="16" s="1"/>
  <c r="D28" i="16" l="1"/>
  <c r="D70" i="16"/>
  <c r="D71" i="16"/>
  <c r="D72" i="16" s="1"/>
  <c r="D29" i="16"/>
  <c r="D131" i="16"/>
  <c r="D68" i="16"/>
  <c r="D69" i="16" s="1"/>
  <c r="D28" i="17"/>
  <c r="D131" i="17"/>
  <c r="D29" i="17"/>
  <c r="D68" i="17"/>
  <c r="D73" i="17"/>
  <c r="D70" i="17"/>
  <c r="D71" i="17"/>
  <c r="D72" i="17" s="1"/>
  <c r="D30" i="16" l="1"/>
  <c r="D30" i="17"/>
  <c r="D41" i="17" s="1"/>
  <c r="D74" i="16"/>
  <c r="D133" i="16" s="1"/>
  <c r="D69" i="17"/>
  <c r="D74" i="17" s="1"/>
  <c r="D133" i="17" s="1"/>
  <c r="D41" i="16" l="1"/>
  <c r="D39" i="16"/>
  <c r="D36" i="16"/>
  <c r="D38" i="16"/>
  <c r="D42" i="16"/>
  <c r="D37" i="16"/>
  <c r="D40" i="16"/>
  <c r="D59" i="16"/>
  <c r="D43" i="16"/>
  <c r="D59" i="17"/>
  <c r="D42" i="17"/>
  <c r="D38" i="17"/>
  <c r="D36" i="17"/>
  <c r="D37" i="17"/>
  <c r="D40" i="17"/>
  <c r="D43" i="17"/>
  <c r="D39" i="17"/>
  <c r="D44" i="17" l="1"/>
  <c r="D60" i="17" s="1"/>
  <c r="D62" i="17" s="1"/>
  <c r="D95" i="17" s="1"/>
  <c r="D96" i="17" s="1"/>
  <c r="D103" i="17" s="1"/>
  <c r="D44" i="16"/>
  <c r="D60" i="16" s="1"/>
  <c r="D62" i="16" s="1"/>
  <c r="D132" i="17"/>
  <c r="D84" i="17"/>
  <c r="D83" i="17"/>
  <c r="D86" i="17"/>
  <c r="D87" i="17"/>
  <c r="D88" i="17"/>
  <c r="C121" i="2"/>
  <c r="C125" i="2" s="1"/>
  <c r="B4" i="20" s="1"/>
  <c r="C4" i="20" s="1"/>
  <c r="C5" i="20" s="1"/>
  <c r="D20" i="2"/>
  <c r="D35" i="10"/>
  <c r="F35" i="10" s="1"/>
  <c r="G35" i="10" s="1"/>
  <c r="H35" i="10" s="1"/>
  <c r="C35" i="10"/>
  <c r="K35" i="10" s="1"/>
  <c r="D34" i="10"/>
  <c r="F34" i="10" s="1"/>
  <c r="G34" i="10" s="1"/>
  <c r="H34" i="10" s="1"/>
  <c r="C34" i="10"/>
  <c r="K34" i="10" s="1"/>
  <c r="D33" i="10"/>
  <c r="F33" i="10" s="1"/>
  <c r="G33" i="10" s="1"/>
  <c r="H33" i="10" s="1"/>
  <c r="C33" i="10"/>
  <c r="K33" i="10" s="1"/>
  <c r="D32" i="10"/>
  <c r="F32" i="10" s="1"/>
  <c r="G32" i="10" s="1"/>
  <c r="H32" i="10" s="1"/>
  <c r="C32" i="10"/>
  <c r="K32" i="10" s="1"/>
  <c r="D31" i="10"/>
  <c r="F31" i="10" s="1"/>
  <c r="G31" i="10" s="1"/>
  <c r="H31" i="10" s="1"/>
  <c r="C31" i="10"/>
  <c r="K31" i="10" s="1"/>
  <c r="D30" i="10"/>
  <c r="F30" i="10" s="1"/>
  <c r="G30" i="10" s="1"/>
  <c r="H30" i="10" s="1"/>
  <c r="C30" i="10"/>
  <c r="K30" i="10" s="1"/>
  <c r="D29" i="10"/>
  <c r="F29" i="10" s="1"/>
  <c r="G29" i="10" s="1"/>
  <c r="H29" i="10" s="1"/>
  <c r="C29" i="10"/>
  <c r="K29" i="10" s="1"/>
  <c r="D28" i="10"/>
  <c r="F28" i="10" s="1"/>
  <c r="G28" i="10" s="1"/>
  <c r="H28" i="10" s="1"/>
  <c r="C28" i="10"/>
  <c r="K28" i="10" s="1"/>
  <c r="D27" i="10"/>
  <c r="F27" i="10" s="1"/>
  <c r="G27" i="10" s="1"/>
  <c r="H27" i="10" s="1"/>
  <c r="C27" i="10"/>
  <c r="K27" i="10" s="1"/>
  <c r="D26" i="10"/>
  <c r="F26" i="10" s="1"/>
  <c r="G26" i="10" s="1"/>
  <c r="H26" i="10" s="1"/>
  <c r="C26" i="10"/>
  <c r="K26" i="10" s="1"/>
  <c r="D25" i="10"/>
  <c r="F25" i="10" s="1"/>
  <c r="G25" i="10" s="1"/>
  <c r="H25" i="10" s="1"/>
  <c r="L25" i="10" s="1"/>
  <c r="C25" i="10"/>
  <c r="K25" i="10" s="1"/>
  <c r="D24" i="10"/>
  <c r="F24" i="10" s="1"/>
  <c r="G24" i="10" s="1"/>
  <c r="H24" i="10" s="1"/>
  <c r="C24" i="10"/>
  <c r="K24" i="10" s="1"/>
  <c r="D23" i="10"/>
  <c r="F23" i="10" s="1"/>
  <c r="G23" i="10" s="1"/>
  <c r="H23" i="10" s="1"/>
  <c r="C23" i="10"/>
  <c r="K23" i="10" s="1"/>
  <c r="D22" i="10"/>
  <c r="F22" i="10" s="1"/>
  <c r="G22" i="10" s="1"/>
  <c r="H22" i="10" s="1"/>
  <c r="C22" i="10"/>
  <c r="K22" i="10" s="1"/>
  <c r="D21" i="10"/>
  <c r="F21" i="10" s="1"/>
  <c r="G21" i="10" s="1"/>
  <c r="H21" i="10" s="1"/>
  <c r="C21" i="10"/>
  <c r="K21" i="10" s="1"/>
  <c r="D20" i="10"/>
  <c r="F20" i="10" s="1"/>
  <c r="G20" i="10" s="1"/>
  <c r="H20" i="10" s="1"/>
  <c r="C20" i="10"/>
  <c r="K20" i="10" s="1"/>
  <c r="D19" i="10"/>
  <c r="F19" i="10" s="1"/>
  <c r="G19" i="10" s="1"/>
  <c r="H19" i="10" s="1"/>
  <c r="C19" i="10"/>
  <c r="K19" i="10" s="1"/>
  <c r="D18" i="10"/>
  <c r="F18" i="10" s="1"/>
  <c r="G18" i="10" s="1"/>
  <c r="H18" i="10" s="1"/>
  <c r="C18" i="10"/>
  <c r="K18" i="10" s="1"/>
  <c r="D17" i="10"/>
  <c r="F17" i="10" s="1"/>
  <c r="G17" i="10" s="1"/>
  <c r="H17" i="10" s="1"/>
  <c r="C17" i="10"/>
  <c r="K17" i="10" s="1"/>
  <c r="K16" i="10"/>
  <c r="D16" i="10"/>
  <c r="F16" i="10" s="1"/>
  <c r="G16" i="10" s="1"/>
  <c r="H16" i="10" s="1"/>
  <c r="C16" i="10"/>
  <c r="D38" i="9"/>
  <c r="F38" i="9" s="1"/>
  <c r="G38" i="9" s="1"/>
  <c r="H38" i="9" s="1"/>
  <c r="C38" i="9"/>
  <c r="K38" i="9" s="1"/>
  <c r="D37" i="9"/>
  <c r="F37" i="9" s="1"/>
  <c r="G37" i="9" s="1"/>
  <c r="H37" i="9" s="1"/>
  <c r="C37" i="9"/>
  <c r="K37" i="9" s="1"/>
  <c r="D36" i="9"/>
  <c r="F36" i="9" s="1"/>
  <c r="G36" i="9" s="1"/>
  <c r="H36" i="9" s="1"/>
  <c r="C36" i="9"/>
  <c r="K36" i="9" s="1"/>
  <c r="D35" i="9"/>
  <c r="F35" i="9" s="1"/>
  <c r="G35" i="9" s="1"/>
  <c r="H35" i="9" s="1"/>
  <c r="C35" i="9"/>
  <c r="K35" i="9" s="1"/>
  <c r="D34" i="9"/>
  <c r="F34" i="9" s="1"/>
  <c r="G34" i="9" s="1"/>
  <c r="H34" i="9" s="1"/>
  <c r="C34" i="9"/>
  <c r="K34" i="9" s="1"/>
  <c r="D33" i="9"/>
  <c r="F33" i="9" s="1"/>
  <c r="G33" i="9" s="1"/>
  <c r="H33" i="9" s="1"/>
  <c r="C33" i="9"/>
  <c r="K33" i="9" s="1"/>
  <c r="D32" i="9"/>
  <c r="F32" i="9" s="1"/>
  <c r="G32" i="9" s="1"/>
  <c r="H32" i="9" s="1"/>
  <c r="C32" i="9"/>
  <c r="K32" i="9" s="1"/>
  <c r="D31" i="9"/>
  <c r="F31" i="9" s="1"/>
  <c r="G31" i="9" s="1"/>
  <c r="H31" i="9" s="1"/>
  <c r="C31" i="9"/>
  <c r="K31" i="9" s="1"/>
  <c r="D30" i="9"/>
  <c r="F30" i="9" s="1"/>
  <c r="G30" i="9" s="1"/>
  <c r="H30" i="9" s="1"/>
  <c r="C30" i="9"/>
  <c r="K30" i="9" s="1"/>
  <c r="D29" i="9"/>
  <c r="F29" i="9" s="1"/>
  <c r="G29" i="9" s="1"/>
  <c r="H29" i="9" s="1"/>
  <c r="C29" i="9"/>
  <c r="K29" i="9" s="1"/>
  <c r="D28" i="9"/>
  <c r="F28" i="9" s="1"/>
  <c r="G28" i="9" s="1"/>
  <c r="H28" i="9" s="1"/>
  <c r="C28" i="9"/>
  <c r="K28" i="9" s="1"/>
  <c r="D27" i="9"/>
  <c r="F27" i="9" s="1"/>
  <c r="G27" i="9" s="1"/>
  <c r="H27" i="9" s="1"/>
  <c r="C27" i="9"/>
  <c r="K27" i="9" s="1"/>
  <c r="D26" i="9"/>
  <c r="F26" i="9" s="1"/>
  <c r="G26" i="9" s="1"/>
  <c r="H26" i="9" s="1"/>
  <c r="C26" i="9"/>
  <c r="K26" i="9" s="1"/>
  <c r="D25" i="9"/>
  <c r="F25" i="9" s="1"/>
  <c r="G25" i="9" s="1"/>
  <c r="H25" i="9" s="1"/>
  <c r="C25" i="9"/>
  <c r="K25" i="9" s="1"/>
  <c r="D24" i="9"/>
  <c r="F24" i="9" s="1"/>
  <c r="G24" i="9" s="1"/>
  <c r="H24" i="9" s="1"/>
  <c r="C24" i="9"/>
  <c r="K24" i="9" s="1"/>
  <c r="D23" i="9"/>
  <c r="F23" i="9" s="1"/>
  <c r="G23" i="9" s="1"/>
  <c r="H23" i="9" s="1"/>
  <c r="C23" i="9"/>
  <c r="K23" i="9" s="1"/>
  <c r="D22" i="9"/>
  <c r="F22" i="9" s="1"/>
  <c r="G22" i="9" s="1"/>
  <c r="H22" i="9" s="1"/>
  <c r="C22" i="9"/>
  <c r="K22" i="9" s="1"/>
  <c r="D21" i="9"/>
  <c r="F21" i="9" s="1"/>
  <c r="G21" i="9" s="1"/>
  <c r="H21" i="9" s="1"/>
  <c r="C21" i="9"/>
  <c r="K21" i="9" s="1"/>
  <c r="D20" i="9"/>
  <c r="F20" i="9" s="1"/>
  <c r="G20" i="9" s="1"/>
  <c r="H20" i="9" s="1"/>
  <c r="C20" i="9"/>
  <c r="K20" i="9" s="1"/>
  <c r="D19" i="9"/>
  <c r="F19" i="9" s="1"/>
  <c r="G19" i="9" s="1"/>
  <c r="H19" i="9" s="1"/>
  <c r="C19" i="9"/>
  <c r="K19" i="9" s="1"/>
  <c r="D18" i="9"/>
  <c r="F18" i="9" s="1"/>
  <c r="G18" i="9" s="1"/>
  <c r="H18" i="9" s="1"/>
  <c r="C18" i="9"/>
  <c r="K18" i="9" s="1"/>
  <c r="D17" i="9"/>
  <c r="F17" i="9" s="1"/>
  <c r="G17" i="9" s="1"/>
  <c r="H17" i="9" s="1"/>
  <c r="C17" i="9"/>
  <c r="K17" i="9" s="1"/>
  <c r="D16" i="9"/>
  <c r="F16" i="9" s="1"/>
  <c r="G16" i="9" s="1"/>
  <c r="H16" i="9" s="1"/>
  <c r="C16" i="9"/>
  <c r="K16" i="9" s="1"/>
  <c r="D42" i="8"/>
  <c r="F42" i="8" s="1"/>
  <c r="G42" i="8" s="1"/>
  <c r="H42" i="8" s="1"/>
  <c r="C42" i="8"/>
  <c r="K42" i="8" s="1"/>
  <c r="D41" i="8"/>
  <c r="F41" i="8" s="1"/>
  <c r="G41" i="8" s="1"/>
  <c r="H41" i="8" s="1"/>
  <c r="C41" i="8"/>
  <c r="K41" i="8" s="1"/>
  <c r="D40" i="8"/>
  <c r="F40" i="8" s="1"/>
  <c r="G40" i="8" s="1"/>
  <c r="H40" i="8" s="1"/>
  <c r="C40" i="8"/>
  <c r="K40" i="8" s="1"/>
  <c r="D39" i="8"/>
  <c r="F39" i="8" s="1"/>
  <c r="G39" i="8" s="1"/>
  <c r="H39" i="8" s="1"/>
  <c r="C39" i="8"/>
  <c r="K39" i="8" s="1"/>
  <c r="D38" i="8"/>
  <c r="F38" i="8" s="1"/>
  <c r="G38" i="8" s="1"/>
  <c r="H38" i="8" s="1"/>
  <c r="C38" i="8"/>
  <c r="K38" i="8" s="1"/>
  <c r="D37" i="8"/>
  <c r="F37" i="8" s="1"/>
  <c r="G37" i="8" s="1"/>
  <c r="H37" i="8" s="1"/>
  <c r="C37" i="8"/>
  <c r="K37" i="8" s="1"/>
  <c r="D36" i="8"/>
  <c r="F36" i="8" s="1"/>
  <c r="G36" i="8" s="1"/>
  <c r="H36" i="8" s="1"/>
  <c r="C36" i="8"/>
  <c r="K36" i="8" s="1"/>
  <c r="D35" i="8"/>
  <c r="F35" i="8" s="1"/>
  <c r="G35" i="8" s="1"/>
  <c r="H35" i="8" s="1"/>
  <c r="C35" i="8"/>
  <c r="K35" i="8" s="1"/>
  <c r="D34" i="8"/>
  <c r="F34" i="8" s="1"/>
  <c r="G34" i="8" s="1"/>
  <c r="H34" i="8" s="1"/>
  <c r="C34" i="8"/>
  <c r="K34" i="8" s="1"/>
  <c r="D33" i="8"/>
  <c r="F33" i="8" s="1"/>
  <c r="G33" i="8" s="1"/>
  <c r="H33" i="8" s="1"/>
  <c r="C33" i="8"/>
  <c r="K33" i="8" s="1"/>
  <c r="D32" i="8"/>
  <c r="F32" i="8" s="1"/>
  <c r="G32" i="8" s="1"/>
  <c r="H32" i="8" s="1"/>
  <c r="C32" i="8"/>
  <c r="K32" i="8" s="1"/>
  <c r="D31" i="8"/>
  <c r="F31" i="8" s="1"/>
  <c r="G31" i="8" s="1"/>
  <c r="H31" i="8" s="1"/>
  <c r="C31" i="8"/>
  <c r="K31" i="8" s="1"/>
  <c r="D30" i="8"/>
  <c r="F30" i="8" s="1"/>
  <c r="G30" i="8" s="1"/>
  <c r="H30" i="8" s="1"/>
  <c r="C30" i="8"/>
  <c r="K30" i="8" s="1"/>
  <c r="D29" i="8"/>
  <c r="F29" i="8" s="1"/>
  <c r="G29" i="8" s="1"/>
  <c r="H29" i="8" s="1"/>
  <c r="C29" i="8"/>
  <c r="K29" i="8" s="1"/>
  <c r="L28" i="8"/>
  <c r="D28" i="8"/>
  <c r="F28" i="8" s="1"/>
  <c r="G28" i="8" s="1"/>
  <c r="H28" i="8" s="1"/>
  <c r="C28" i="8"/>
  <c r="K28" i="8" s="1"/>
  <c r="D27" i="8"/>
  <c r="F27" i="8" s="1"/>
  <c r="G27" i="8" s="1"/>
  <c r="H27" i="8" s="1"/>
  <c r="C27" i="8"/>
  <c r="K27" i="8" s="1"/>
  <c r="D26" i="8"/>
  <c r="F26" i="8" s="1"/>
  <c r="G26" i="8" s="1"/>
  <c r="H26" i="8" s="1"/>
  <c r="C26" i="8"/>
  <c r="K26" i="8" s="1"/>
  <c r="D25" i="8"/>
  <c r="F25" i="8" s="1"/>
  <c r="G25" i="8" s="1"/>
  <c r="H25" i="8" s="1"/>
  <c r="C25" i="8"/>
  <c r="K25" i="8" s="1"/>
  <c r="D24" i="8"/>
  <c r="F24" i="8" s="1"/>
  <c r="G24" i="8" s="1"/>
  <c r="H24" i="8" s="1"/>
  <c r="C24" i="8"/>
  <c r="K24" i="8" s="1"/>
  <c r="K23" i="8"/>
  <c r="D23" i="8"/>
  <c r="F23" i="8" s="1"/>
  <c r="G23" i="8" s="1"/>
  <c r="H23" i="8" s="1"/>
  <c r="C23" i="8"/>
  <c r="D22" i="8"/>
  <c r="F22" i="8" s="1"/>
  <c r="G22" i="8" s="1"/>
  <c r="H22" i="8" s="1"/>
  <c r="C22" i="8"/>
  <c r="K22" i="8" s="1"/>
  <c r="D21" i="8"/>
  <c r="F21" i="8" s="1"/>
  <c r="G21" i="8" s="1"/>
  <c r="H21" i="8" s="1"/>
  <c r="C21" i="8"/>
  <c r="K21" i="8" s="1"/>
  <c r="D20" i="8"/>
  <c r="F20" i="8" s="1"/>
  <c r="G20" i="8" s="1"/>
  <c r="H20" i="8" s="1"/>
  <c r="C20" i="8"/>
  <c r="K20" i="8" s="1"/>
  <c r="D19" i="8"/>
  <c r="F19" i="8" s="1"/>
  <c r="G19" i="8" s="1"/>
  <c r="H19" i="8" s="1"/>
  <c r="C19" i="8"/>
  <c r="K19" i="8" s="1"/>
  <c r="D18" i="8"/>
  <c r="F18" i="8" s="1"/>
  <c r="G18" i="8" s="1"/>
  <c r="H18" i="8" s="1"/>
  <c r="C18" i="8"/>
  <c r="K18" i="8" s="1"/>
  <c r="D17" i="8"/>
  <c r="F17" i="8" s="1"/>
  <c r="G17" i="8" s="1"/>
  <c r="H17" i="8" s="1"/>
  <c r="C17" i="8"/>
  <c r="K17" i="8" s="1"/>
  <c r="F16" i="8"/>
  <c r="G16" i="8" s="1"/>
  <c r="H16" i="8" s="1"/>
  <c r="D16" i="8"/>
  <c r="C16" i="8"/>
  <c r="K16" i="8" s="1"/>
  <c r="D45" i="7"/>
  <c r="F45" i="7" s="1"/>
  <c r="G45" i="7" s="1"/>
  <c r="H45" i="7" s="1"/>
  <c r="C45" i="7"/>
  <c r="K45" i="7" s="1"/>
  <c r="D44" i="7"/>
  <c r="F44" i="7" s="1"/>
  <c r="G44" i="7" s="1"/>
  <c r="H44" i="7" s="1"/>
  <c r="C44" i="7"/>
  <c r="K44" i="7" s="1"/>
  <c r="D43" i="7"/>
  <c r="F43" i="7" s="1"/>
  <c r="G43" i="7" s="1"/>
  <c r="H43" i="7" s="1"/>
  <c r="C43" i="7"/>
  <c r="K43" i="7" s="1"/>
  <c r="D42" i="7"/>
  <c r="F42" i="7" s="1"/>
  <c r="G42" i="7" s="1"/>
  <c r="H42" i="7" s="1"/>
  <c r="C42" i="7"/>
  <c r="K42" i="7" s="1"/>
  <c r="D41" i="7"/>
  <c r="F41" i="7" s="1"/>
  <c r="G41" i="7" s="1"/>
  <c r="H41" i="7" s="1"/>
  <c r="C41" i="7"/>
  <c r="K41" i="7" s="1"/>
  <c r="D40" i="7"/>
  <c r="F40" i="7" s="1"/>
  <c r="G40" i="7" s="1"/>
  <c r="H40" i="7" s="1"/>
  <c r="C40" i="7"/>
  <c r="K40" i="7" s="1"/>
  <c r="D39" i="7"/>
  <c r="F39" i="7" s="1"/>
  <c r="G39" i="7" s="1"/>
  <c r="H39" i="7" s="1"/>
  <c r="C39" i="7"/>
  <c r="K39" i="7" s="1"/>
  <c r="D38" i="7"/>
  <c r="F38" i="7" s="1"/>
  <c r="G38" i="7" s="1"/>
  <c r="H38" i="7" s="1"/>
  <c r="C38" i="7"/>
  <c r="K38" i="7" s="1"/>
  <c r="D37" i="7"/>
  <c r="F37" i="7" s="1"/>
  <c r="G37" i="7" s="1"/>
  <c r="H37" i="7" s="1"/>
  <c r="C37" i="7"/>
  <c r="K37" i="7" s="1"/>
  <c r="D36" i="7"/>
  <c r="F36" i="7" s="1"/>
  <c r="G36" i="7" s="1"/>
  <c r="H36" i="7" s="1"/>
  <c r="C36" i="7"/>
  <c r="K36" i="7" s="1"/>
  <c r="D35" i="7"/>
  <c r="F35" i="7" s="1"/>
  <c r="G35" i="7" s="1"/>
  <c r="H35" i="7" s="1"/>
  <c r="C35" i="7"/>
  <c r="K35" i="7" s="1"/>
  <c r="D34" i="7"/>
  <c r="F34" i="7" s="1"/>
  <c r="G34" i="7" s="1"/>
  <c r="H34" i="7" s="1"/>
  <c r="C34" i="7"/>
  <c r="K34" i="7" s="1"/>
  <c r="D33" i="7"/>
  <c r="F33" i="7" s="1"/>
  <c r="G33" i="7" s="1"/>
  <c r="H33" i="7" s="1"/>
  <c r="C33" i="7"/>
  <c r="K33" i="7" s="1"/>
  <c r="D32" i="7"/>
  <c r="F32" i="7" s="1"/>
  <c r="G32" i="7" s="1"/>
  <c r="H32" i="7" s="1"/>
  <c r="C32" i="7"/>
  <c r="K32" i="7" s="1"/>
  <c r="D31" i="7"/>
  <c r="F31" i="7" s="1"/>
  <c r="G31" i="7" s="1"/>
  <c r="H31" i="7" s="1"/>
  <c r="C31" i="7"/>
  <c r="K31" i="7" s="1"/>
  <c r="D30" i="7"/>
  <c r="F30" i="7" s="1"/>
  <c r="G30" i="7" s="1"/>
  <c r="H30" i="7" s="1"/>
  <c r="C30" i="7"/>
  <c r="K30" i="7" s="1"/>
  <c r="D29" i="7"/>
  <c r="F29" i="7" s="1"/>
  <c r="G29" i="7" s="1"/>
  <c r="H29" i="7" s="1"/>
  <c r="C29" i="7"/>
  <c r="K29" i="7" s="1"/>
  <c r="D28" i="7"/>
  <c r="F28" i="7" s="1"/>
  <c r="G28" i="7" s="1"/>
  <c r="H28" i="7" s="1"/>
  <c r="C28" i="7"/>
  <c r="K28" i="7" s="1"/>
  <c r="D27" i="7"/>
  <c r="F27" i="7" s="1"/>
  <c r="G27" i="7" s="1"/>
  <c r="H27" i="7" s="1"/>
  <c r="C27" i="7"/>
  <c r="K27" i="7" s="1"/>
  <c r="D26" i="7"/>
  <c r="F26" i="7" s="1"/>
  <c r="G26" i="7" s="1"/>
  <c r="H26" i="7" s="1"/>
  <c r="C26" i="7"/>
  <c r="K26" i="7" s="1"/>
  <c r="D25" i="7"/>
  <c r="F25" i="7" s="1"/>
  <c r="G25" i="7" s="1"/>
  <c r="H25" i="7" s="1"/>
  <c r="C25" i="7"/>
  <c r="K25" i="7" s="1"/>
  <c r="D24" i="7"/>
  <c r="F24" i="7" s="1"/>
  <c r="G24" i="7" s="1"/>
  <c r="H24" i="7" s="1"/>
  <c r="C24" i="7"/>
  <c r="K24" i="7" s="1"/>
  <c r="D23" i="7"/>
  <c r="F23" i="7" s="1"/>
  <c r="G23" i="7" s="1"/>
  <c r="H23" i="7" s="1"/>
  <c r="C23" i="7"/>
  <c r="K23" i="7" s="1"/>
  <c r="D22" i="7"/>
  <c r="F22" i="7" s="1"/>
  <c r="G22" i="7" s="1"/>
  <c r="H22" i="7" s="1"/>
  <c r="C22" i="7"/>
  <c r="K22" i="7" s="1"/>
  <c r="D21" i="7"/>
  <c r="F21" i="7" s="1"/>
  <c r="G21" i="7" s="1"/>
  <c r="H21" i="7" s="1"/>
  <c r="C21" i="7"/>
  <c r="K21" i="7" s="1"/>
  <c r="D20" i="7"/>
  <c r="F20" i="7" s="1"/>
  <c r="G20" i="7" s="1"/>
  <c r="H20" i="7" s="1"/>
  <c r="C20" i="7"/>
  <c r="K20" i="7" s="1"/>
  <c r="D19" i="7"/>
  <c r="F19" i="7" s="1"/>
  <c r="G19" i="7" s="1"/>
  <c r="H19" i="7" s="1"/>
  <c r="C19" i="7"/>
  <c r="K19" i="7" s="1"/>
  <c r="D18" i="7"/>
  <c r="F18" i="7" s="1"/>
  <c r="G18" i="7" s="1"/>
  <c r="H18" i="7" s="1"/>
  <c r="C18" i="7"/>
  <c r="K18" i="7" s="1"/>
  <c r="D17" i="7"/>
  <c r="F17" i="7" s="1"/>
  <c r="G17" i="7" s="1"/>
  <c r="H17" i="7" s="1"/>
  <c r="C17" i="7"/>
  <c r="K17" i="7" s="1"/>
  <c r="D16" i="7"/>
  <c r="F16" i="7" s="1"/>
  <c r="G16" i="7" s="1"/>
  <c r="H16" i="7" s="1"/>
  <c r="C16" i="7"/>
  <c r="K16" i="7" s="1"/>
  <c r="D53" i="2"/>
  <c r="D61" i="2" s="1"/>
  <c r="C44" i="2"/>
  <c r="C72" i="2" s="1"/>
  <c r="C29" i="2"/>
  <c r="C28" i="2"/>
  <c r="D85" i="17" l="1"/>
  <c r="D89" i="17" s="1"/>
  <c r="D102" i="17" s="1"/>
  <c r="D104" i="17" s="1"/>
  <c r="D134" i="17" s="1"/>
  <c r="P15" i="6"/>
  <c r="L36" i="9"/>
  <c r="I17" i="8"/>
  <c r="M17" i="8" s="1"/>
  <c r="L36" i="8"/>
  <c r="I34" i="9"/>
  <c r="M34" i="9" s="1"/>
  <c r="L40" i="8"/>
  <c r="L23" i="10"/>
  <c r="L38" i="9"/>
  <c r="L42" i="8"/>
  <c r="I19" i="10"/>
  <c r="M19" i="10" s="1"/>
  <c r="L24" i="10"/>
  <c r="L26" i="10"/>
  <c r="L32" i="7"/>
  <c r="I41" i="7"/>
  <c r="M41" i="7" s="1"/>
  <c r="L44" i="7"/>
  <c r="L19" i="8"/>
  <c r="I33" i="8"/>
  <c r="M33" i="8" s="1"/>
  <c r="L23" i="9"/>
  <c r="L34" i="10"/>
  <c r="L29" i="8"/>
  <c r="L27" i="9"/>
  <c r="L20" i="10"/>
  <c r="I25" i="10"/>
  <c r="M25" i="10" s="1"/>
  <c r="L27" i="10"/>
  <c r="I32" i="10"/>
  <c r="M32" i="10" s="1"/>
  <c r="L24" i="7"/>
  <c r="L22" i="8"/>
  <c r="L30" i="9"/>
  <c r="L34" i="8"/>
  <c r="L41" i="8"/>
  <c r="I18" i="10"/>
  <c r="M18" i="10" s="1"/>
  <c r="I21" i="10"/>
  <c r="M21" i="10" s="1"/>
  <c r="I33" i="10"/>
  <c r="M33" i="10" s="1"/>
  <c r="L19" i="7"/>
  <c r="I25" i="7"/>
  <c r="M25" i="7" s="1"/>
  <c r="L28" i="7"/>
  <c r="L31" i="7"/>
  <c r="L34" i="7"/>
  <c r="I37" i="7"/>
  <c r="M37" i="7" s="1"/>
  <c r="L43" i="7"/>
  <c r="I28" i="8"/>
  <c r="M28" i="8" s="1"/>
  <c r="O28" i="8" s="1"/>
  <c r="L22" i="9"/>
  <c r="I27" i="10"/>
  <c r="M27" i="10" s="1"/>
  <c r="D84" i="16"/>
  <c r="D132" i="16"/>
  <c r="D95" i="16"/>
  <c r="D96" i="16" s="1"/>
  <c r="D103" i="16" s="1"/>
  <c r="D86" i="16"/>
  <c r="D83" i="16"/>
  <c r="D85" i="16"/>
  <c r="D88" i="16"/>
  <c r="D87" i="16"/>
  <c r="D70" i="2"/>
  <c r="I31" i="10"/>
  <c r="M31" i="10" s="1"/>
  <c r="L31" i="10"/>
  <c r="L18" i="10"/>
  <c r="O18" i="10" s="1"/>
  <c r="L19" i="10"/>
  <c r="I31" i="9"/>
  <c r="M31" i="9" s="1"/>
  <c r="L31" i="9"/>
  <c r="I32" i="9"/>
  <c r="M32" i="9" s="1"/>
  <c r="L32" i="9"/>
  <c r="L34" i="9"/>
  <c r="I38" i="9"/>
  <c r="M38" i="9" s="1"/>
  <c r="I32" i="8"/>
  <c r="M32" i="8" s="1"/>
  <c r="L32" i="8"/>
  <c r="L27" i="8"/>
  <c r="I27" i="8"/>
  <c r="M27" i="8" s="1"/>
  <c r="I29" i="8"/>
  <c r="M29" i="8" s="1"/>
  <c r="L17" i="8"/>
  <c r="L42" i="7"/>
  <c r="I42" i="7"/>
  <c r="M42" i="7" s="1"/>
  <c r="I40" i="7"/>
  <c r="M40" i="7" s="1"/>
  <c r="L40" i="7"/>
  <c r="I36" i="7"/>
  <c r="M36" i="7" s="1"/>
  <c r="L36" i="7"/>
  <c r="L26" i="7"/>
  <c r="I26" i="7"/>
  <c r="M26" i="7" s="1"/>
  <c r="L25" i="7"/>
  <c r="D73" i="2"/>
  <c r="D29" i="2"/>
  <c r="I17" i="7"/>
  <c r="M17" i="7" s="1"/>
  <c r="L17" i="7"/>
  <c r="I35" i="7"/>
  <c r="M35" i="7" s="1"/>
  <c r="L35" i="7"/>
  <c r="I38" i="7"/>
  <c r="M38" i="7" s="1"/>
  <c r="L38" i="7"/>
  <c r="O38" i="7" s="1"/>
  <c r="I20" i="9"/>
  <c r="M20" i="9" s="1"/>
  <c r="L20" i="9"/>
  <c r="L21" i="7"/>
  <c r="I21" i="7"/>
  <c r="M21" i="7" s="1"/>
  <c r="I31" i="8"/>
  <c r="M31" i="8" s="1"/>
  <c r="L31" i="8"/>
  <c r="I16" i="9"/>
  <c r="M16" i="9" s="1"/>
  <c r="L16" i="9"/>
  <c r="L18" i="7"/>
  <c r="I18" i="7"/>
  <c r="M18" i="7" s="1"/>
  <c r="L37" i="8"/>
  <c r="I37" i="8"/>
  <c r="M37" i="8" s="1"/>
  <c r="L23" i="8"/>
  <c r="I23" i="8"/>
  <c r="M23" i="8" s="1"/>
  <c r="L29" i="9"/>
  <c r="I29" i="9"/>
  <c r="M29" i="9" s="1"/>
  <c r="L39" i="7"/>
  <c r="I39" i="7"/>
  <c r="M39" i="7" s="1"/>
  <c r="O39" i="7" s="1"/>
  <c r="L33" i="7"/>
  <c r="I33" i="7"/>
  <c r="M33" i="7" s="1"/>
  <c r="L21" i="8"/>
  <c r="I21" i="8"/>
  <c r="M21" i="8" s="1"/>
  <c r="I38" i="8"/>
  <c r="M38" i="8" s="1"/>
  <c r="L38" i="8"/>
  <c r="L18" i="9"/>
  <c r="I18" i="9"/>
  <c r="M18" i="9" s="1"/>
  <c r="I17" i="10"/>
  <c r="M17" i="10" s="1"/>
  <c r="L17" i="10"/>
  <c r="L29" i="7"/>
  <c r="I29" i="7"/>
  <c r="M29" i="7" s="1"/>
  <c r="L23" i="7"/>
  <c r="I23" i="7"/>
  <c r="M23" i="7" s="1"/>
  <c r="I18" i="8"/>
  <c r="M18" i="8" s="1"/>
  <c r="L18" i="8"/>
  <c r="L35" i="8"/>
  <c r="I35" i="8"/>
  <c r="M35" i="8" s="1"/>
  <c r="L30" i="7"/>
  <c r="I30" i="7"/>
  <c r="M30" i="7" s="1"/>
  <c r="I21" i="9"/>
  <c r="M21" i="9" s="1"/>
  <c r="L21" i="9"/>
  <c r="I22" i="7"/>
  <c r="M22" i="7" s="1"/>
  <c r="L22" i="7"/>
  <c r="O22" i="7" s="1"/>
  <c r="I17" i="9"/>
  <c r="M17" i="9" s="1"/>
  <c r="L17" i="9"/>
  <c r="P15" i="7"/>
  <c r="P15" i="9"/>
  <c r="P15" i="10"/>
  <c r="P15" i="8"/>
  <c r="L16" i="7"/>
  <c r="I16" i="7"/>
  <c r="M16" i="7" s="1"/>
  <c r="L25" i="8"/>
  <c r="I25" i="8"/>
  <c r="M25" i="8" s="1"/>
  <c r="I19" i="9"/>
  <c r="M19" i="9" s="1"/>
  <c r="L19" i="9"/>
  <c r="I29" i="10"/>
  <c r="M29" i="10" s="1"/>
  <c r="L29" i="10"/>
  <c r="L20" i="7"/>
  <c r="I20" i="7"/>
  <c r="M20" i="7" s="1"/>
  <c r="L27" i="7"/>
  <c r="I27" i="7"/>
  <c r="M27" i="7" s="1"/>
  <c r="O27" i="7" s="1"/>
  <c r="I35" i="9"/>
  <c r="M35" i="9" s="1"/>
  <c r="L35" i="9"/>
  <c r="I26" i="8"/>
  <c r="M26" i="8" s="1"/>
  <c r="L26" i="8"/>
  <c r="I19" i="7"/>
  <c r="M19" i="7" s="1"/>
  <c r="I44" i="7"/>
  <c r="M44" i="7" s="1"/>
  <c r="I19" i="8"/>
  <c r="M19" i="8" s="1"/>
  <c r="I33" i="9"/>
  <c r="M33" i="9" s="1"/>
  <c r="L33" i="9"/>
  <c r="L21" i="10"/>
  <c r="I26" i="10"/>
  <c r="M26" i="10" s="1"/>
  <c r="L16" i="8"/>
  <c r="I16" i="8"/>
  <c r="M16" i="8" s="1"/>
  <c r="L37" i="9"/>
  <c r="I37" i="9"/>
  <c r="M37" i="9" s="1"/>
  <c r="L16" i="10"/>
  <c r="I16" i="10"/>
  <c r="M16" i="10" s="1"/>
  <c r="D68" i="2"/>
  <c r="I32" i="7"/>
  <c r="M32" i="7" s="1"/>
  <c r="L41" i="7"/>
  <c r="L30" i="8"/>
  <c r="I30" i="8"/>
  <c r="M30" i="8" s="1"/>
  <c r="L33" i="8"/>
  <c r="I40" i="8"/>
  <c r="M40" i="8" s="1"/>
  <c r="I24" i="10"/>
  <c r="M24" i="10" s="1"/>
  <c r="I24" i="7"/>
  <c r="M24" i="7" s="1"/>
  <c r="I27" i="9"/>
  <c r="M27" i="9" s="1"/>
  <c r="L32" i="10"/>
  <c r="L26" i="9"/>
  <c r="I26" i="9"/>
  <c r="M26" i="9" s="1"/>
  <c r="B6" i="4"/>
  <c r="E6" i="4" s="1"/>
  <c r="G6" i="4" s="1"/>
  <c r="G7" i="4" s="1"/>
  <c r="I43" i="7"/>
  <c r="M43" i="7" s="1"/>
  <c r="L20" i="8"/>
  <c r="I20" i="8"/>
  <c r="M20" i="8" s="1"/>
  <c r="L25" i="9"/>
  <c r="I25" i="9"/>
  <c r="M25" i="9" s="1"/>
  <c r="I30" i="10"/>
  <c r="M30" i="10" s="1"/>
  <c r="L30" i="10"/>
  <c r="L35" i="10"/>
  <c r="I35" i="10"/>
  <c r="M35" i="10" s="1"/>
  <c r="I22" i="9"/>
  <c r="M22" i="9" s="1"/>
  <c r="L45" i="7"/>
  <c r="I45" i="7"/>
  <c r="M45" i="7" s="1"/>
  <c r="I42" i="8"/>
  <c r="M42" i="8" s="1"/>
  <c r="I23" i="9"/>
  <c r="M23" i="9" s="1"/>
  <c r="I22" i="10"/>
  <c r="M22" i="10" s="1"/>
  <c r="L22" i="10"/>
  <c r="I24" i="9"/>
  <c r="M24" i="9" s="1"/>
  <c r="L24" i="9"/>
  <c r="I36" i="8"/>
  <c r="M36" i="8" s="1"/>
  <c r="I34" i="7"/>
  <c r="M34" i="7" s="1"/>
  <c r="L39" i="8"/>
  <c r="I39" i="8"/>
  <c r="M39" i="8" s="1"/>
  <c r="D28" i="2"/>
  <c r="D71" i="2"/>
  <c r="D72" i="2" s="1"/>
  <c r="I31" i="7"/>
  <c r="M31" i="7" s="1"/>
  <c r="L37" i="7"/>
  <c r="I22" i="8"/>
  <c r="M22" i="8" s="1"/>
  <c r="I30" i="9"/>
  <c r="M30" i="9" s="1"/>
  <c r="L28" i="9"/>
  <c r="I28" i="9"/>
  <c r="M28" i="9" s="1"/>
  <c r="L28" i="10"/>
  <c r="I28" i="10"/>
  <c r="M28" i="10" s="1"/>
  <c r="L24" i="8"/>
  <c r="I24" i="8"/>
  <c r="M24" i="8" s="1"/>
  <c r="D131" i="2"/>
  <c r="I28" i="7"/>
  <c r="M28" i="7" s="1"/>
  <c r="I34" i="8"/>
  <c r="M34" i="8" s="1"/>
  <c r="I41" i="8"/>
  <c r="M41" i="8" s="1"/>
  <c r="L33" i="10"/>
  <c r="I23" i="10"/>
  <c r="M23" i="10" s="1"/>
  <c r="I20" i="10"/>
  <c r="M20" i="10" s="1"/>
  <c r="I36" i="9"/>
  <c r="M36" i="9" s="1"/>
  <c r="O36" i="9" s="1"/>
  <c r="I34" i="10"/>
  <c r="M34" i="10" s="1"/>
  <c r="O36" i="7" l="1"/>
  <c r="O40" i="7"/>
  <c r="O29" i="8"/>
  <c r="P29" i="8" s="1"/>
  <c r="Q29" i="8" s="1"/>
  <c r="R29" i="8" s="1"/>
  <c r="O20" i="7"/>
  <c r="O24" i="7"/>
  <c r="O41" i="7"/>
  <c r="P41" i="7" s="1"/>
  <c r="Q41" i="7" s="1"/>
  <c r="R41" i="7" s="1"/>
  <c r="O44" i="7"/>
  <c r="O34" i="9"/>
  <c r="O33" i="8"/>
  <c r="P33" i="8" s="1"/>
  <c r="Q33" i="8" s="1"/>
  <c r="R33" i="8" s="1"/>
  <c r="O18" i="8"/>
  <c r="O22" i="10"/>
  <c r="P22" i="10" s="1"/>
  <c r="Q22" i="10" s="1"/>
  <c r="R22" i="10" s="1"/>
  <c r="O27" i="8"/>
  <c r="P27" i="8" s="1"/>
  <c r="Q27" i="8" s="1"/>
  <c r="R27" i="8" s="1"/>
  <c r="O32" i="9"/>
  <c r="P32" i="9" s="1"/>
  <c r="Q32" i="9" s="1"/>
  <c r="R32" i="9" s="1"/>
  <c r="O31" i="10"/>
  <c r="P31" i="10" s="1"/>
  <c r="Q31" i="10" s="1"/>
  <c r="R31" i="10" s="1"/>
  <c r="O29" i="9"/>
  <c r="P29" i="9" s="1"/>
  <c r="Q29" i="9" s="1"/>
  <c r="R29" i="9" s="1"/>
  <c r="O18" i="7"/>
  <c r="O21" i="7"/>
  <c r="P21" i="7" s="1"/>
  <c r="Q21" i="7" s="1"/>
  <c r="R21" i="7" s="1"/>
  <c r="O35" i="7"/>
  <c r="O30" i="10"/>
  <c r="O37" i="9"/>
  <c r="O33" i="9"/>
  <c r="P33" i="9" s="1"/>
  <c r="Q33" i="9" s="1"/>
  <c r="R33" i="9" s="1"/>
  <c r="O35" i="9"/>
  <c r="P35" i="9" s="1"/>
  <c r="Q35" i="9" s="1"/>
  <c r="R35" i="9" s="1"/>
  <c r="O17" i="9"/>
  <c r="P17" i="9" s="1"/>
  <c r="Q17" i="9" s="1"/>
  <c r="R17" i="9" s="1"/>
  <c r="O16" i="9"/>
  <c r="P16" i="9" s="1"/>
  <c r="Q16" i="9" s="1"/>
  <c r="R16" i="9" s="1"/>
  <c r="O20" i="9"/>
  <c r="P20" i="9" s="1"/>
  <c r="Q20" i="9" s="1"/>
  <c r="R20" i="9" s="1"/>
  <c r="O26" i="7"/>
  <c r="P26" i="7" s="1"/>
  <c r="Q26" i="7" s="1"/>
  <c r="R26" i="7" s="1"/>
  <c r="O42" i="7"/>
  <c r="P42" i="7" s="1"/>
  <c r="Q42" i="7" s="1"/>
  <c r="R42" i="7" s="1"/>
  <c r="O31" i="9"/>
  <c r="P31" i="9" s="1"/>
  <c r="Q31" i="9" s="1"/>
  <c r="R31" i="9" s="1"/>
  <c r="O32" i="10"/>
  <c r="P32" i="10" s="1"/>
  <c r="Q32" i="10" s="1"/>
  <c r="R32" i="10" s="1"/>
  <c r="O25" i="7"/>
  <c r="P25" i="7" s="1"/>
  <c r="Q25" i="7" s="1"/>
  <c r="R25" i="7" s="1"/>
  <c r="P32" i="6"/>
  <c r="Q32" i="6" s="1"/>
  <c r="R32" i="6" s="1"/>
  <c r="P23" i="6"/>
  <c r="Q23" i="6" s="1"/>
  <c r="R23" i="6" s="1"/>
  <c r="P25" i="6"/>
  <c r="Q25" i="6" s="1"/>
  <c r="R25" i="6" s="1"/>
  <c r="P17" i="6"/>
  <c r="Q17" i="6" s="1"/>
  <c r="R17" i="6" s="1"/>
  <c r="P19" i="6"/>
  <c r="Q19" i="6" s="1"/>
  <c r="R19" i="6" s="1"/>
  <c r="P27" i="6"/>
  <c r="Q27" i="6" s="1"/>
  <c r="R27" i="6" s="1"/>
  <c r="P22" i="6"/>
  <c r="Q22" i="6" s="1"/>
  <c r="R22" i="6" s="1"/>
  <c r="P36" i="6"/>
  <c r="Q36" i="6" s="1"/>
  <c r="R36" i="6" s="1"/>
  <c r="P20" i="6"/>
  <c r="Q20" i="6" s="1"/>
  <c r="R20" i="6" s="1"/>
  <c r="P29" i="6"/>
  <c r="Q29" i="6" s="1"/>
  <c r="R29" i="6" s="1"/>
  <c r="P24" i="6"/>
  <c r="Q24" i="6" s="1"/>
  <c r="R24" i="6" s="1"/>
  <c r="P21" i="6"/>
  <c r="Q21" i="6" s="1"/>
  <c r="R21" i="6" s="1"/>
  <c r="P35" i="6"/>
  <c r="Q35" i="6" s="1"/>
  <c r="R35" i="6" s="1"/>
  <c r="P30" i="6"/>
  <c r="Q30" i="6" s="1"/>
  <c r="R30" i="6" s="1"/>
  <c r="P34" i="6"/>
  <c r="Q34" i="6" s="1"/>
  <c r="R34" i="6" s="1"/>
  <c r="P18" i="6"/>
  <c r="Q18" i="6" s="1"/>
  <c r="R18" i="6" s="1"/>
  <c r="P26" i="6"/>
  <c r="Q26" i="6" s="1"/>
  <c r="R26" i="6" s="1"/>
  <c r="P33" i="6"/>
  <c r="Q33" i="6" s="1"/>
  <c r="R33" i="6" s="1"/>
  <c r="P37" i="6"/>
  <c r="Q37" i="6" s="1"/>
  <c r="R37" i="6" s="1"/>
  <c r="P28" i="6"/>
  <c r="Q28" i="6" s="1"/>
  <c r="R28" i="6" s="1"/>
  <c r="P31" i="6"/>
  <c r="Q31" i="6" s="1"/>
  <c r="R31" i="6" s="1"/>
  <c r="P16" i="6"/>
  <c r="Q16" i="6" s="1"/>
  <c r="R16" i="6" s="1"/>
  <c r="O17" i="7"/>
  <c r="P17" i="7" s="1"/>
  <c r="Q17" i="7" s="1"/>
  <c r="R17" i="7" s="1"/>
  <c r="O34" i="7"/>
  <c r="P34" i="7" s="1"/>
  <c r="Q34" i="7" s="1"/>
  <c r="R34" i="7" s="1"/>
  <c r="O35" i="8"/>
  <c r="P35" i="8" s="1"/>
  <c r="Q35" i="8" s="1"/>
  <c r="R35" i="8" s="1"/>
  <c r="O38" i="8"/>
  <c r="P38" i="8" s="1"/>
  <c r="Q38" i="8" s="1"/>
  <c r="R38" i="8" s="1"/>
  <c r="O37" i="8"/>
  <c r="P37" i="8" s="1"/>
  <c r="Q37" i="8" s="1"/>
  <c r="R37" i="8" s="1"/>
  <c r="O31" i="8"/>
  <c r="P31" i="8" s="1"/>
  <c r="Q31" i="8" s="1"/>
  <c r="R31" i="8" s="1"/>
  <c r="O41" i="8"/>
  <c r="P41" i="8" s="1"/>
  <c r="Q41" i="8" s="1"/>
  <c r="R41" i="8" s="1"/>
  <c r="O25" i="8"/>
  <c r="P25" i="8" s="1"/>
  <c r="Q25" i="8" s="1"/>
  <c r="R25" i="8" s="1"/>
  <c r="O21" i="8"/>
  <c r="P21" i="8" s="1"/>
  <c r="Q21" i="8" s="1"/>
  <c r="R21" i="8" s="1"/>
  <c r="O36" i="8"/>
  <c r="P36" i="8" s="1"/>
  <c r="Q36" i="8" s="1"/>
  <c r="R36" i="8" s="1"/>
  <c r="O32" i="8"/>
  <c r="P32" i="8" s="1"/>
  <c r="Q32" i="8" s="1"/>
  <c r="R32" i="8" s="1"/>
  <c r="O20" i="8"/>
  <c r="P20" i="8" s="1"/>
  <c r="Q20" i="8" s="1"/>
  <c r="R20" i="8" s="1"/>
  <c r="O42" i="8"/>
  <c r="P42" i="8" s="1"/>
  <c r="Q42" i="8" s="1"/>
  <c r="R42" i="8" s="1"/>
  <c r="O17" i="8"/>
  <c r="P17" i="8" s="1"/>
  <c r="Q17" i="8" s="1"/>
  <c r="R17" i="8" s="1"/>
  <c r="O21" i="10"/>
  <c r="P21" i="10" s="1"/>
  <c r="Q21" i="10" s="1"/>
  <c r="R21" i="10" s="1"/>
  <c r="O27" i="10"/>
  <c r="P27" i="10" s="1"/>
  <c r="Q27" i="10" s="1"/>
  <c r="R27" i="10" s="1"/>
  <c r="O35" i="10"/>
  <c r="O29" i="10"/>
  <c r="P29" i="10" s="1"/>
  <c r="Q29" i="10" s="1"/>
  <c r="R29" i="10" s="1"/>
  <c r="O28" i="10"/>
  <c r="P28" i="10" s="1"/>
  <c r="Q28" i="10" s="1"/>
  <c r="R28" i="10" s="1"/>
  <c r="O19" i="10"/>
  <c r="P19" i="10" s="1"/>
  <c r="Q19" i="10" s="1"/>
  <c r="R19" i="10" s="1"/>
  <c r="O45" i="7"/>
  <c r="P45" i="7" s="1"/>
  <c r="Q45" i="7" s="1"/>
  <c r="R45" i="7" s="1"/>
  <c r="O26" i="9"/>
  <c r="P26" i="9" s="1"/>
  <c r="Q26" i="9" s="1"/>
  <c r="R26" i="9" s="1"/>
  <c r="O24" i="8"/>
  <c r="P24" i="8" s="1"/>
  <c r="Q24" i="8" s="1"/>
  <c r="R24" i="8" s="1"/>
  <c r="O39" i="8"/>
  <c r="P39" i="8" s="1"/>
  <c r="Q39" i="8" s="1"/>
  <c r="R39" i="8" s="1"/>
  <c r="O30" i="8"/>
  <c r="P30" i="8" s="1"/>
  <c r="Q30" i="8" s="1"/>
  <c r="R30" i="8" s="1"/>
  <c r="O16" i="10"/>
  <c r="P16" i="10" s="1"/>
  <c r="Q16" i="10" s="1"/>
  <c r="R16" i="10" s="1"/>
  <c r="O26" i="8"/>
  <c r="P26" i="8" s="1"/>
  <c r="Q26" i="8" s="1"/>
  <c r="R26" i="8" s="1"/>
  <c r="O21" i="9"/>
  <c r="P21" i="9" s="1"/>
  <c r="Q21" i="9" s="1"/>
  <c r="R21" i="9" s="1"/>
  <c r="O17" i="10"/>
  <c r="O25" i="10"/>
  <c r="P25" i="10" s="1"/>
  <c r="Q25" i="10" s="1"/>
  <c r="R25" i="10" s="1"/>
  <c r="O19" i="8"/>
  <c r="P19" i="8" s="1"/>
  <c r="Q19" i="8" s="1"/>
  <c r="R19" i="8" s="1"/>
  <c r="O32" i="7"/>
  <c r="P32" i="7" s="1"/>
  <c r="Q32" i="7" s="1"/>
  <c r="R32" i="7" s="1"/>
  <c r="O37" i="7"/>
  <c r="P37" i="7" s="1"/>
  <c r="Q37" i="7" s="1"/>
  <c r="R37" i="7" s="1"/>
  <c r="O28" i="7"/>
  <c r="P28" i="7" s="1"/>
  <c r="Q28" i="7" s="1"/>
  <c r="R28" i="7" s="1"/>
  <c r="O23" i="10"/>
  <c r="P23" i="10" s="1"/>
  <c r="Q23" i="10" s="1"/>
  <c r="R23" i="10" s="1"/>
  <c r="O22" i="9"/>
  <c r="P22" i="9" s="1"/>
  <c r="Q22" i="9" s="1"/>
  <c r="R22" i="9" s="1"/>
  <c r="O22" i="8"/>
  <c r="P22" i="8" s="1"/>
  <c r="Q22" i="8" s="1"/>
  <c r="R22" i="8" s="1"/>
  <c r="O20" i="10"/>
  <c r="P20" i="10" s="1"/>
  <c r="Q20" i="10" s="1"/>
  <c r="R20" i="10" s="1"/>
  <c r="O26" i="10"/>
  <c r="P26" i="10" s="1"/>
  <c r="Q26" i="10" s="1"/>
  <c r="R26" i="10" s="1"/>
  <c r="O16" i="7"/>
  <c r="P16" i="7" s="1"/>
  <c r="Q16" i="7" s="1"/>
  <c r="R16" i="7" s="1"/>
  <c r="O30" i="7"/>
  <c r="P30" i="7" s="1"/>
  <c r="Q30" i="7" s="1"/>
  <c r="R30" i="7" s="1"/>
  <c r="O23" i="7"/>
  <c r="P23" i="7" s="1"/>
  <c r="Q23" i="7" s="1"/>
  <c r="R23" i="7" s="1"/>
  <c r="O33" i="7"/>
  <c r="O23" i="8"/>
  <c r="P23" i="8" s="1"/>
  <c r="Q23" i="8" s="1"/>
  <c r="R23" i="8" s="1"/>
  <c r="O33" i="10"/>
  <c r="P33" i="10" s="1"/>
  <c r="Q33" i="10" s="1"/>
  <c r="R33" i="10" s="1"/>
  <c r="O40" i="8"/>
  <c r="P40" i="8" s="1"/>
  <c r="Q40" i="8" s="1"/>
  <c r="R40" i="8" s="1"/>
  <c r="O16" i="8"/>
  <c r="P16" i="8" s="1"/>
  <c r="Q16" i="8" s="1"/>
  <c r="R16" i="8" s="1"/>
  <c r="O27" i="9"/>
  <c r="P27" i="9" s="1"/>
  <c r="Q27" i="9" s="1"/>
  <c r="R27" i="9" s="1"/>
  <c r="O34" i="10"/>
  <c r="P34" i="10" s="1"/>
  <c r="Q34" i="10" s="1"/>
  <c r="R34" i="10" s="1"/>
  <c r="O24" i="10"/>
  <c r="P24" i="10" s="1"/>
  <c r="Q24" i="10" s="1"/>
  <c r="R24" i="10" s="1"/>
  <c r="O28" i="9"/>
  <c r="P28" i="9" s="1"/>
  <c r="Q28" i="9" s="1"/>
  <c r="R28" i="9" s="1"/>
  <c r="O25" i="9"/>
  <c r="P25" i="9" s="1"/>
  <c r="Q25" i="9" s="1"/>
  <c r="R25" i="9" s="1"/>
  <c r="O29" i="7"/>
  <c r="P29" i="7" s="1"/>
  <c r="Q29" i="7" s="1"/>
  <c r="R29" i="7" s="1"/>
  <c r="O43" i="7"/>
  <c r="P43" i="7" s="1"/>
  <c r="Q43" i="7" s="1"/>
  <c r="R43" i="7" s="1"/>
  <c r="O31" i="7"/>
  <c r="P31" i="7" s="1"/>
  <c r="Q31" i="7" s="1"/>
  <c r="R31" i="7" s="1"/>
  <c r="O19" i="7"/>
  <c r="P19" i="7" s="1"/>
  <c r="Q19" i="7" s="1"/>
  <c r="R19" i="7" s="1"/>
  <c r="O34" i="8"/>
  <c r="P34" i="8" s="1"/>
  <c r="Q34" i="8" s="1"/>
  <c r="R34" i="8" s="1"/>
  <c r="O24" i="9"/>
  <c r="P24" i="9" s="1"/>
  <c r="Q24" i="9" s="1"/>
  <c r="R24" i="9" s="1"/>
  <c r="O18" i="9"/>
  <c r="P18" i="9" s="1"/>
  <c r="Q18" i="9" s="1"/>
  <c r="R18" i="9" s="1"/>
  <c r="O23" i="9"/>
  <c r="P23" i="9" s="1"/>
  <c r="Q23" i="9" s="1"/>
  <c r="R23" i="9" s="1"/>
  <c r="O19" i="9"/>
  <c r="P19" i="9" s="1"/>
  <c r="Q19" i="9" s="1"/>
  <c r="R19" i="9" s="1"/>
  <c r="O30" i="9"/>
  <c r="P30" i="9" s="1"/>
  <c r="Q30" i="9" s="1"/>
  <c r="R30" i="9" s="1"/>
  <c r="O38" i="9"/>
  <c r="P38" i="9" s="1"/>
  <c r="Q38" i="9" s="1"/>
  <c r="R38" i="9" s="1"/>
  <c r="P18" i="8"/>
  <c r="Q18" i="8" s="1"/>
  <c r="R18" i="8" s="1"/>
  <c r="P36" i="7"/>
  <c r="Q36" i="7" s="1"/>
  <c r="R36" i="7" s="1"/>
  <c r="P30" i="10"/>
  <c r="Q30" i="10" s="1"/>
  <c r="R30" i="10" s="1"/>
  <c r="D113" i="16"/>
  <c r="D135" i="16" s="1"/>
  <c r="D113" i="17"/>
  <c r="D135" i="17" s="1"/>
  <c r="D136" i="17" s="1"/>
  <c r="D89" i="16"/>
  <c r="D102" i="16" s="1"/>
  <c r="D104" i="16" s="1"/>
  <c r="D134" i="16" s="1"/>
  <c r="F6" i="4"/>
  <c r="H6" i="4" s="1"/>
  <c r="H7" i="4" s="1"/>
  <c r="G8" i="4" s="1"/>
  <c r="G9" i="4" s="1"/>
  <c r="F13" i="23" s="1"/>
  <c r="F15" i="23" s="1"/>
  <c r="P18" i="10"/>
  <c r="Q18" i="10" s="1"/>
  <c r="R18" i="10" s="1"/>
  <c r="P18" i="7"/>
  <c r="Q18" i="7" s="1"/>
  <c r="R18" i="7" s="1"/>
  <c r="P40" i="7"/>
  <c r="Q40" i="7" s="1"/>
  <c r="R40" i="7" s="1"/>
  <c r="P22" i="7"/>
  <c r="Q22" i="7" s="1"/>
  <c r="R22" i="7" s="1"/>
  <c r="P38" i="7"/>
  <c r="Q38" i="7" s="1"/>
  <c r="R38" i="7" s="1"/>
  <c r="P27" i="7"/>
  <c r="Q27" i="7" s="1"/>
  <c r="R27" i="7" s="1"/>
  <c r="P20" i="7"/>
  <c r="Q20" i="7" s="1"/>
  <c r="R20" i="7" s="1"/>
  <c r="P34" i="9"/>
  <c r="Q34" i="9" s="1"/>
  <c r="R34" i="9" s="1"/>
  <c r="D30" i="2"/>
  <c r="D41" i="2" s="1"/>
  <c r="P36" i="9"/>
  <c r="Q36" i="9" s="1"/>
  <c r="R36" i="9" s="1"/>
  <c r="P44" i="7"/>
  <c r="Q44" i="7" s="1"/>
  <c r="R44" i="7" s="1"/>
  <c r="P28" i="8"/>
  <c r="Q28" i="8" s="1"/>
  <c r="R28" i="8" s="1"/>
  <c r="P24" i="7"/>
  <c r="Q24" i="7" s="1"/>
  <c r="R24" i="7" s="1"/>
  <c r="D69" i="2"/>
  <c r="D74" i="2" s="1"/>
  <c r="D133" i="2" s="1"/>
  <c r="D119" i="17" l="1"/>
  <c r="D113" i="2"/>
  <c r="D135" i="2" s="1"/>
  <c r="R39" i="6"/>
  <c r="B3" i="11" s="1"/>
  <c r="R44" i="8"/>
  <c r="B5" i="11" s="1"/>
  <c r="D136" i="16"/>
  <c r="D59" i="2"/>
  <c r="D120" i="17"/>
  <c r="D121" i="17" s="1"/>
  <c r="D42" i="2"/>
  <c r="D43" i="2"/>
  <c r="D36" i="2"/>
  <c r="D38" i="2"/>
  <c r="D40" i="2"/>
  <c r="D37" i="2"/>
  <c r="D39" i="2"/>
  <c r="P33" i="7"/>
  <c r="Q33" i="7" s="1"/>
  <c r="R33" i="7" s="1"/>
  <c r="P35" i="10"/>
  <c r="Q35" i="10" s="1"/>
  <c r="R35" i="10" s="1"/>
  <c r="P35" i="7"/>
  <c r="Q35" i="7" s="1"/>
  <c r="R35" i="7" s="1"/>
  <c r="P39" i="7"/>
  <c r="Q39" i="7" s="1"/>
  <c r="R39" i="7" s="1"/>
  <c r="P37" i="9"/>
  <c r="Q37" i="9" s="1"/>
  <c r="R37" i="9" s="1"/>
  <c r="R40" i="9" s="1"/>
  <c r="P17" i="10"/>
  <c r="Q17" i="10" s="1"/>
  <c r="R17" i="10" s="1"/>
  <c r="D119" i="16" l="1"/>
  <c r="D120" i="16" s="1"/>
  <c r="D121" i="16" s="1"/>
  <c r="D125" i="16" s="1"/>
  <c r="D137" i="16" s="1"/>
  <c r="D138" i="16" s="1"/>
  <c r="R47" i="7"/>
  <c r="B4" i="11" s="1"/>
  <c r="R37" i="10"/>
  <c r="B7" i="11" s="1"/>
  <c r="B6" i="11"/>
  <c r="D125" i="17"/>
  <c r="D137" i="17" s="1"/>
  <c r="D138" i="17" s="1"/>
  <c r="C7" i="23" s="1"/>
  <c r="E7" i="23" s="1"/>
  <c r="F7" i="23" s="1"/>
  <c r="D44" i="2"/>
  <c r="D60" i="2" s="1"/>
  <c r="D62" i="2" s="1"/>
  <c r="D87" i="2" s="1"/>
  <c r="C6" i="23" l="1"/>
  <c r="E6" i="23" s="1"/>
  <c r="F6" i="23" s="1"/>
  <c r="D124" i="16"/>
  <c r="D122" i="16"/>
  <c r="D123" i="16"/>
  <c r="B8" i="11"/>
  <c r="D122" i="17"/>
  <c r="D124" i="17"/>
  <c r="D123" i="17"/>
  <c r="D84" i="2"/>
  <c r="D95" i="2"/>
  <c r="D96" i="2" s="1"/>
  <c r="D103" i="2" s="1"/>
  <c r="D85" i="2"/>
  <c r="D83" i="2"/>
  <c r="D86" i="2"/>
  <c r="D88" i="2"/>
  <c r="D132" i="2"/>
  <c r="D89" i="2" l="1"/>
  <c r="D102" i="2" s="1"/>
  <c r="D104" i="2" s="1"/>
  <c r="D134" i="2" s="1"/>
  <c r="D136" i="2" s="1"/>
  <c r="D119" i="2" l="1"/>
  <c r="D120" i="2" s="1"/>
  <c r="D121" i="2" l="1"/>
  <c r="D125" i="2" s="1"/>
  <c r="D137" i="2" s="1"/>
  <c r="D138" i="2" s="1"/>
  <c r="C5" i="23" s="1"/>
  <c r="E5" i="23" s="1"/>
  <c r="F5" i="23" l="1"/>
  <c r="F8" i="23" s="1"/>
  <c r="F17" i="23" s="1"/>
  <c r="E8" i="23"/>
  <c r="D124" i="2"/>
  <c r="D122" i="2"/>
  <c r="D123" i="2"/>
</calcChain>
</file>

<file path=xl/sharedStrings.xml><?xml version="1.0" encoding="utf-8"?>
<sst xmlns="http://schemas.openxmlformats.org/spreadsheetml/2006/main" count="815" uniqueCount="194">
  <si>
    <t>PLANILHA DE CUSTOS E FORMAÇÃO DE PREÇOS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</si>
  <si>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</si>
  <si>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</si>
  <si>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</si>
  <si>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</si>
  <si>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</si>
  <si>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</si>
  <si>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</si>
  <si>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</si>
  <si>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</si>
  <si>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</si>
  <si>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</si>
  <si>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</si>
  <si>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</si>
  <si>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</si>
  <si>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</si>
  <si>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</si>
  <si>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</si>
  <si>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</si>
  <si>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</si>
  <si>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</si>
  <si>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</si>
  <si>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</si>
  <si>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</si>
  <si>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</si>
  <si>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</si>
  <si>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</si>
  <si>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</si>
  <si>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</si>
  <si>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</si>
  <si>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</si>
  <si>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</si>
  <si>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</si>
  <si>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</si>
  <si>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</si>
  <si>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</si>
  <si>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</si>
  <si>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</si>
  <si>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</si>
  <si>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</si>
  <si>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</si>
  <si>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</si>
  <si>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</si>
  <si>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</si>
  <si>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</si>
  <si>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</si>
  <si>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</si>
  <si>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</si>
  <si>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</si>
  <si>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</si>
  <si>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</si>
  <si>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</si>
  <si>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</si>
  <si>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</si>
  <si>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Aviso Prévio Trabalhado</t>
  </si>
  <si>
    <t>Módulo 4 - Custo de Reposição do Profissional Ausente</t>
  </si>
  <si>
    <t>Submódulo 4.1 - Substituto nas Ausências Legais</t>
  </si>
  <si>
    <t>4.1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</si>
  <si>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</si>
  <si>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</si>
  <si>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</si>
  <si>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</si>
  <si>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</si>
  <si>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</si>
  <si>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Submódulo 4.2 - Substituto na Intrajornada</t>
  </si>
  <si>
    <t>4.2</t>
  </si>
  <si>
    <t>Substituto na Intrajornada</t>
  </si>
  <si>
    <t>Substituto na cobertura de Intervalo para repouso e alimentação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</si>
  <si>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</si>
  <si>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</si>
  <si>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</si>
  <si>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</si>
  <si>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</si>
  <si>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Equipamentos de Proteção Individual</t>
  </si>
  <si>
    <t>Módulo 6 - Custos Indiretos, Tributos e Lucro</t>
  </si>
  <si>
    <t>Custos Indiretos, Tributos e Lucro</t>
  </si>
  <si>
    <t>Custos Indiretos</t>
  </si>
  <si>
    <t>Lucro</t>
  </si>
  <si>
    <t>Tributos</t>
  </si>
  <si>
    <t>2. QUADRO-RESUMO DO CUSTO POR EMPREGADO</t>
  </si>
  <si>
    <t>Mão de obra vinculada à execução contratual (valor por empregado)</t>
  </si>
  <si>
    <t>Subtotal (A + B +C+ D+E)</t>
  </si>
  <si>
    <t>Módulo 6 – Custos Indiretos, Tributos e Lucro</t>
  </si>
  <si>
    <t xml:space="preserve">Valor Total por Empregado </t>
  </si>
  <si>
    <t>POSTO</t>
  </si>
  <si>
    <t>REMUNERAÇÃO</t>
  </si>
  <si>
    <t>QTD.</t>
  </si>
  <si>
    <t>VALOR UNTÁRIO</t>
  </si>
  <si>
    <t>VALOR TOTAL</t>
  </si>
  <si>
    <t>Dias úteis e sábados</t>
  </si>
  <si>
    <t>Domingos e feriados</t>
  </si>
  <si>
    <t>ENGENHEIRO/ARQUITETO</t>
  </si>
  <si>
    <t>TOTAL MENSAL</t>
  </si>
  <si>
    <t>Velocidade média da viagem em Km/hora</t>
  </si>
  <si>
    <t>Média de horas para vistoria por imóvel</t>
  </si>
  <si>
    <t>Valor da diária de locação de veículo em R$</t>
  </si>
  <si>
    <t xml:space="preserve">Distância percorrida dentro do município </t>
  </si>
  <si>
    <t>20Km</t>
  </si>
  <si>
    <t>Valor do litro da gasolina em R$</t>
  </si>
  <si>
    <t>Consumo de combustível (Km/litro)</t>
  </si>
  <si>
    <t>Valor da diária (pernoite+alimentação)</t>
  </si>
  <si>
    <t xml:space="preserve">DISTÂNCIA TOTAL PERCORRIDA (IDA E VOLTA) ATÉ (Km) _ </t>
  </si>
  <si>
    <t>CONSUMO DE COMBUSTÍVEL (10 km/ litro)</t>
  </si>
  <si>
    <r>
      <rPr>
        <sz val="8"/>
        <rFont val="Arial"/>
        <family val="2"/>
        <charset val="1"/>
      </rPr>
      <t xml:space="preserve">ESTIMATIVA DE TEMPO GASTO COM DESLOCAMENTO - </t>
    </r>
    <r>
      <rPr>
        <u/>
        <sz val="8"/>
        <rFont val="Arial"/>
        <family val="2"/>
        <charset val="1"/>
      </rPr>
      <t>80/Km/h</t>
    </r>
  </si>
  <si>
    <t>TOTAL DE HORAS ESTIMADAS PARA A VIAGEM</t>
  </si>
  <si>
    <t>CALCULO APROXIMADO DO NÚMERO DE DIÁRIAS DE LOCAÇÃO DO VEÍCULO</t>
  </si>
  <si>
    <t>NÚMERO DE DIÁRIAS DE LOCAÇÃO DO VEÍCULO</t>
  </si>
  <si>
    <t>NÚMERO DE DIÁRIAS DO PROFISSIONAL</t>
  </si>
  <si>
    <t>VALOR GASTO COM COMBUSTÍVEL</t>
  </si>
  <si>
    <t>VALOR DE ALUGUEL DE VEÍCULO</t>
  </si>
  <si>
    <t>VALOR TOTAL VIAGEM (VEÍCULO + COMBUSTÍVEL+DIÁRIAS)</t>
  </si>
  <si>
    <t>VALOR TOTAL COM IMPOSTOS</t>
  </si>
  <si>
    <t>VALOR DESLOCAMENTO/ DIA</t>
  </si>
  <si>
    <t>km</t>
  </si>
  <si>
    <t>litros (l)</t>
  </si>
  <si>
    <t>h</t>
  </si>
  <si>
    <t>n</t>
  </si>
  <si>
    <t>unid</t>
  </si>
  <si>
    <t>R$</t>
  </si>
  <si>
    <t>VIAGEM PARA 02 MUNICÍPIOS</t>
  </si>
  <si>
    <t>MÉDIA DISTÂNCIA PERCORRIDA DENTRO DOS MUNICÍPIOS(km)</t>
  </si>
  <si>
    <t>MÉDIA DE TEMPO GASTO COM 02 VISITAS TÉCNICAS(h)</t>
  </si>
  <si>
    <t>VIAGEM PARA 03 MUNICÍPIOS</t>
  </si>
  <si>
    <t xml:space="preserve">PARÂMETROS </t>
  </si>
  <si>
    <t>MÉDIA DE TEMPO GASTO COM 03 VISITAS TÉCNICAS(h)</t>
  </si>
  <si>
    <t>VIAGEM PARA 04 MUNICÍPIOS</t>
  </si>
  <si>
    <t>MÉDIA DE TEMPO GASTO COM 04 VISITAS TÉCNICAS(h)</t>
  </si>
  <si>
    <t>VIAGEM PARA 05 MUNICÍPIOS</t>
  </si>
  <si>
    <t>MÉDIA DE TEMPO GASTO COM 05 VISITAS TÉCNICAS(h)</t>
  </si>
  <si>
    <t>PARA 01 MUNICÍPIO</t>
  </si>
  <si>
    <t>PARA 02 MUNICÍPIOS</t>
  </si>
  <si>
    <t>PARA 03 MUNICÍPIOS</t>
  </si>
  <si>
    <t>PARA 04 MUNICÍPIOS</t>
  </si>
  <si>
    <t>PARA 05 MUNICÍPIOS</t>
  </si>
  <si>
    <t>-</t>
  </si>
  <si>
    <t>C.2. Tributos Estaduais (isento)</t>
  </si>
  <si>
    <t>C.3. Tributos Municipais (ISS)</t>
  </si>
  <si>
    <t>C.1. Tributos Federais (COFINS: 3%; PIS 0,65%)</t>
  </si>
  <si>
    <t>Engenheiro Mecânico</t>
  </si>
  <si>
    <t>Registrato CREA</t>
  </si>
  <si>
    <t>Engenheiro Eletricista</t>
  </si>
  <si>
    <t>Registrado CREA/ CAU</t>
  </si>
  <si>
    <t>Materiais (licenças  software)</t>
  </si>
  <si>
    <t>VIAGEM PARA 01 MUNICÍPIO</t>
  </si>
  <si>
    <t>MÉDIA DISTÂNCIA PERCORRIDA DENTRO DO MUNICÍPIO(km)</t>
  </si>
  <si>
    <t>MÉDIA DE TEMPO GASTO COM 01 VISITA TÉCNICA(h)</t>
  </si>
  <si>
    <t>QUANTIDADE DE PROFISSIONAIS (essa quantidade será definida pela fiscalização no ato da emissão do chamado) + MOTORISTA</t>
  </si>
  <si>
    <t>VALOR TOTAL COM BDI</t>
  </si>
  <si>
    <t>MÉDIA:</t>
  </si>
  <si>
    <t>Substituto na cobertura de Outras ausências (especificar)</t>
  </si>
  <si>
    <t>Incidência de GPS, FGTS e outras contribuições sobre o Aviso Prévio Trabalhado</t>
  </si>
  <si>
    <t>Multa do FGTS sobre o Aviso Prévio Indenizado</t>
  </si>
  <si>
    <t>Multa do FGTS sobre o Aviso Prévio Trabalhado</t>
  </si>
  <si>
    <r>
      <t xml:space="preserve">VALOR DE DIÁRIAS </t>
    </r>
    <r>
      <rPr>
        <b/>
        <sz val="8"/>
        <color rgb="FF000000"/>
        <rFont val="Arial"/>
        <family val="2"/>
        <charset val="1"/>
      </rPr>
      <t>PARA 02 PROFISSIONAIS</t>
    </r>
  </si>
  <si>
    <r>
      <t xml:space="preserve">VALOR DE DIÁRIAS </t>
    </r>
    <r>
      <rPr>
        <b/>
        <sz val="8"/>
        <color rgb="FF000000"/>
        <rFont val="Arial"/>
        <family val="2"/>
      </rPr>
      <t>PARA 02 PROFISSIONAIS</t>
    </r>
  </si>
  <si>
    <t>VALOR MOTORISTA</t>
  </si>
  <si>
    <t>item</t>
  </si>
  <si>
    <t>quantidade</t>
  </si>
  <si>
    <t>valor unitário</t>
  </si>
  <si>
    <t>valor mensal</t>
  </si>
  <si>
    <t>*valores calculados automaticamente por meio das informações da planilha do posto de arquiteto/engenheiro</t>
  </si>
  <si>
    <t>*valores obtidos por meio do preenchimento das planilhas de deslocamento</t>
  </si>
  <si>
    <r>
      <t>Valor de referência ARTs/RRTs</t>
    </r>
    <r>
      <rPr>
        <sz val="11"/>
        <color rgb="FFFF0000"/>
        <rFont val="Times New Roman"/>
        <family val="1"/>
      </rPr>
      <t>**</t>
    </r>
  </si>
  <si>
    <t>**valor de referência não pode ser alterado</t>
  </si>
  <si>
    <t>Hora motorista</t>
  </si>
  <si>
    <r>
      <t>ESTIMATIVA DE VALOR DE DESLOCAMENTO PARA 01 PROFISSIONAL + MOTORISTA</t>
    </r>
    <r>
      <rPr>
        <b/>
        <sz val="12"/>
        <color rgb="FFFF0000"/>
        <rFont val="Arial"/>
        <family val="2"/>
      </rPr>
      <t>*</t>
    </r>
  </si>
  <si>
    <t>Outro (informar)</t>
  </si>
  <si>
    <r>
      <t xml:space="preserve">*deve ser preenchido </t>
    </r>
    <r>
      <rPr>
        <u/>
        <sz val="8"/>
        <color rgb="FFFF0000"/>
        <rFont val="Arial"/>
        <family val="2"/>
      </rPr>
      <t>apenas o valor da hora do motorista, que pode ser zero</t>
    </r>
    <r>
      <rPr>
        <sz val="8"/>
        <color rgb="FFFF0000"/>
        <rFont val="Arial"/>
        <family val="2"/>
      </rPr>
      <t>, e que deve ser igual em todas as planilhas de deslocamento. Os valores abaixo serão calculados automaticamente.</t>
    </r>
  </si>
  <si>
    <t>MÉDIA GERAL DE VALOR DE DESLOCAMENTO</t>
  </si>
  <si>
    <t>BDI
(conforme planilha de custos dos postos)</t>
  </si>
  <si>
    <t>BDI (o mesmo dos postos)</t>
  </si>
  <si>
    <t>TOTAL  CONTRATADO PARA 24 MESES</t>
  </si>
  <si>
    <t>Demanda prevista</t>
  </si>
  <si>
    <t>valor unitário estimado</t>
  </si>
  <si>
    <t>valor total</t>
  </si>
  <si>
    <t>Subtotal</t>
  </si>
  <si>
    <t>Serviços Eventuais</t>
  </si>
  <si>
    <t>Consultoria Técnica</t>
  </si>
  <si>
    <t>desconto</t>
  </si>
  <si>
    <t>Estimativa com ARTs/RRTs</t>
  </si>
  <si>
    <t>Estimativa de Horas Extras</t>
  </si>
  <si>
    <t>Valor médio por dia de deslocamento</t>
  </si>
  <si>
    <t>*valor de referência não pode ser alterado</t>
  </si>
  <si>
    <r>
      <t>hora técnica (valor de referência</t>
    </r>
    <r>
      <rPr>
        <sz val="11"/>
        <color rgb="FFFF0000"/>
        <rFont val="Times New Roman"/>
        <family val="1"/>
      </rPr>
      <t>*</t>
    </r>
    <r>
      <rPr>
        <sz val="11"/>
        <color rgb="FF000000"/>
        <rFont val="Times New Roman"/>
        <family val="1"/>
      </rPr>
      <t>)</t>
    </r>
  </si>
  <si>
    <t>Quadro Resumo - Valor Total Estimado</t>
  </si>
  <si>
    <t>Postos</t>
  </si>
  <si>
    <t>especificação</t>
  </si>
  <si>
    <t>valor mensal unitário</t>
  </si>
  <si>
    <t>valor total (24 meses)</t>
  </si>
  <si>
    <t>Arquiteto ou Engenheiro Civil</t>
  </si>
  <si>
    <t>total</t>
  </si>
  <si>
    <t>Valor total estimado com ARTs/RRTs</t>
  </si>
  <si>
    <t>Deslocamentos, serviço extraordinário e ARTs/RRTs</t>
  </si>
  <si>
    <t>Valor Total Estimado - 24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</si>
</sst>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 &quot;* #,##0.00_-;&quot;-R$ &quot;* #,##0.00_-;_-&quot;R$ &quot;* \-??_-;_-@_-"/>
    <numFmt numFmtId="165" formatCode="_-* #,##0.00_-;\-* #,##0.00_-;_-* \-??_-;_-@_-"/>
    <numFmt numFmtId="166" formatCode="_(* #,##0.00_);_(* \(#,##0.00\);_(* \-??_);_(@_)"/>
    <numFmt numFmtId="167" formatCode="&quot;R$ &quot;#,##0.00"/>
    <numFmt numFmtId="168" formatCode="_(* #,##0.0000_);_(* \(#,##0.0000\);_(* \-??_);_(@_)"/>
    <numFmt numFmtId="169" formatCode="#,##0.00_ ;\-#,##0.00\ "/>
    <numFmt numFmtId="170" formatCode="&quot;R$&quot;\ #,##0.00"/>
    <numFmt numFmtId="171" formatCode="_(* #,##0.00_);_(* \(#,##0.00\);_(* &quot;-&quot;??_);_(@_)"/>
  </numFmts>
  <fonts count="50" x14ac:knownFonts="1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1"/>
    </font>
    <font>
      <sz val="10"/>
      <name val="Arial"/>
      <family val="2"/>
    </font>
    <font>
      <sz val="11"/>
      <color rgb="FF000000"/>
      <name val="Calibri"/>
      <family val="2"/>
      <charset val="1"/>
    </font>
    <font>
      <sz val="8"/>
      <color rgb="FF000000"/>
      <name val="Arial"/>
      <family val="2"/>
      <charset val="1"/>
    </font>
    <font>
      <b/>
      <sz val="8"/>
      <color rgb="FF000000"/>
      <name val="Arial"/>
      <family val="2"/>
      <charset val="1"/>
    </font>
    <font>
      <b/>
      <sz val="12"/>
      <color rgb="FFFFFFFF"/>
      <name val="Times New Roman"/>
      <family val="1"/>
      <charset val="1"/>
    </font>
    <font>
      <b/>
      <sz val="10"/>
      <color rgb="FF000000"/>
      <name val="Times New Roman"/>
      <family val="1"/>
      <charset val="1"/>
    </font>
    <font>
      <b/>
      <i/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b/>
      <sz val="9"/>
      <color rgb="FF000000"/>
      <name val="Times New Roman"/>
      <family val="1"/>
      <charset val="1"/>
    </font>
    <font>
      <sz val="9"/>
      <color rgb="FF000000"/>
      <name val="Times New Roman"/>
      <family val="1"/>
      <charset val="1"/>
    </font>
    <font>
      <sz val="8"/>
      <name val="Arial"/>
      <family val="2"/>
      <charset val="1"/>
    </font>
    <font>
      <b/>
      <sz val="8"/>
      <name val="Arial"/>
      <family val="2"/>
      <charset val="1"/>
    </font>
    <font>
      <b/>
      <i/>
      <sz val="8"/>
      <name val="Arial"/>
      <family val="2"/>
      <charset val="1"/>
    </font>
    <font>
      <i/>
      <sz val="8"/>
      <name val="Arial"/>
      <family val="2"/>
      <charset val="1"/>
    </font>
    <font>
      <b/>
      <u/>
      <sz val="8"/>
      <color rgb="FF1F497D"/>
      <name val="Arial"/>
      <family val="2"/>
      <charset val="1"/>
    </font>
    <font>
      <sz val="8"/>
      <color rgb="FFFF0000"/>
      <name val="Arial"/>
      <family val="2"/>
      <charset val="1"/>
    </font>
    <font>
      <u/>
      <sz val="8"/>
      <name val="Arial"/>
      <family val="2"/>
      <charset val="1"/>
    </font>
    <font>
      <sz val="8"/>
      <color rgb="FF1F497D"/>
      <name val="Arial"/>
      <family val="2"/>
      <charset val="1"/>
    </font>
    <font>
      <sz val="10"/>
      <color rgb="FF000000"/>
      <name val="Times New Roman"/>
      <family val="1"/>
    </font>
    <font>
      <sz val="8"/>
      <name val="Arial"/>
      <family val="2"/>
    </font>
    <font>
      <b/>
      <sz val="8"/>
      <name val="Arial"/>
      <family val="2"/>
    </font>
    <font>
      <b/>
      <sz val="8"/>
      <color rgb="FFFF0000"/>
      <name val="Arial"/>
      <family val="2"/>
    </font>
    <font>
      <b/>
      <sz val="8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10"/>
      <name val="Times New Roman"/>
      <family val="1"/>
    </font>
    <font>
      <sz val="10"/>
      <color rgb="FFFF0000"/>
      <name val="Times New Roman"/>
      <family val="1"/>
      <charset val="1"/>
    </font>
    <font>
      <b/>
      <sz val="10"/>
      <color rgb="FFFF0000"/>
      <name val="Times New Roman"/>
      <family val="1"/>
    </font>
    <font>
      <u/>
      <sz val="11"/>
      <color theme="10"/>
      <name val="Calibri"/>
      <family val="2"/>
    </font>
    <font>
      <b/>
      <sz val="8"/>
      <color rgb="FFFF0000"/>
      <name val="Arial"/>
      <family val="2"/>
      <charset val="1"/>
    </font>
    <font>
      <sz val="10"/>
      <color theme="1"/>
      <name val="Times New Roman"/>
      <family val="1"/>
    </font>
    <font>
      <sz val="8"/>
      <color rgb="FF000000"/>
      <name val="Arial"/>
      <family val="2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sz val="11"/>
      <color rgb="FFFF0000"/>
      <name val="Times New Roman"/>
      <family val="1"/>
    </font>
    <font>
      <b/>
      <sz val="11"/>
      <color rgb="FFFF0000"/>
      <name val="Times New Roman"/>
      <family val="1"/>
    </font>
    <font>
      <sz val="10"/>
      <color rgb="FFFF0000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b/>
      <sz val="12"/>
      <color rgb="FFFF0000"/>
      <name val="Arial"/>
      <family val="2"/>
    </font>
    <font>
      <sz val="8"/>
      <color rgb="FFFF0000"/>
      <name val="Arial"/>
      <family val="2"/>
    </font>
    <font>
      <u/>
      <sz val="8"/>
      <color rgb="FFFF0000"/>
      <name val="Arial"/>
      <family val="2"/>
    </font>
    <font>
      <b/>
      <u/>
      <sz val="12"/>
      <name val="Times New Roman"/>
      <family val="1"/>
    </font>
    <font>
      <b/>
      <sz val="11"/>
      <name val="Times New Roman"/>
      <family val="1"/>
    </font>
    <font>
      <b/>
      <sz val="10"/>
      <color rgb="FF000000"/>
      <name val="Times New Roman"/>
      <family val="1"/>
    </font>
    <font>
      <b/>
      <sz val="12"/>
      <color rgb="FF000000"/>
      <name val="Times New Roman"/>
      <family val="1"/>
    </font>
  </fonts>
  <fills count="16">
    <fill>
      <patternFill patternType="none"/>
    </fill>
    <fill>
      <patternFill patternType="gray125"/>
    </fill>
    <fill>
      <patternFill patternType="solid">
        <fgColor rgb="FF595959"/>
        <bgColor rgb="FF1F497D"/>
      </patternFill>
    </fill>
    <fill>
      <patternFill patternType="solid">
        <fgColor rgb="FF7F7F7F"/>
        <bgColor rgb="FF999999"/>
      </patternFill>
    </fill>
    <fill>
      <patternFill patternType="solid">
        <fgColor rgb="FFBFBFBF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rgb="FFD9D9D9"/>
        <bgColor rgb="FFC0C0C0"/>
      </patternFill>
    </fill>
    <fill>
      <patternFill patternType="solid">
        <fgColor rgb="FFC0C0C0"/>
        <bgColor rgb="FFBFBFBF"/>
      </patternFill>
    </fill>
    <fill>
      <patternFill patternType="solid">
        <fgColor rgb="FFFFFF99"/>
        <bgColor rgb="FFFFFFCC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rgb="FFC0C0C0"/>
      </patternFill>
    </fill>
    <fill>
      <patternFill patternType="solid">
        <fgColor theme="0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5">
    <xf numFmtId="0" fontId="0" fillId="0" borderId="0"/>
    <xf numFmtId="165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0" fontId="4" fillId="0" borderId="0"/>
    <xf numFmtId="0" fontId="5" fillId="0" borderId="0"/>
    <xf numFmtId="0" fontId="6" fillId="0" borderId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165" fontId="23" fillId="0" borderId="0" applyBorder="0" applyProtection="0"/>
    <xf numFmtId="166" fontId="23" fillId="0" borderId="0" applyBorder="0" applyProtection="0"/>
    <xf numFmtId="165" fontId="23" fillId="0" borderId="0" applyBorder="0" applyProtection="0"/>
    <xf numFmtId="165" fontId="23" fillId="0" borderId="0" applyBorder="0" applyProtection="0"/>
    <xf numFmtId="165" fontId="23" fillId="0" borderId="0" applyBorder="0" applyProtection="0"/>
    <xf numFmtId="165" fontId="23" fillId="0" borderId="0" applyBorder="0" applyProtection="0"/>
    <xf numFmtId="165" fontId="23" fillId="0" borderId="0" applyBorder="0" applyProtection="0"/>
    <xf numFmtId="165" fontId="23" fillId="0" borderId="0" applyBorder="0" applyProtection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" fillId="0" borderId="0"/>
    <xf numFmtId="0" fontId="5" fillId="0" borderId="0"/>
    <xf numFmtId="0" fontId="3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2" fillId="13" borderId="7" applyNumberFormat="0" applyFont="0" applyAlignment="0" applyProtection="0"/>
    <xf numFmtId="171" fontId="5" fillId="0" borderId="0" applyFont="0" applyFill="0" applyBorder="0" applyAlignment="0" applyProtection="0"/>
    <xf numFmtId="44" fontId="23" fillId="0" borderId="0" applyFont="0" applyFill="0" applyBorder="0" applyAlignment="0" applyProtection="0"/>
    <xf numFmtId="0" fontId="2" fillId="0" borderId="0"/>
    <xf numFmtId="0" fontId="23" fillId="0" borderId="0"/>
    <xf numFmtId="9" fontId="5" fillId="0" borderId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250">
    <xf numFmtId="0" fontId="0" fillId="0" borderId="0" xfId="0"/>
    <xf numFmtId="0" fontId="4" fillId="0" borderId="0" xfId="6" applyFont="1"/>
    <xf numFmtId="0" fontId="10" fillId="0" borderId="0" xfId="6" applyFont="1" applyBorder="1" applyAlignment="1">
      <alignment horizontal="center" vertical="center"/>
    </xf>
    <xf numFmtId="0" fontId="4" fillId="0" borderId="1" xfId="6" applyFont="1" applyBorder="1"/>
    <xf numFmtId="0" fontId="10" fillId="0" borderId="1" xfId="6" applyFont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 wrapText="1"/>
    </xf>
    <xf numFmtId="0" fontId="4" fillId="0" borderId="1" xfId="6" applyFont="1" applyBorder="1" applyAlignment="1">
      <alignment vertical="center" wrapText="1"/>
    </xf>
    <xf numFmtId="165" fontId="4" fillId="0" borderId="1" xfId="13" applyFont="1" applyBorder="1" applyAlignment="1" applyProtection="1">
      <alignment horizontal="center" vertical="center" wrapText="1"/>
    </xf>
    <xf numFmtId="165" fontId="10" fillId="0" borderId="1" xfId="13" applyFont="1" applyBorder="1" applyAlignment="1" applyProtection="1">
      <alignment horizontal="center" vertical="center" wrapText="1"/>
    </xf>
    <xf numFmtId="0" fontId="10" fillId="0" borderId="0" xfId="6" applyFont="1" applyAlignment="1">
      <alignment vertical="center"/>
    </xf>
    <xf numFmtId="10" fontId="4" fillId="0" borderId="1" xfId="9" applyNumberFormat="1" applyFont="1" applyBorder="1" applyAlignment="1" applyProtection="1">
      <alignment horizontal="center" vertical="center" wrapText="1"/>
    </xf>
    <xf numFmtId="165" fontId="10" fillId="0" borderId="1" xfId="6" applyNumberFormat="1" applyFont="1" applyBorder="1" applyAlignment="1">
      <alignment horizontal="center" vertical="center" wrapText="1"/>
    </xf>
    <xf numFmtId="10" fontId="4" fillId="0" borderId="1" xfId="6" applyNumberFormat="1" applyFont="1" applyBorder="1" applyAlignment="1">
      <alignment horizontal="center" vertical="center" wrapText="1"/>
    </xf>
    <xf numFmtId="10" fontId="10" fillId="0" borderId="1" xfId="6" applyNumberFormat="1" applyFont="1" applyBorder="1" applyAlignment="1">
      <alignment horizontal="center" vertical="center" wrapText="1"/>
    </xf>
    <xf numFmtId="165" fontId="4" fillId="0" borderId="1" xfId="6" applyNumberFormat="1" applyFont="1" applyBorder="1" applyAlignment="1">
      <alignment horizontal="center" vertical="center" wrapText="1"/>
    </xf>
    <xf numFmtId="0" fontId="4" fillId="0" borderId="0" xfId="6" applyFont="1" applyAlignment="1">
      <alignment vertical="center"/>
    </xf>
    <xf numFmtId="165" fontId="4" fillId="0" borderId="1" xfId="1" applyFont="1" applyBorder="1" applyAlignment="1" applyProtection="1">
      <alignment horizontal="center" vertical="center" wrapText="1"/>
    </xf>
    <xf numFmtId="10" fontId="4" fillId="0" borderId="0" xfId="9" applyNumberFormat="1" applyFont="1" applyBorder="1" applyAlignment="1" applyProtection="1"/>
    <xf numFmtId="165" fontId="4" fillId="0" borderId="0" xfId="6" applyNumberFormat="1" applyFont="1"/>
    <xf numFmtId="0" fontId="10" fillId="0" borderId="1" xfId="6" applyFont="1" applyBorder="1" applyAlignment="1">
      <alignment vertical="center" wrapText="1"/>
    </xf>
    <xf numFmtId="10" fontId="11" fillId="0" borderId="3" xfId="9" applyNumberFormat="1" applyFont="1" applyBorder="1" applyAlignment="1" applyProtection="1">
      <alignment horizontal="center" vertical="center" wrapText="1"/>
    </xf>
    <xf numFmtId="165" fontId="4" fillId="0" borderId="1" xfId="6" applyNumberFormat="1" applyFont="1" applyBorder="1" applyAlignment="1">
      <alignment vertical="center" wrapText="1"/>
    </xf>
    <xf numFmtId="165" fontId="10" fillId="0" borderId="1" xfId="6" applyNumberFormat="1" applyFont="1" applyBorder="1" applyAlignment="1">
      <alignment vertical="center" wrapText="1"/>
    </xf>
    <xf numFmtId="165" fontId="4" fillId="0" borderId="1" xfId="13" applyFont="1" applyBorder="1" applyAlignment="1" applyProtection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justify" vertical="center" wrapText="1"/>
    </xf>
    <xf numFmtId="4" fontId="14" fillId="5" borderId="1" xfId="0" applyNumberFormat="1" applyFont="1" applyFill="1" applyBorder="1" applyAlignment="1">
      <alignment horizontal="right" vertical="center" wrapText="1"/>
    </xf>
    <xf numFmtId="0" fontId="14" fillId="5" borderId="1" xfId="0" applyFont="1" applyFill="1" applyBorder="1" applyAlignment="1">
      <alignment horizontal="center" vertical="center" wrapText="1"/>
    </xf>
    <xf numFmtId="164" fontId="0" fillId="0" borderId="4" xfId="2" applyFont="1" applyBorder="1" applyAlignment="1" applyProtection="1">
      <alignment horizontal="right" vertical="top"/>
    </xf>
    <xf numFmtId="0" fontId="15" fillId="0" borderId="0" xfId="5" applyFont="1"/>
    <xf numFmtId="2" fontId="15" fillId="0" borderId="0" xfId="5" applyNumberFormat="1" applyFont="1"/>
    <xf numFmtId="3" fontId="15" fillId="0" borderId="0" xfId="5" applyNumberFormat="1" applyFont="1" applyAlignment="1">
      <alignment horizontal="center"/>
    </xf>
    <xf numFmtId="4" fontId="16" fillId="0" borderId="0" xfId="5" applyNumberFormat="1" applyFont="1"/>
    <xf numFmtId="2" fontId="15" fillId="0" borderId="0" xfId="5" applyNumberFormat="1" applyFont="1" applyAlignment="1">
      <alignment horizontal="center"/>
    </xf>
    <xf numFmtId="0" fontId="15" fillId="0" borderId="0" xfId="5" applyFont="1" applyAlignment="1">
      <alignment horizontal="center" vertical="center"/>
    </xf>
    <xf numFmtId="0" fontId="15" fillId="0" borderId="0" xfId="5" applyFont="1" applyAlignment="1">
      <alignment horizontal="center"/>
    </xf>
    <xf numFmtId="0" fontId="16" fillId="0" borderId="5" xfId="5" applyFont="1" applyBorder="1" applyAlignment="1">
      <alignment horizontal="center" vertical="center"/>
    </xf>
    <xf numFmtId="2" fontId="15" fillId="0" borderId="0" xfId="5" applyNumberFormat="1" applyFont="1" applyAlignment="1">
      <alignment horizontal="center" vertical="center"/>
    </xf>
    <xf numFmtId="0" fontId="15" fillId="0" borderId="0" xfId="5" applyFont="1" applyAlignment="1">
      <alignment vertical="center"/>
    </xf>
    <xf numFmtId="0" fontId="15" fillId="0" borderId="0" xfId="5" applyFont="1" applyAlignment="1">
      <alignment horizontal="left" vertical="center"/>
    </xf>
    <xf numFmtId="0" fontId="7" fillId="0" borderId="0" xfId="5" applyFont="1" applyAlignment="1">
      <alignment horizontal="center" vertical="center"/>
    </xf>
    <xf numFmtId="0" fontId="8" fillId="0" borderId="0" xfId="5" applyFont="1" applyAlignment="1">
      <alignment horizontal="center" vertical="center"/>
    </xf>
    <xf numFmtId="166" fontId="8" fillId="0" borderId="0" xfId="5" applyNumberFormat="1" applyFont="1" applyAlignment="1">
      <alignment horizontal="center" vertical="center"/>
    </xf>
    <xf numFmtId="168" fontId="8" fillId="0" borderId="0" xfId="5" applyNumberFormat="1" applyFont="1" applyAlignment="1">
      <alignment horizontal="center" vertical="center"/>
    </xf>
    <xf numFmtId="0" fontId="7" fillId="0" borderId="0" xfId="5" applyFont="1"/>
    <xf numFmtId="2" fontId="7" fillId="0" borderId="0" xfId="5" applyNumberFormat="1" applyFont="1"/>
    <xf numFmtId="3" fontId="7" fillId="0" borderId="0" xfId="5" applyNumberFormat="1" applyFont="1" applyAlignment="1">
      <alignment horizontal="center"/>
    </xf>
    <xf numFmtId="4" fontId="8" fillId="0" borderId="0" xfId="5" applyNumberFormat="1" applyFont="1"/>
    <xf numFmtId="2" fontId="7" fillId="0" borderId="0" xfId="5" applyNumberFormat="1" applyFont="1" applyAlignment="1">
      <alignment horizontal="center"/>
    </xf>
    <xf numFmtId="0" fontId="7" fillId="0" borderId="0" xfId="5" applyFont="1" applyAlignment="1">
      <alignment horizontal="center"/>
    </xf>
    <xf numFmtId="3" fontId="15" fillId="0" borderId="1" xfId="5" applyNumberFormat="1" applyFont="1" applyBorder="1" applyAlignment="1">
      <alignment horizontal="center" vertical="center"/>
    </xf>
    <xf numFmtId="3" fontId="22" fillId="0" borderId="1" xfId="11" applyNumberFormat="1" applyFont="1" applyBorder="1" applyAlignment="1" applyProtection="1">
      <alignment horizontal="center" vertical="center"/>
    </xf>
    <xf numFmtId="3" fontId="22" fillId="0" borderId="1" xfId="5" applyNumberFormat="1" applyFont="1" applyBorder="1" applyAlignment="1">
      <alignment horizontal="center" vertical="center"/>
    </xf>
    <xf numFmtId="0" fontId="16" fillId="0" borderId="5" xfId="5" applyFont="1" applyBorder="1" applyAlignment="1">
      <alignment horizontal="left" vertical="center"/>
    </xf>
    <xf numFmtId="0" fontId="15" fillId="0" borderId="2" xfId="5" applyFont="1" applyBorder="1" applyAlignment="1">
      <alignment horizontal="left" vertical="center"/>
    </xf>
    <xf numFmtId="0" fontId="15" fillId="0" borderId="6" xfId="5" applyFont="1" applyBorder="1" applyAlignment="1">
      <alignment horizontal="left" vertical="center"/>
    </xf>
    <xf numFmtId="0" fontId="15" fillId="0" borderId="3" xfId="5" applyFont="1" applyBorder="1" applyAlignment="1">
      <alignment horizontal="left" vertical="center"/>
    </xf>
    <xf numFmtId="43" fontId="4" fillId="0" borderId="0" xfId="6" applyNumberFormat="1" applyFont="1"/>
    <xf numFmtId="165" fontId="4" fillId="9" borderId="1" xfId="13" applyFont="1" applyFill="1" applyBorder="1" applyAlignment="1" applyProtection="1">
      <alignment horizontal="center" vertical="center" wrapText="1"/>
    </xf>
    <xf numFmtId="43" fontId="0" fillId="0" borderId="0" xfId="0" applyNumberFormat="1"/>
    <xf numFmtId="10" fontId="4" fillId="10" borderId="1" xfId="9" applyNumberFormat="1" applyFont="1" applyFill="1" applyBorder="1" applyAlignment="1" applyProtection="1">
      <alignment horizontal="center" vertical="center" wrapText="1"/>
    </xf>
    <xf numFmtId="0" fontId="14" fillId="11" borderId="1" xfId="0" applyFont="1" applyFill="1" applyBorder="1" applyAlignment="1">
      <alignment horizontal="center" vertical="center" wrapText="1"/>
    </xf>
    <xf numFmtId="0" fontId="24" fillId="0" borderId="0" xfId="5" applyFont="1" applyAlignment="1">
      <alignment horizontal="center"/>
    </xf>
    <xf numFmtId="0" fontId="25" fillId="0" borderId="0" xfId="5" applyFont="1" applyAlignment="1">
      <alignment horizontal="center"/>
    </xf>
    <xf numFmtId="0" fontId="25" fillId="0" borderId="0" xfId="5" applyFont="1" applyAlignment="1">
      <alignment horizontal="center" vertical="center"/>
    </xf>
    <xf numFmtId="169" fontId="26" fillId="0" borderId="0" xfId="5" applyNumberFormat="1" applyFont="1" applyAlignment="1">
      <alignment horizontal="center"/>
    </xf>
    <xf numFmtId="0" fontId="24" fillId="0" borderId="0" xfId="5" applyFont="1"/>
    <xf numFmtId="0" fontId="10" fillId="0" borderId="1" xfId="6" applyFont="1" applyBorder="1" applyAlignment="1">
      <alignment horizontal="center" vertical="center" wrapText="1"/>
    </xf>
    <xf numFmtId="0" fontId="4" fillId="0" borderId="1" xfId="6" applyFont="1" applyBorder="1" applyAlignment="1">
      <alignment vertical="center" wrapText="1"/>
    </xf>
    <xf numFmtId="0" fontId="10" fillId="0" borderId="1" xfId="6" applyFont="1" applyBorder="1" applyAlignment="1">
      <alignment vertical="center" wrapText="1"/>
    </xf>
    <xf numFmtId="4" fontId="0" fillId="0" borderId="1" xfId="0" applyNumberForma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/>
    </xf>
    <xf numFmtId="0" fontId="29" fillId="0" borderId="0" xfId="5" applyFont="1"/>
    <xf numFmtId="0" fontId="23" fillId="0" borderId="0" xfId="0" applyFont="1"/>
    <xf numFmtId="165" fontId="30" fillId="12" borderId="1" xfId="13" applyFont="1" applyFill="1" applyBorder="1" applyAlignment="1" applyProtection="1">
      <alignment horizontal="center" vertical="center" wrapText="1"/>
    </xf>
    <xf numFmtId="165" fontId="31" fillId="12" borderId="1" xfId="13" applyFont="1" applyFill="1" applyBorder="1" applyAlignment="1" applyProtection="1">
      <alignment horizontal="center" vertical="center" wrapText="1"/>
    </xf>
    <xf numFmtId="0" fontId="4" fillId="0" borderId="1" xfId="6" applyFont="1" applyBorder="1" applyAlignment="1">
      <alignment vertical="center" wrapText="1"/>
    </xf>
    <xf numFmtId="0" fontId="16" fillId="0" borderId="5" xfId="5" applyFont="1" applyBorder="1" applyAlignment="1">
      <alignment horizontal="center" vertical="center"/>
    </xf>
    <xf numFmtId="0" fontId="0" fillId="0" borderId="0" xfId="0"/>
    <xf numFmtId="0" fontId="15" fillId="0" borderId="6" xfId="5" applyFont="1" applyBorder="1" applyAlignment="1">
      <alignment horizontal="left" vertical="center"/>
    </xf>
    <xf numFmtId="0" fontId="15" fillId="0" borderId="2" xfId="5" applyFont="1" applyBorder="1" applyAlignment="1">
      <alignment horizontal="left" vertical="center"/>
    </xf>
    <xf numFmtId="0" fontId="15" fillId="0" borderId="0" xfId="5" applyFont="1"/>
    <xf numFmtId="2" fontId="15" fillId="0" borderId="0" xfId="5" applyNumberFormat="1" applyFont="1" applyAlignment="1">
      <alignment horizontal="center"/>
    </xf>
    <xf numFmtId="0" fontId="15" fillId="0" borderId="0" xfId="5" applyFont="1" applyAlignment="1">
      <alignment horizontal="center"/>
    </xf>
    <xf numFmtId="2" fontId="15" fillId="0" borderId="0" xfId="5" applyNumberFormat="1" applyFont="1" applyAlignment="1">
      <alignment horizontal="center" vertical="center"/>
    </xf>
    <xf numFmtId="0" fontId="15" fillId="0" borderId="0" xfId="5" applyFont="1"/>
    <xf numFmtId="0" fontId="15" fillId="0" borderId="0" xfId="5" applyFont="1" applyAlignment="1">
      <alignment horizontal="center"/>
    </xf>
    <xf numFmtId="0" fontId="15" fillId="0" borderId="0" xfId="5" applyFont="1" applyAlignment="1">
      <alignment vertical="center"/>
    </xf>
    <xf numFmtId="0" fontId="7" fillId="0" borderId="0" xfId="5" applyFont="1"/>
    <xf numFmtId="0" fontId="15" fillId="0" borderId="0" xfId="5" applyFont="1"/>
    <xf numFmtId="0" fontId="15" fillId="0" borderId="0" xfId="5" applyFont="1"/>
    <xf numFmtId="0" fontId="15" fillId="0" borderId="0" xfId="5" applyFont="1" applyAlignment="1">
      <alignment horizontal="center" vertical="center"/>
    </xf>
    <xf numFmtId="0" fontId="15" fillId="0" borderId="0" xfId="5" applyFont="1" applyAlignment="1">
      <alignment horizontal="center"/>
    </xf>
    <xf numFmtId="2" fontId="15" fillId="0" borderId="0" xfId="5" applyNumberFormat="1" applyFont="1" applyAlignment="1">
      <alignment horizontal="center" vertical="center"/>
    </xf>
    <xf numFmtId="0" fontId="15" fillId="0" borderId="0" xfId="5" applyFont="1" applyAlignment="1">
      <alignment vertical="center"/>
    </xf>
    <xf numFmtId="4" fontId="16" fillId="0" borderId="1" xfId="5" applyNumberFormat="1" applyFont="1" applyBorder="1" applyAlignment="1">
      <alignment horizontal="right"/>
    </xf>
    <xf numFmtId="0" fontId="20" fillId="5" borderId="0" xfId="5" applyFont="1" applyFill="1" applyAlignment="1">
      <alignment horizontal="center" vertical="center"/>
    </xf>
    <xf numFmtId="0" fontId="15" fillId="0" borderId="0" xfId="5" applyFont="1" applyAlignment="1">
      <alignment horizontal="left" vertical="center"/>
    </xf>
    <xf numFmtId="0" fontId="7" fillId="0" borderId="0" xfId="5" applyFont="1" applyAlignment="1">
      <alignment horizontal="center" vertical="center"/>
    </xf>
    <xf numFmtId="0" fontId="8" fillId="0" borderId="0" xfId="5" applyFont="1" applyAlignment="1">
      <alignment horizontal="center" vertical="center"/>
    </xf>
    <xf numFmtId="3" fontId="15" fillId="0" borderId="1" xfId="11" applyNumberFormat="1" applyFont="1" applyBorder="1" applyAlignment="1" applyProtection="1">
      <alignment horizontal="center" vertical="center"/>
    </xf>
    <xf numFmtId="2" fontId="7" fillId="0" borderId="1" xfId="11" applyNumberFormat="1" applyFont="1" applyBorder="1" applyAlignment="1" applyProtection="1">
      <alignment horizontal="center" vertical="center"/>
    </xf>
    <xf numFmtId="2" fontId="7" fillId="0" borderId="1" xfId="5" applyNumberFormat="1" applyFont="1" applyBorder="1" applyAlignment="1">
      <alignment horizontal="center" vertical="center"/>
    </xf>
    <xf numFmtId="3" fontId="7" fillId="0" borderId="1" xfId="5" applyNumberFormat="1" applyFont="1" applyBorder="1" applyAlignment="1">
      <alignment horizontal="center" vertical="center"/>
    </xf>
    <xf numFmtId="4" fontId="7" fillId="0" borderId="1" xfId="5" applyNumberFormat="1" applyFont="1" applyBorder="1" applyAlignment="1">
      <alignment horizontal="center" vertical="center"/>
    </xf>
    <xf numFmtId="2" fontId="15" fillId="0" borderId="1" xfId="5" applyNumberFormat="1" applyFont="1" applyBorder="1" applyAlignment="1">
      <alignment horizontal="center" vertical="center"/>
    </xf>
    <xf numFmtId="1" fontId="15" fillId="0" borderId="1" xfId="5" applyNumberFormat="1" applyFont="1" applyBorder="1" applyAlignment="1">
      <alignment horizontal="center" vertical="center"/>
    </xf>
    <xf numFmtId="166" fontId="8" fillId="0" borderId="0" xfId="5" applyNumberFormat="1" applyFont="1" applyAlignment="1">
      <alignment horizontal="center" vertical="center"/>
    </xf>
    <xf numFmtId="168" fontId="8" fillId="0" borderId="0" xfId="5" applyNumberFormat="1" applyFont="1" applyAlignment="1">
      <alignment horizontal="center" vertical="center"/>
    </xf>
    <xf numFmtId="0" fontId="7" fillId="0" borderId="0" xfId="5" applyFont="1"/>
    <xf numFmtId="2" fontId="7" fillId="0" borderId="0" xfId="5" applyNumberFormat="1" applyFont="1"/>
    <xf numFmtId="3" fontId="7" fillId="0" borderId="0" xfId="5" applyNumberFormat="1" applyFont="1" applyAlignment="1">
      <alignment horizontal="center"/>
    </xf>
    <xf numFmtId="4" fontId="8" fillId="0" borderId="0" xfId="5" applyNumberFormat="1" applyFont="1"/>
    <xf numFmtId="2" fontId="7" fillId="0" borderId="0" xfId="5" applyNumberFormat="1" applyFont="1" applyAlignment="1">
      <alignment horizontal="center"/>
    </xf>
    <xf numFmtId="0" fontId="7" fillId="0" borderId="0" xfId="5" applyFont="1" applyAlignment="1">
      <alignment horizontal="center"/>
    </xf>
    <xf numFmtId="0" fontId="15" fillId="0" borderId="3" xfId="5" applyFont="1" applyBorder="1" applyAlignment="1">
      <alignment horizontal="left" vertical="center"/>
    </xf>
    <xf numFmtId="0" fontId="0" fillId="0" borderId="0" xfId="0"/>
    <xf numFmtId="0" fontId="15" fillId="0" borderId="0" xfId="5" applyFont="1"/>
    <xf numFmtId="2" fontId="15" fillId="0" borderId="0" xfId="5" applyNumberFormat="1" applyFont="1" applyAlignment="1">
      <alignment horizontal="center"/>
    </xf>
    <xf numFmtId="0" fontId="15" fillId="0" borderId="0" xfId="5" applyFont="1" applyAlignment="1">
      <alignment horizontal="center"/>
    </xf>
    <xf numFmtId="2" fontId="15" fillId="0" borderId="0" xfId="5" applyNumberFormat="1" applyFont="1" applyAlignment="1">
      <alignment horizontal="center" vertical="center"/>
    </xf>
    <xf numFmtId="0" fontId="15" fillId="0" borderId="0" xfId="5" applyFont="1" applyAlignment="1">
      <alignment vertical="center"/>
    </xf>
    <xf numFmtId="4" fontId="16" fillId="0" borderId="1" xfId="5" applyNumberFormat="1" applyFont="1" applyBorder="1"/>
    <xf numFmtId="4" fontId="15" fillId="0" borderId="1" xfId="11" applyNumberFormat="1" applyFont="1" applyBorder="1" applyAlignment="1" applyProtection="1">
      <alignment horizontal="center" vertical="center"/>
    </xf>
    <xf numFmtId="167" fontId="7" fillId="8" borderId="1" xfId="5" applyNumberFormat="1" applyFont="1" applyFill="1" applyBorder="1" applyAlignment="1">
      <alignment horizontal="center" vertical="center"/>
    </xf>
    <xf numFmtId="167" fontId="15" fillId="8" borderId="1" xfId="11" applyNumberFormat="1" applyFont="1" applyFill="1" applyBorder="1" applyAlignment="1" applyProtection="1">
      <alignment horizontal="center" vertical="center"/>
    </xf>
    <xf numFmtId="167" fontId="7" fillId="8" borderId="1" xfId="11" applyNumberFormat="1" applyFont="1" applyFill="1" applyBorder="1" applyAlignment="1" applyProtection="1">
      <alignment horizontal="center" vertical="center"/>
    </xf>
    <xf numFmtId="0" fontId="7" fillId="0" borderId="0" xfId="5" applyFont="1"/>
    <xf numFmtId="0" fontId="16" fillId="0" borderId="5" xfId="5" applyFont="1" applyBorder="1" applyAlignment="1">
      <alignment horizontal="center" vertical="center"/>
    </xf>
    <xf numFmtId="165" fontId="15" fillId="0" borderId="0" xfId="5" applyNumberFormat="1" applyFont="1"/>
    <xf numFmtId="0" fontId="26" fillId="14" borderId="1" xfId="5" applyFont="1" applyFill="1" applyBorder="1" applyAlignment="1">
      <alignment horizontal="center" vertical="center" wrapText="1"/>
    </xf>
    <xf numFmtId="0" fontId="7" fillId="7" borderId="1" xfId="5" applyFont="1" applyFill="1" applyBorder="1" applyAlignment="1">
      <alignment horizontal="center" vertical="center" wrapText="1"/>
    </xf>
    <xf numFmtId="0" fontId="15" fillId="7" borderId="1" xfId="5" applyFont="1" applyFill="1" applyBorder="1" applyAlignment="1">
      <alignment horizontal="center" vertical="center" wrapText="1"/>
    </xf>
    <xf numFmtId="2" fontId="15" fillId="7" borderId="1" xfId="5" applyNumberFormat="1" applyFont="1" applyFill="1" applyBorder="1" applyAlignment="1">
      <alignment horizontal="center" vertical="center" wrapText="1"/>
    </xf>
    <xf numFmtId="3" fontId="15" fillId="7" borderId="1" xfId="5" applyNumberFormat="1" applyFont="1" applyFill="1" applyBorder="1" applyAlignment="1">
      <alignment horizontal="center" vertical="center" wrapText="1"/>
    </xf>
    <xf numFmtId="4" fontId="7" fillId="7" borderId="1" xfId="5" applyNumberFormat="1" applyFont="1" applyFill="1" applyBorder="1" applyAlignment="1">
      <alignment horizontal="center" vertical="center" wrapText="1"/>
    </xf>
    <xf numFmtId="2" fontId="7" fillId="7" borderId="1" xfId="5" applyNumberFormat="1" applyFont="1" applyFill="1" applyBorder="1" applyAlignment="1">
      <alignment horizontal="center" vertical="center" wrapText="1"/>
    </xf>
    <xf numFmtId="0" fontId="18" fillId="7" borderId="1" xfId="5" applyFont="1" applyFill="1" applyBorder="1" applyAlignment="1">
      <alignment horizontal="center" vertical="center" wrapText="1"/>
    </xf>
    <xf numFmtId="0" fontId="8" fillId="7" borderId="1" xfId="5" applyFont="1" applyFill="1" applyBorder="1" applyAlignment="1">
      <alignment horizontal="center" vertical="center" wrapText="1"/>
    </xf>
    <xf numFmtId="2" fontId="8" fillId="7" borderId="1" xfId="5" applyNumberFormat="1" applyFont="1" applyFill="1" applyBorder="1" applyAlignment="1">
      <alignment horizontal="center" vertical="center" wrapText="1"/>
    </xf>
    <xf numFmtId="3" fontId="8" fillId="7" borderId="1" xfId="5" applyNumberFormat="1" applyFont="1" applyFill="1" applyBorder="1" applyAlignment="1">
      <alignment horizontal="center" vertical="center" wrapText="1"/>
    </xf>
    <xf numFmtId="4" fontId="8" fillId="7" borderId="1" xfId="5" applyNumberFormat="1" applyFont="1" applyFill="1" applyBorder="1" applyAlignment="1">
      <alignment horizontal="center" vertical="center" wrapText="1"/>
    </xf>
    <xf numFmtId="10" fontId="17" fillId="7" borderId="1" xfId="5" applyNumberFormat="1" applyFont="1" applyFill="1" applyBorder="1" applyAlignment="1">
      <alignment horizontal="center" vertical="center"/>
    </xf>
    <xf numFmtId="0" fontId="7" fillId="0" borderId="1" xfId="5" applyFont="1" applyBorder="1" applyAlignment="1">
      <alignment horizontal="center" vertical="center"/>
    </xf>
    <xf numFmtId="167" fontId="8" fillId="8" borderId="1" xfId="5" applyNumberFormat="1" applyFont="1" applyFill="1" applyBorder="1" applyAlignment="1">
      <alignment horizontal="center" vertical="center"/>
    </xf>
    <xf numFmtId="3" fontId="7" fillId="7" borderId="1" xfId="5" applyNumberFormat="1" applyFont="1" applyFill="1" applyBorder="1" applyAlignment="1">
      <alignment horizontal="center" vertical="center" wrapText="1"/>
    </xf>
    <xf numFmtId="0" fontId="22" fillId="7" borderId="1" xfId="5" applyFont="1" applyFill="1" applyBorder="1" applyAlignment="1">
      <alignment horizontal="center" vertical="center" wrapText="1"/>
    </xf>
    <xf numFmtId="3" fontId="22" fillId="7" borderId="1" xfId="5" applyNumberFormat="1" applyFont="1" applyFill="1" applyBorder="1" applyAlignment="1">
      <alignment horizontal="center" vertical="center" wrapText="1"/>
    </xf>
    <xf numFmtId="0" fontId="27" fillId="7" borderId="1" xfId="5" applyFont="1" applyFill="1" applyBorder="1" applyAlignment="1">
      <alignment horizontal="center" vertical="center" wrapText="1"/>
    </xf>
    <xf numFmtId="165" fontId="26" fillId="14" borderId="1" xfId="5" applyNumberFormat="1" applyFont="1" applyFill="1" applyBorder="1" applyAlignment="1">
      <alignment horizontal="center" vertical="center"/>
    </xf>
    <xf numFmtId="165" fontId="26" fillId="0" borderId="0" xfId="5" applyNumberFormat="1" applyFont="1" applyAlignment="1">
      <alignment horizontal="center"/>
    </xf>
    <xf numFmtId="0" fontId="16" fillId="0" borderId="0" xfId="5" applyFont="1" applyAlignment="1">
      <alignment horizontal="center" vertical="center"/>
    </xf>
    <xf numFmtId="0" fontId="33" fillId="14" borderId="1" xfId="5" applyFont="1" applyFill="1" applyBorder="1" applyAlignment="1">
      <alignment horizontal="center" vertical="center" wrapText="1"/>
    </xf>
    <xf numFmtId="165" fontId="33" fillId="14" borderId="1" xfId="5" applyNumberFormat="1" applyFont="1" applyFill="1" applyBorder="1" applyAlignment="1">
      <alignment horizontal="center" vertical="center"/>
    </xf>
    <xf numFmtId="165" fontId="33" fillId="0" borderId="0" xfId="5" applyNumberFormat="1" applyFont="1" applyAlignment="1">
      <alignment horizontal="center"/>
    </xf>
    <xf numFmtId="0" fontId="26" fillId="14" borderId="1" xfId="5" applyFont="1" applyFill="1" applyBorder="1" applyAlignment="1">
      <alignment horizontal="center"/>
    </xf>
    <xf numFmtId="165" fontId="26" fillId="14" borderId="1" xfId="5" applyNumberFormat="1" applyFont="1" applyFill="1" applyBorder="1" applyAlignment="1">
      <alignment horizontal="center"/>
    </xf>
    <xf numFmtId="0" fontId="34" fillId="0" borderId="1" xfId="0" applyFont="1" applyBorder="1" applyAlignment="1">
      <alignment vertical="center" wrapText="1"/>
    </xf>
    <xf numFmtId="0" fontId="34" fillId="0" borderId="1" xfId="0" applyFont="1" applyBorder="1" applyAlignment="1">
      <alignment horizontal="justify" vertical="center" wrapText="1"/>
    </xf>
    <xf numFmtId="0" fontId="35" fillId="7" borderId="1" xfId="5" applyFont="1" applyFill="1" applyBorder="1" applyAlignment="1">
      <alignment horizontal="center" vertical="center" wrapText="1"/>
    </xf>
    <xf numFmtId="0" fontId="16" fillId="0" borderId="0" xfId="5" applyFont="1" applyBorder="1" applyAlignment="1"/>
    <xf numFmtId="0" fontId="19" fillId="0" borderId="0" xfId="5" applyFont="1" applyBorder="1" applyAlignment="1"/>
    <xf numFmtId="0" fontId="36" fillId="0" borderId="0" xfId="0" applyFont="1"/>
    <xf numFmtId="0" fontId="36" fillId="0" borderId="2" xfId="0" applyFont="1" applyBorder="1"/>
    <xf numFmtId="0" fontId="36" fillId="0" borderId="6" xfId="0" applyFont="1" applyBorder="1"/>
    <xf numFmtId="10" fontId="36" fillId="0" borderId="6" xfId="0" applyNumberFormat="1" applyFont="1" applyBorder="1"/>
    <xf numFmtId="165" fontId="36" fillId="0" borderId="1" xfId="1" applyFont="1" applyBorder="1"/>
    <xf numFmtId="0" fontId="37" fillId="0" borderId="2" xfId="0" applyFont="1" applyBorder="1"/>
    <xf numFmtId="0" fontId="37" fillId="0" borderId="6" xfId="0" applyFont="1" applyBorder="1"/>
    <xf numFmtId="165" fontId="37" fillId="0" borderId="1" xfId="1" applyFont="1" applyBorder="1"/>
    <xf numFmtId="0" fontId="37" fillId="0" borderId="0" xfId="0" applyFont="1"/>
    <xf numFmtId="0" fontId="37" fillId="0" borderId="0" xfId="0" applyFont="1" applyAlignment="1"/>
    <xf numFmtId="0" fontId="12" fillId="0" borderId="1" xfId="6" applyFont="1" applyFill="1" applyBorder="1" applyAlignment="1">
      <alignment vertical="center" wrapText="1"/>
    </xf>
    <xf numFmtId="165" fontId="12" fillId="0" borderId="1" xfId="13" applyFont="1" applyFill="1" applyBorder="1" applyAlignment="1" applyProtection="1">
      <alignment horizontal="center" vertical="center" wrapText="1"/>
    </xf>
    <xf numFmtId="0" fontId="40" fillId="0" borderId="0" xfId="0" applyFont="1"/>
    <xf numFmtId="0" fontId="41" fillId="0" borderId="0" xfId="5" applyFont="1" applyAlignment="1">
      <alignment horizontal="center"/>
    </xf>
    <xf numFmtId="0" fontId="29" fillId="0" borderId="1" xfId="5" applyFont="1" applyBorder="1" applyAlignment="1">
      <alignment vertical="center"/>
    </xf>
    <xf numFmtId="167" fontId="29" fillId="0" borderId="1" xfId="5" applyNumberFormat="1" applyFont="1" applyBorder="1" applyAlignment="1">
      <alignment vertical="center"/>
    </xf>
    <xf numFmtId="0" fontId="29" fillId="0" borderId="0" xfId="5" applyFont="1" applyAlignment="1">
      <alignment vertical="center"/>
    </xf>
    <xf numFmtId="167" fontId="29" fillId="0" borderId="0" xfId="5" applyNumberFormat="1" applyFont="1" applyAlignment="1">
      <alignment vertical="center"/>
    </xf>
    <xf numFmtId="0" fontId="40" fillId="0" borderId="0" xfId="5" applyFont="1"/>
    <xf numFmtId="4" fontId="16" fillId="15" borderId="1" xfId="5" applyNumberFormat="1" applyFont="1" applyFill="1" applyBorder="1"/>
    <xf numFmtId="4" fontId="16" fillId="15" borderId="1" xfId="5" applyNumberFormat="1" applyFont="1" applyFill="1" applyBorder="1" applyAlignment="1">
      <alignment horizontal="right"/>
    </xf>
    <xf numFmtId="0" fontId="25" fillId="0" borderId="0" xfId="5" applyFont="1" applyBorder="1" applyAlignment="1"/>
    <xf numFmtId="0" fontId="15" fillId="0" borderId="0" xfId="5" applyFont="1" applyAlignment="1">
      <alignment horizontal="left"/>
    </xf>
    <xf numFmtId="0" fontId="44" fillId="0" borderId="0" xfId="5" applyFont="1" applyAlignment="1">
      <alignment horizontal="left" vertical="center"/>
    </xf>
    <xf numFmtId="0" fontId="13" fillId="5" borderId="1" xfId="0" applyFont="1" applyFill="1" applyBorder="1" applyAlignment="1">
      <alignment horizontal="center" vertical="center" wrapText="1"/>
    </xf>
    <xf numFmtId="4" fontId="16" fillId="0" borderId="1" xfId="5" applyNumberFormat="1" applyFont="1" applyFill="1" applyBorder="1"/>
    <xf numFmtId="4" fontId="16" fillId="0" borderId="1" xfId="5" applyNumberFormat="1" applyFont="1" applyFill="1" applyBorder="1" applyAlignment="1">
      <alignment horizontal="right"/>
    </xf>
    <xf numFmtId="4" fontId="25" fillId="0" borderId="1" xfId="5" applyNumberFormat="1" applyFont="1" applyFill="1" applyBorder="1"/>
    <xf numFmtId="4" fontId="25" fillId="0" borderId="1" xfId="5" applyNumberFormat="1" applyFont="1" applyFill="1" applyBorder="1" applyAlignment="1">
      <alignment horizontal="right"/>
    </xf>
    <xf numFmtId="4" fontId="16" fillId="0" borderId="1" xfId="5" applyNumberFormat="1" applyFont="1" applyFill="1" applyBorder="1" applyAlignment="1">
      <alignment vertical="center"/>
    </xf>
    <xf numFmtId="0" fontId="24" fillId="0" borderId="2" xfId="5" applyFont="1" applyFill="1" applyBorder="1" applyAlignment="1">
      <alignment horizontal="left" vertical="center"/>
    </xf>
    <xf numFmtId="0" fontId="24" fillId="0" borderId="6" xfId="5" applyFont="1" applyFill="1" applyBorder="1" applyAlignment="1">
      <alignment horizontal="left" vertical="center"/>
    </xf>
    <xf numFmtId="0" fontId="24" fillId="0" borderId="3" xfId="5" applyFont="1" applyFill="1" applyBorder="1" applyAlignment="1">
      <alignment horizontal="left" vertical="center"/>
    </xf>
    <xf numFmtId="0" fontId="24" fillId="0" borderId="2" xfId="5" applyFont="1" applyBorder="1" applyAlignment="1">
      <alignment horizontal="left" vertical="center"/>
    </xf>
    <xf numFmtId="0" fontId="24" fillId="0" borderId="6" xfId="5" applyFont="1" applyBorder="1" applyAlignment="1">
      <alignment horizontal="left" vertical="center"/>
    </xf>
    <xf numFmtId="0" fontId="24" fillId="0" borderId="3" xfId="5" applyFont="1" applyBorder="1" applyAlignment="1">
      <alignment horizontal="left" vertical="center"/>
    </xf>
    <xf numFmtId="0" fontId="16" fillId="0" borderId="0" xfId="5" applyFont="1" applyBorder="1" applyAlignment="1">
      <alignment horizontal="left"/>
    </xf>
    <xf numFmtId="0" fontId="16" fillId="0" borderId="0" xfId="5" applyFont="1" applyBorder="1" applyAlignment="1">
      <alignment horizontal="center" vertical="center"/>
    </xf>
    <xf numFmtId="165" fontId="23" fillId="0" borderId="0" xfId="1"/>
    <xf numFmtId="165" fontId="36" fillId="0" borderId="0" xfId="1" applyFont="1"/>
    <xf numFmtId="9" fontId="36" fillId="0" borderId="6" xfId="0" applyNumberFormat="1" applyFont="1" applyBorder="1"/>
    <xf numFmtId="0" fontId="39" fillId="0" borderId="2" xfId="0" applyFont="1" applyBorder="1"/>
    <xf numFmtId="10" fontId="39" fillId="0" borderId="6" xfId="0" applyNumberFormat="1" applyFont="1" applyBorder="1"/>
    <xf numFmtId="165" fontId="39" fillId="0" borderId="1" xfId="1" applyFont="1" applyBorder="1"/>
    <xf numFmtId="0" fontId="0" fillId="0" borderId="0" xfId="0" applyAlignment="1">
      <alignment horizontal="center"/>
    </xf>
    <xf numFmtId="0" fontId="47" fillId="6" borderId="1" xfId="5" applyFont="1" applyFill="1" applyBorder="1" applyAlignment="1">
      <alignment horizontal="right" vertical="center" wrapText="1"/>
    </xf>
    <xf numFmtId="167" fontId="47" fillId="6" borderId="1" xfId="5" applyNumberFormat="1" applyFont="1" applyFill="1" applyBorder="1" applyAlignment="1">
      <alignment vertical="center"/>
    </xf>
    <xf numFmtId="0" fontId="46" fillId="0" borderId="0" xfId="5" applyFont="1" applyBorder="1" applyAlignment="1"/>
    <xf numFmtId="0" fontId="42" fillId="0" borderId="0" xfId="5" applyFont="1" applyBorder="1" applyAlignment="1"/>
    <xf numFmtId="165" fontId="23" fillId="0" borderId="1" xfId="1" applyBorder="1"/>
    <xf numFmtId="0" fontId="0" fillId="0" borderId="1" xfId="0" applyBorder="1"/>
    <xf numFmtId="0" fontId="23" fillId="0" borderId="1" xfId="0" applyFont="1" applyBorder="1" applyAlignment="1">
      <alignment horizontal="center" vertical="top" wrapText="1"/>
    </xf>
    <xf numFmtId="165" fontId="23" fillId="0" borderId="1" xfId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6" xfId="0" applyBorder="1"/>
    <xf numFmtId="165" fontId="23" fillId="0" borderId="6" xfId="1" applyBorder="1"/>
    <xf numFmtId="165" fontId="48" fillId="0" borderId="1" xfId="1" applyFont="1" applyBorder="1"/>
    <xf numFmtId="0" fontId="0" fillId="0" borderId="3" xfId="0" applyBorder="1"/>
    <xf numFmtId="0" fontId="48" fillId="0" borderId="0" xfId="0" applyFont="1"/>
    <xf numFmtId="0" fontId="48" fillId="0" borderId="1" xfId="0" applyFont="1" applyBorder="1" applyAlignment="1">
      <alignment horizontal="center"/>
    </xf>
    <xf numFmtId="0" fontId="49" fillId="0" borderId="0" xfId="0" applyFont="1" applyAlignment="1">
      <alignment horizontal="center"/>
    </xf>
    <xf numFmtId="0" fontId="23" fillId="0" borderId="2" xfId="0" applyFont="1" applyBorder="1" applyAlignment="1">
      <alignment horizontal="center" vertical="top" wrapText="1"/>
    </xf>
    <xf numFmtId="0" fontId="23" fillId="0" borderId="3" xfId="0" applyFont="1" applyBorder="1" applyAlignment="1">
      <alignment horizontal="center" vertical="top" wrapText="1"/>
    </xf>
    <xf numFmtId="0" fontId="9" fillId="2" borderId="0" xfId="6" applyFont="1" applyFill="1" applyBorder="1" applyAlignment="1">
      <alignment horizontal="center"/>
    </xf>
    <xf numFmtId="0" fontId="10" fillId="3" borderId="0" xfId="6" applyFont="1" applyFill="1" applyBorder="1" applyAlignment="1">
      <alignment horizontal="center" vertical="center"/>
    </xf>
    <xf numFmtId="0" fontId="30" fillId="12" borderId="1" xfId="6" applyFont="1" applyFill="1" applyBorder="1" applyAlignment="1">
      <alignment horizontal="center"/>
    </xf>
    <xf numFmtId="164" fontId="30" fillId="12" borderId="1" xfId="2" applyFont="1" applyFill="1" applyBorder="1" applyAlignment="1" applyProtection="1">
      <alignment horizontal="center"/>
    </xf>
    <xf numFmtId="17" fontId="30" fillId="12" borderId="1" xfId="6" applyNumberFormat="1" applyFont="1" applyFill="1" applyBorder="1" applyAlignment="1">
      <alignment horizontal="center"/>
    </xf>
    <xf numFmtId="0" fontId="10" fillId="0" borderId="1" xfId="6" applyFont="1" applyBorder="1" applyAlignment="1">
      <alignment horizontal="center" vertical="center" wrapText="1"/>
    </xf>
    <xf numFmtId="0" fontId="4" fillId="0" borderId="1" xfId="6" applyFont="1" applyBorder="1" applyAlignment="1">
      <alignment vertical="center" wrapText="1"/>
    </xf>
    <xf numFmtId="0" fontId="10" fillId="4" borderId="0" xfId="6" applyFont="1" applyFill="1" applyBorder="1" applyAlignment="1">
      <alignment horizontal="center" vertical="center"/>
    </xf>
    <xf numFmtId="0" fontId="10" fillId="4" borderId="0" xfId="6" applyFont="1" applyFill="1" applyBorder="1" applyAlignment="1">
      <alignment horizontal="center" vertical="center" wrapText="1"/>
    </xf>
    <xf numFmtId="0" fontId="10" fillId="0" borderId="1" xfId="6" applyFont="1" applyBorder="1" applyAlignment="1">
      <alignment horizontal="left" vertical="center" wrapText="1"/>
    </xf>
    <xf numFmtId="0" fontId="10" fillId="0" borderId="1" xfId="6" applyFont="1" applyBorder="1" applyAlignment="1">
      <alignment vertical="center" wrapText="1"/>
    </xf>
    <xf numFmtId="170" fontId="4" fillId="0" borderId="0" xfId="6" applyNumberFormat="1" applyFont="1" applyAlignment="1">
      <alignment horizontal="center"/>
    </xf>
    <xf numFmtId="0" fontId="10" fillId="0" borderId="2" xfId="6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164" fontId="0" fillId="0" borderId="1" xfId="0" applyNumberFormat="1" applyBorder="1" applyAlignment="1">
      <alignment horizontal="center" vertical="top"/>
    </xf>
    <xf numFmtId="164" fontId="48" fillId="0" borderId="1" xfId="0" applyNumberFormat="1" applyFont="1" applyBorder="1" applyAlignment="1">
      <alignment horizontal="center" vertical="top"/>
    </xf>
    <xf numFmtId="0" fontId="13" fillId="5" borderId="4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/>
    </xf>
    <xf numFmtId="0" fontId="25" fillId="15" borderId="2" xfId="5" applyFont="1" applyFill="1" applyBorder="1" applyAlignment="1">
      <alignment horizontal="left"/>
    </xf>
    <xf numFmtId="0" fontId="25" fillId="15" borderId="6" xfId="5" applyFont="1" applyFill="1" applyBorder="1" applyAlignment="1">
      <alignment horizontal="left"/>
    </xf>
    <xf numFmtId="0" fontId="25" fillId="15" borderId="3" xfId="5" applyFont="1" applyFill="1" applyBorder="1" applyAlignment="1">
      <alignment horizontal="left"/>
    </xf>
  </cellXfs>
  <cellStyles count="35">
    <cellStyle name="Hiperlink 2" xfId="21"/>
    <cellStyle name="Hiperlink 3" xfId="24"/>
    <cellStyle name="Moeda" xfId="2" builtinId="4"/>
    <cellStyle name="Moeda 2" xfId="3"/>
    <cellStyle name="Moeda 3" xfId="20"/>
    <cellStyle name="Moeda 4" xfId="29"/>
    <cellStyle name="Normal" xfId="0" builtinId="0"/>
    <cellStyle name="Normal 2" xfId="4"/>
    <cellStyle name="Normal 3" xfId="5"/>
    <cellStyle name="Normal 3 2" xfId="25"/>
    <cellStyle name="Normal 4" xfId="6"/>
    <cellStyle name="Normal 4 2" xfId="26"/>
    <cellStyle name="Normal 5" xfId="18"/>
    <cellStyle name="Normal 5 2" xfId="22"/>
    <cellStyle name="Normal 6" xfId="23"/>
    <cellStyle name="Normal 7" xfId="30"/>
    <cellStyle name="Normal 8" xfId="31"/>
    <cellStyle name="Normal 9" xfId="33"/>
    <cellStyle name="Nota 2" xfId="27"/>
    <cellStyle name="Porcentagem 2" xfId="7"/>
    <cellStyle name="Porcentagem 3" xfId="8"/>
    <cellStyle name="Porcentagem 4" xfId="9"/>
    <cellStyle name="Porcentagem 5" xfId="32"/>
    <cellStyle name="Vírgula" xfId="1" builtinId="3"/>
    <cellStyle name="Vírgula 2" xfId="10"/>
    <cellStyle name="Vírgula 3" xfId="11"/>
    <cellStyle name="Vírgula 3 2" xfId="12"/>
    <cellStyle name="Vírgula 4" xfId="13"/>
    <cellStyle name="Vírgula 4 2" xfId="14"/>
    <cellStyle name="Vírgula 4 3" xfId="28"/>
    <cellStyle name="Vírgula 5" xfId="15"/>
    <cellStyle name="Vírgula 5 2" xfId="16"/>
    <cellStyle name="Vírgula 6" xfId="17"/>
    <cellStyle name="Vírgula 7" xfId="19"/>
    <cellStyle name="Vírgula 8" xfId="3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FBFBF"/>
      <rgbColor rgb="FFFF99CC"/>
      <rgbColor rgb="FFCC99FF"/>
      <rgbColor rgb="FFE6B9B8"/>
      <rgbColor rgb="FF3366FF"/>
      <rgbColor rgb="FF33CCCC"/>
      <rgbColor rgb="FF99CC00"/>
      <rgbColor rgb="FFFFCC00"/>
      <rgbColor rgb="FFFF9900"/>
      <rgbColor rgb="FFFF6600"/>
      <rgbColor rgb="FF595959"/>
      <rgbColor rgb="FF999999"/>
      <rgbColor rgb="FF003366"/>
      <rgbColor rgb="FF339966"/>
      <rgbColor rgb="FF003300"/>
      <rgbColor rgb="FF333300"/>
      <rgbColor rgb="FF993300"/>
      <rgbColor rgb="FF993366"/>
      <rgbColor rgb="FF1F497D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view="pageBreakPreview" zoomScaleNormal="100" zoomScaleSheetLayoutView="100" workbookViewId="0">
      <selection activeCell="F18" sqref="F18"/>
    </sheetView>
  </sheetViews>
  <sheetFormatPr defaultRowHeight="12.75" x14ac:dyDescent="0.2"/>
  <cols>
    <col min="1" max="1" width="10.83203125" customWidth="1"/>
    <col min="2" max="2" width="30.83203125" customWidth="1"/>
    <col min="3" max="3" width="15.83203125" style="200" customWidth="1"/>
    <col min="4" max="4" width="15.83203125" customWidth="1"/>
    <col min="5" max="6" width="15.83203125" style="200" customWidth="1"/>
    <col min="7" max="7" width="15.83203125" customWidth="1"/>
  </cols>
  <sheetData>
    <row r="1" spans="1:6" ht="15.75" x14ac:dyDescent="0.25">
      <c r="A1" s="224" t="s">
        <v>184</v>
      </c>
      <c r="B1" s="224"/>
      <c r="C1" s="224"/>
      <c r="D1" s="224"/>
      <c r="E1" s="224"/>
      <c r="F1" s="224"/>
    </row>
    <row r="3" spans="1:6" x14ac:dyDescent="0.2">
      <c r="A3" s="222" t="s">
        <v>185</v>
      </c>
    </row>
    <row r="4" spans="1:6" s="215" customFormat="1" ht="25.5" x14ac:dyDescent="0.2">
      <c r="A4" s="213" t="s">
        <v>156</v>
      </c>
      <c r="B4" s="213" t="s">
        <v>186</v>
      </c>
      <c r="C4" s="214" t="s">
        <v>187</v>
      </c>
      <c r="D4" s="213" t="s">
        <v>157</v>
      </c>
      <c r="E4" s="214" t="s">
        <v>159</v>
      </c>
      <c r="F4" s="214" t="s">
        <v>188</v>
      </c>
    </row>
    <row r="5" spans="1:6" x14ac:dyDescent="0.2">
      <c r="A5" s="216">
        <v>1</v>
      </c>
      <c r="B5" s="212" t="str">
        <f>arqeng!C5</f>
        <v>Arquiteto ou Engenheiro Civil</v>
      </c>
      <c r="C5" s="211">
        <f>arqeng!D138</f>
        <v>28393.89</v>
      </c>
      <c r="D5" s="216">
        <v>5</v>
      </c>
      <c r="E5" s="211">
        <f>C5*D5</f>
        <v>141969.45000000001</v>
      </c>
      <c r="F5" s="211">
        <f>E5*24</f>
        <v>3407266.8000000003</v>
      </c>
    </row>
    <row r="6" spans="1:6" x14ac:dyDescent="0.2">
      <c r="A6" s="216">
        <v>2</v>
      </c>
      <c r="B6" s="212" t="str">
        <f>engmec!C5</f>
        <v>Engenheiro Mecânico</v>
      </c>
      <c r="C6" s="211">
        <f>engmec!D138</f>
        <v>28393.89</v>
      </c>
      <c r="D6" s="216">
        <v>1</v>
      </c>
      <c r="E6" s="211">
        <f t="shared" ref="E6:E7" si="0">C6*D6</f>
        <v>28393.89</v>
      </c>
      <c r="F6" s="211">
        <f t="shared" ref="F6:F7" si="1">E6*24</f>
        <v>681453.36</v>
      </c>
    </row>
    <row r="7" spans="1:6" x14ac:dyDescent="0.2">
      <c r="A7" s="216">
        <v>3</v>
      </c>
      <c r="B7" s="212" t="str">
        <f>engeletr!C5</f>
        <v>Engenheiro Eletricista</v>
      </c>
      <c r="C7" s="211">
        <f>engeletr!D138</f>
        <v>28393.89</v>
      </c>
      <c r="D7" s="216">
        <v>3</v>
      </c>
      <c r="E7" s="211">
        <f t="shared" si="0"/>
        <v>85181.67</v>
      </c>
      <c r="F7" s="211">
        <f t="shared" si="1"/>
        <v>2044360.08</v>
      </c>
    </row>
    <row r="8" spans="1:6" x14ac:dyDescent="0.2">
      <c r="A8" s="223" t="s">
        <v>190</v>
      </c>
      <c r="B8" s="223"/>
      <c r="C8" s="223"/>
      <c r="D8" s="223"/>
      <c r="E8" s="220">
        <f>SUM(E5:E7)</f>
        <v>255545.01</v>
      </c>
      <c r="F8" s="220">
        <f>SUM(F5:F7)</f>
        <v>6133080.2400000002</v>
      </c>
    </row>
    <row r="10" spans="1:6" x14ac:dyDescent="0.2">
      <c r="A10" s="222" t="s">
        <v>192</v>
      </c>
    </row>
    <row r="11" spans="1:6" ht="25.5" x14ac:dyDescent="0.2">
      <c r="A11" s="213" t="s">
        <v>156</v>
      </c>
      <c r="B11" s="225" t="s">
        <v>186</v>
      </c>
      <c r="C11" s="226"/>
      <c r="D11" s="213" t="s">
        <v>158</v>
      </c>
      <c r="E11" s="214" t="s">
        <v>157</v>
      </c>
      <c r="F11" s="214" t="s">
        <v>188</v>
      </c>
    </row>
    <row r="12" spans="1:6" s="116" customFormat="1" x14ac:dyDescent="0.2">
      <c r="A12" s="212">
        <v>4</v>
      </c>
      <c r="B12" s="212" t="str">
        <f>DESLOC.MÉDIO!A8</f>
        <v>Valor médio por dia de deslocamento</v>
      </c>
      <c r="C12" s="212"/>
      <c r="D12" s="211">
        <f>DESLOC.MÉDIO!B8</f>
        <v>1209.08</v>
      </c>
      <c r="E12" s="216">
        <v>70</v>
      </c>
      <c r="F12" s="211">
        <f>D12*E12</f>
        <v>84635.599999999991</v>
      </c>
    </row>
    <row r="13" spans="1:6" s="116" customFormat="1" x14ac:dyDescent="0.2">
      <c r="A13" s="212">
        <v>5</v>
      </c>
      <c r="B13" s="217" t="str">
        <f>'Hora extra'!A1</f>
        <v>Estimativa de Horas Extras</v>
      </c>
      <c r="C13" s="218"/>
      <c r="D13" s="219"/>
      <c r="E13" s="221"/>
      <c r="F13" s="211">
        <f>'Hora extra'!G9</f>
        <v>115840.79999999999</v>
      </c>
    </row>
    <row r="14" spans="1:6" x14ac:dyDescent="0.2">
      <c r="A14" s="212">
        <v>6</v>
      </c>
      <c r="B14" s="217" t="str">
        <f>'ART-RRT'!A5</f>
        <v>Valor total estimado com ARTs/RRTs</v>
      </c>
      <c r="C14" s="218"/>
      <c r="D14" s="219"/>
      <c r="E14" s="221"/>
      <c r="F14" s="211">
        <f>'ART-RRT'!C5</f>
        <v>14419.5</v>
      </c>
    </row>
    <row r="15" spans="1:6" x14ac:dyDescent="0.2">
      <c r="A15" s="223" t="s">
        <v>190</v>
      </c>
      <c r="B15" s="223"/>
      <c r="C15" s="223"/>
      <c r="D15" s="223"/>
      <c r="E15" s="223"/>
      <c r="F15" s="220">
        <f>SUM(F12:F14)</f>
        <v>214895.89999999997</v>
      </c>
    </row>
    <row r="16" spans="1:6" x14ac:dyDescent="0.2">
      <c r="C16" s="116"/>
      <c r="D16" s="200"/>
      <c r="E16"/>
    </row>
    <row r="17" spans="1:6" x14ac:dyDescent="0.2">
      <c r="A17" s="223" t="s">
        <v>193</v>
      </c>
      <c r="B17" s="223"/>
      <c r="C17" s="223"/>
      <c r="D17" s="223"/>
      <c r="E17" s="223"/>
      <c r="F17" s="220">
        <f>F8+F15</f>
        <v>6347976.1400000006</v>
      </c>
    </row>
  </sheetData>
  <mergeCells count="5">
    <mergeCell ref="A17:E17"/>
    <mergeCell ref="A1:F1"/>
    <mergeCell ref="A8:D8"/>
    <mergeCell ref="A15:E15"/>
    <mergeCell ref="B11:C11"/>
  </mergeCells>
  <pageMargins left="0.51181102362204722" right="0.51181102362204722" top="1.3679166666666667" bottom="0.78740157480314965" header="0.31496062992125984" footer="0.31496062992125984"/>
  <pageSetup paperSize="9" scale="98" orientation="portrait" r:id="rId1"/>
  <headerFooter>
    <oddHeader>&amp;C&amp;G</oddHeader>
    <oddFooter>&amp;LElaborado em &amp;D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9"/>
  <sheetViews>
    <sheetView zoomScaleNormal="100" workbookViewId="0">
      <selection activeCell="H9" sqref="H9"/>
    </sheetView>
  </sheetViews>
  <sheetFormatPr defaultColWidth="9.33203125" defaultRowHeight="12.75" x14ac:dyDescent="0.2"/>
  <cols>
    <col min="1" max="3" width="15.83203125" style="29" customWidth="1"/>
    <col min="4" max="4" width="15.83203125" style="30" customWidth="1"/>
    <col min="5" max="5" width="15.83203125" style="31" customWidth="1"/>
    <col min="6" max="6" width="15.83203125" style="32" customWidth="1"/>
    <col min="7" max="9" width="15.83203125" style="33" customWidth="1"/>
    <col min="10" max="10" width="15.83203125" style="82" customWidth="1"/>
    <col min="11" max="11" width="15.83203125" style="33" customWidth="1"/>
    <col min="12" max="13" width="15.83203125" style="29" customWidth="1"/>
    <col min="14" max="14" width="15.83203125" style="85" customWidth="1"/>
    <col min="15" max="15" width="15.83203125" style="29" customWidth="1"/>
    <col min="16" max="16" width="15.83203125" style="34" customWidth="1"/>
    <col min="17" max="17" width="15.83203125" style="35" customWidth="1"/>
    <col min="18" max="18" width="15.83203125" style="63" customWidth="1"/>
    <col min="19" max="1025" width="9.33203125" style="29"/>
  </cols>
  <sheetData>
    <row r="1" spans="1:19" ht="15.75" x14ac:dyDescent="0.25">
      <c r="A1" s="183" t="s">
        <v>165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62"/>
    </row>
    <row r="2" spans="1:19" x14ac:dyDescent="0.2">
      <c r="A2" s="161" t="s">
        <v>119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62"/>
    </row>
    <row r="3" spans="1:19" x14ac:dyDescent="0.2">
      <c r="A3" s="184"/>
      <c r="B3" s="35"/>
      <c r="C3" s="35"/>
      <c r="D3" s="35"/>
      <c r="E3" s="35"/>
      <c r="F3" s="35"/>
      <c r="G3" s="35"/>
      <c r="H3" s="35"/>
      <c r="I3" s="35"/>
      <c r="J3" s="83"/>
      <c r="K3" s="35"/>
      <c r="L3" s="35"/>
      <c r="M3" s="35"/>
      <c r="N3" s="86"/>
      <c r="O3" s="35"/>
    </row>
    <row r="4" spans="1:19" s="38" customFormat="1" ht="11.25" x14ac:dyDescent="0.2">
      <c r="A4" s="53" t="s">
        <v>123</v>
      </c>
      <c r="B4" s="77"/>
      <c r="C4" s="77"/>
      <c r="D4" s="77"/>
      <c r="E4" s="77"/>
      <c r="F4" s="77"/>
      <c r="G4" s="37"/>
      <c r="H4" s="37"/>
      <c r="I4" s="37"/>
      <c r="J4" s="84"/>
      <c r="K4" s="37"/>
      <c r="N4" s="87"/>
      <c r="P4" s="34"/>
      <c r="Q4" s="34"/>
      <c r="R4" s="64"/>
    </row>
    <row r="5" spans="1:19" x14ac:dyDescent="0.2">
      <c r="A5" s="80" t="s">
        <v>93</v>
      </c>
      <c r="B5" s="79"/>
      <c r="C5" s="79"/>
      <c r="D5" s="79"/>
      <c r="E5" s="115"/>
      <c r="F5" s="95">
        <f>'Deslocamento 1 município'!F5</f>
        <v>80</v>
      </c>
    </row>
    <row r="6" spans="1:19" x14ac:dyDescent="0.2">
      <c r="A6" s="80" t="s">
        <v>94</v>
      </c>
      <c r="B6" s="79"/>
      <c r="C6" s="79"/>
      <c r="D6" s="79"/>
      <c r="E6" s="115"/>
      <c r="F6" s="95">
        <f>'Deslocamento 1 município'!F6</f>
        <v>4</v>
      </c>
    </row>
    <row r="7" spans="1:19" x14ac:dyDescent="0.2">
      <c r="A7" s="192" t="s">
        <v>95</v>
      </c>
      <c r="B7" s="193"/>
      <c r="C7" s="193"/>
      <c r="D7" s="193"/>
      <c r="E7" s="194"/>
      <c r="F7" s="188">
        <v>142</v>
      </c>
    </row>
    <row r="8" spans="1:19" x14ac:dyDescent="0.2">
      <c r="A8" s="195" t="s">
        <v>96</v>
      </c>
      <c r="B8" s="196"/>
      <c r="C8" s="196"/>
      <c r="D8" s="196"/>
      <c r="E8" s="197"/>
      <c r="F8" s="95" t="str">
        <f>'Deslocamento 1 município'!F8</f>
        <v>20Km</v>
      </c>
    </row>
    <row r="9" spans="1:19" x14ac:dyDescent="0.2">
      <c r="A9" s="192" t="s">
        <v>98</v>
      </c>
      <c r="B9" s="193"/>
      <c r="C9" s="193"/>
      <c r="D9" s="193"/>
      <c r="E9" s="194"/>
      <c r="F9" s="190">
        <v>6.13</v>
      </c>
    </row>
    <row r="10" spans="1:19" x14ac:dyDescent="0.2">
      <c r="A10" s="195" t="s">
        <v>99</v>
      </c>
      <c r="B10" s="196"/>
      <c r="C10" s="196"/>
      <c r="D10" s="196"/>
      <c r="E10" s="197"/>
      <c r="F10" s="95">
        <f>'Deslocamento 1 município'!F10</f>
        <v>10</v>
      </c>
    </row>
    <row r="11" spans="1:19" x14ac:dyDescent="0.2">
      <c r="A11" s="192" t="s">
        <v>100</v>
      </c>
      <c r="B11" s="193"/>
      <c r="C11" s="193"/>
      <c r="D11" s="193"/>
      <c r="E11" s="194"/>
      <c r="F11" s="188">
        <v>249</v>
      </c>
    </row>
    <row r="12" spans="1:19" x14ac:dyDescent="0.2">
      <c r="A12" s="247" t="s">
        <v>164</v>
      </c>
      <c r="B12" s="248"/>
      <c r="C12" s="248"/>
      <c r="D12" s="248"/>
      <c r="E12" s="249"/>
      <c r="F12" s="182">
        <f>'Deslocamento 1 município'!F12</f>
        <v>21.79</v>
      </c>
    </row>
    <row r="13" spans="1:19" x14ac:dyDescent="0.2">
      <c r="A13" s="185" t="s">
        <v>167</v>
      </c>
      <c r="B13" s="39"/>
      <c r="C13" s="39"/>
    </row>
    <row r="14" spans="1:19" s="40" customFormat="1" ht="90" x14ac:dyDescent="0.2">
      <c r="A14" s="131" t="s">
        <v>101</v>
      </c>
      <c r="B14" s="132" t="s">
        <v>120</v>
      </c>
      <c r="C14" s="131" t="s">
        <v>102</v>
      </c>
      <c r="D14" s="133" t="s">
        <v>103</v>
      </c>
      <c r="E14" s="134" t="s">
        <v>121</v>
      </c>
      <c r="F14" s="135" t="s">
        <v>104</v>
      </c>
      <c r="G14" s="136" t="s">
        <v>105</v>
      </c>
      <c r="H14" s="136" t="s">
        <v>106</v>
      </c>
      <c r="I14" s="136" t="s">
        <v>107</v>
      </c>
      <c r="J14" s="136" t="s">
        <v>146</v>
      </c>
      <c r="K14" s="131" t="s">
        <v>108</v>
      </c>
      <c r="L14" s="131" t="s">
        <v>109</v>
      </c>
      <c r="M14" s="159" t="s">
        <v>154</v>
      </c>
      <c r="N14" s="131" t="s">
        <v>155</v>
      </c>
      <c r="O14" s="131" t="s">
        <v>110</v>
      </c>
      <c r="P14" s="137" t="s">
        <v>169</v>
      </c>
      <c r="Q14" s="131" t="s">
        <v>111</v>
      </c>
      <c r="R14" s="130" t="s">
        <v>112</v>
      </c>
    </row>
    <row r="15" spans="1:19" s="41" customFormat="1" ht="11.25" x14ac:dyDescent="0.2">
      <c r="A15" s="138" t="s">
        <v>113</v>
      </c>
      <c r="B15" s="138" t="s">
        <v>113</v>
      </c>
      <c r="C15" s="138" t="s">
        <v>114</v>
      </c>
      <c r="D15" s="139" t="s">
        <v>115</v>
      </c>
      <c r="E15" s="140" t="s">
        <v>115</v>
      </c>
      <c r="F15" s="141" t="s">
        <v>115</v>
      </c>
      <c r="G15" s="139" t="s">
        <v>116</v>
      </c>
      <c r="H15" s="139" t="s">
        <v>117</v>
      </c>
      <c r="I15" s="138" t="s">
        <v>117</v>
      </c>
      <c r="J15" s="138"/>
      <c r="K15" s="138" t="s">
        <v>118</v>
      </c>
      <c r="L15" s="138" t="s">
        <v>118</v>
      </c>
      <c r="M15" s="138" t="s">
        <v>118</v>
      </c>
      <c r="N15" s="138" t="s">
        <v>118</v>
      </c>
      <c r="O15" s="138" t="s">
        <v>118</v>
      </c>
      <c r="P15" s="142">
        <f>arqeng!C125</f>
        <v>0.26234679802955685</v>
      </c>
      <c r="Q15" s="138" t="s">
        <v>118</v>
      </c>
      <c r="R15" s="138" t="s">
        <v>118</v>
      </c>
    </row>
    <row r="16" spans="1:19" s="41" customFormat="1" ht="11.25" x14ac:dyDescent="0.2">
      <c r="A16" s="143">
        <v>100</v>
      </c>
      <c r="B16" s="100">
        <v>40</v>
      </c>
      <c r="C16" s="101">
        <f t="shared" ref="C16:C45" si="0">((A16+B16)/10)</f>
        <v>14</v>
      </c>
      <c r="D16" s="102">
        <f t="shared" ref="D16:D45" si="1">((A16+B16)/80)</f>
        <v>1.75</v>
      </c>
      <c r="E16" s="103">
        <v>8</v>
      </c>
      <c r="F16" s="104">
        <f t="shared" ref="F16:F45" si="2">D16+E16</f>
        <v>9.75</v>
      </c>
      <c r="G16" s="105">
        <f t="shared" ref="G16:G45" si="3">F16/9</f>
        <v>1.0833333333333333</v>
      </c>
      <c r="H16" s="50">
        <f t="shared" ref="H16:H45" si="4">ROUNDUP(G16,0)</f>
        <v>2</v>
      </c>
      <c r="I16" s="123">
        <f t="shared" ref="I16:I45" si="5">H16-0.5</f>
        <v>1.5</v>
      </c>
      <c r="J16" s="123">
        <v>2</v>
      </c>
      <c r="K16" s="124">
        <f t="shared" ref="K16:K45" si="6">C16*$F$9</f>
        <v>85.82</v>
      </c>
      <c r="L16" s="125">
        <f t="shared" ref="L16:L45" si="7">H16*$F$7</f>
        <v>284</v>
      </c>
      <c r="M16" s="125">
        <f t="shared" ref="M16:M45" si="8">(I16*$F$11)*J16</f>
        <v>747</v>
      </c>
      <c r="N16" s="125">
        <f>+(ROUNDUP(F16,0))*$F$12</f>
        <v>217.89999999999998</v>
      </c>
      <c r="O16" s="126">
        <f>K16+L16+M16+N16</f>
        <v>1334.7199999999998</v>
      </c>
      <c r="P16" s="124">
        <f>O16*$P$15</f>
        <v>350.15951826601008</v>
      </c>
      <c r="Q16" s="144">
        <f t="shared" ref="Q16:Q23" si="9">O16+P16</f>
        <v>1684.8795182660099</v>
      </c>
      <c r="R16" s="149">
        <f t="shared" ref="R16:R45" si="10">Q16/H16</f>
        <v>842.43975913300494</v>
      </c>
      <c r="S16" s="42"/>
    </row>
    <row r="17" spans="1:19" s="41" customFormat="1" ht="11.25" x14ac:dyDescent="0.2">
      <c r="A17" s="143">
        <v>200</v>
      </c>
      <c r="B17" s="100">
        <v>40</v>
      </c>
      <c r="C17" s="101">
        <f t="shared" si="0"/>
        <v>24</v>
      </c>
      <c r="D17" s="102">
        <f t="shared" si="1"/>
        <v>3</v>
      </c>
      <c r="E17" s="103">
        <v>8</v>
      </c>
      <c r="F17" s="104">
        <f t="shared" si="2"/>
        <v>11</v>
      </c>
      <c r="G17" s="105">
        <f t="shared" si="3"/>
        <v>1.2222222222222223</v>
      </c>
      <c r="H17" s="50">
        <f t="shared" si="4"/>
        <v>2</v>
      </c>
      <c r="I17" s="123">
        <f t="shared" si="5"/>
        <v>1.5</v>
      </c>
      <c r="J17" s="123">
        <v>2</v>
      </c>
      <c r="K17" s="124">
        <f t="shared" si="6"/>
        <v>147.12</v>
      </c>
      <c r="L17" s="125">
        <f t="shared" si="7"/>
        <v>284</v>
      </c>
      <c r="M17" s="125">
        <f t="shared" si="8"/>
        <v>747</v>
      </c>
      <c r="N17" s="125">
        <f t="shared" ref="N17:N45" si="11">+(ROUNDUP(F17,0))*$F$12</f>
        <v>239.69</v>
      </c>
      <c r="O17" s="126">
        <f>K17+L17+M17+N17</f>
        <v>1417.81</v>
      </c>
      <c r="P17" s="124">
        <f>O17*$P$15</f>
        <v>371.95791371428601</v>
      </c>
      <c r="Q17" s="144">
        <f t="shared" si="9"/>
        <v>1789.7679137142859</v>
      </c>
      <c r="R17" s="149">
        <f t="shared" si="10"/>
        <v>894.88395685714295</v>
      </c>
      <c r="S17" s="42"/>
    </row>
    <row r="18" spans="1:19" s="40" customFormat="1" ht="11.25" x14ac:dyDescent="0.2">
      <c r="A18" s="143">
        <v>300</v>
      </c>
      <c r="B18" s="100">
        <v>40</v>
      </c>
      <c r="C18" s="101">
        <f t="shared" si="0"/>
        <v>34</v>
      </c>
      <c r="D18" s="102">
        <f t="shared" si="1"/>
        <v>4.25</v>
      </c>
      <c r="E18" s="103">
        <v>8</v>
      </c>
      <c r="F18" s="104">
        <f t="shared" si="2"/>
        <v>12.25</v>
      </c>
      <c r="G18" s="105">
        <f t="shared" si="3"/>
        <v>1.3611111111111112</v>
      </c>
      <c r="H18" s="50">
        <f t="shared" si="4"/>
        <v>2</v>
      </c>
      <c r="I18" s="123">
        <f t="shared" si="5"/>
        <v>1.5</v>
      </c>
      <c r="J18" s="123">
        <v>2</v>
      </c>
      <c r="K18" s="124">
        <f t="shared" si="6"/>
        <v>208.42</v>
      </c>
      <c r="L18" s="126">
        <f t="shared" si="7"/>
        <v>284</v>
      </c>
      <c r="M18" s="125">
        <f t="shared" si="8"/>
        <v>747</v>
      </c>
      <c r="N18" s="125">
        <f t="shared" si="11"/>
        <v>283.27</v>
      </c>
      <c r="O18" s="126">
        <f t="shared" ref="O18:O45" si="12">K18+L18+M18+N18</f>
        <v>1522.69</v>
      </c>
      <c r="P18" s="124">
        <f t="shared" ref="P18:P45" si="13">O18*$P$15</f>
        <v>399.47284589162592</v>
      </c>
      <c r="Q18" s="144">
        <f t="shared" si="9"/>
        <v>1922.1628458916259</v>
      </c>
      <c r="R18" s="149">
        <f t="shared" si="10"/>
        <v>961.08142294581296</v>
      </c>
      <c r="S18" s="43"/>
    </row>
    <row r="19" spans="1:19" s="40" customFormat="1" ht="11.25" x14ac:dyDescent="0.2">
      <c r="A19" s="143">
        <v>400</v>
      </c>
      <c r="B19" s="100">
        <v>40</v>
      </c>
      <c r="C19" s="101">
        <f t="shared" si="0"/>
        <v>44</v>
      </c>
      <c r="D19" s="102">
        <f t="shared" si="1"/>
        <v>5.5</v>
      </c>
      <c r="E19" s="103">
        <v>8</v>
      </c>
      <c r="F19" s="104">
        <f t="shared" si="2"/>
        <v>13.5</v>
      </c>
      <c r="G19" s="105">
        <f t="shared" si="3"/>
        <v>1.5</v>
      </c>
      <c r="H19" s="50">
        <f t="shared" si="4"/>
        <v>2</v>
      </c>
      <c r="I19" s="123">
        <f t="shared" si="5"/>
        <v>1.5</v>
      </c>
      <c r="J19" s="123">
        <v>2</v>
      </c>
      <c r="K19" s="124">
        <f t="shared" si="6"/>
        <v>269.71999999999997</v>
      </c>
      <c r="L19" s="126">
        <f t="shared" si="7"/>
        <v>284</v>
      </c>
      <c r="M19" s="125">
        <f t="shared" si="8"/>
        <v>747</v>
      </c>
      <c r="N19" s="125">
        <f t="shared" si="11"/>
        <v>305.06</v>
      </c>
      <c r="O19" s="126">
        <f t="shared" si="12"/>
        <v>1605.78</v>
      </c>
      <c r="P19" s="124">
        <f t="shared" si="13"/>
        <v>421.27124133990179</v>
      </c>
      <c r="Q19" s="144">
        <f t="shared" si="9"/>
        <v>2027.0512413399017</v>
      </c>
      <c r="R19" s="149">
        <f t="shared" si="10"/>
        <v>1013.5256206699509</v>
      </c>
      <c r="S19" s="42"/>
    </row>
    <row r="20" spans="1:19" s="40" customFormat="1" ht="11.25" x14ac:dyDescent="0.2">
      <c r="A20" s="143">
        <v>500</v>
      </c>
      <c r="B20" s="100">
        <v>40</v>
      </c>
      <c r="C20" s="101">
        <f t="shared" si="0"/>
        <v>54</v>
      </c>
      <c r="D20" s="102">
        <f t="shared" si="1"/>
        <v>6.75</v>
      </c>
      <c r="E20" s="103">
        <v>8</v>
      </c>
      <c r="F20" s="104">
        <f t="shared" si="2"/>
        <v>14.75</v>
      </c>
      <c r="G20" s="105">
        <f t="shared" si="3"/>
        <v>1.6388888888888888</v>
      </c>
      <c r="H20" s="50">
        <f t="shared" si="4"/>
        <v>2</v>
      </c>
      <c r="I20" s="123">
        <f t="shared" si="5"/>
        <v>1.5</v>
      </c>
      <c r="J20" s="123">
        <v>2</v>
      </c>
      <c r="K20" s="124">
        <f t="shared" si="6"/>
        <v>331.02</v>
      </c>
      <c r="L20" s="126">
        <f t="shared" si="7"/>
        <v>284</v>
      </c>
      <c r="M20" s="125">
        <f t="shared" si="8"/>
        <v>747</v>
      </c>
      <c r="N20" s="125">
        <f t="shared" si="11"/>
        <v>326.84999999999997</v>
      </c>
      <c r="O20" s="126">
        <f t="shared" si="12"/>
        <v>1688.87</v>
      </c>
      <c r="P20" s="124">
        <f t="shared" si="13"/>
        <v>443.06963678817766</v>
      </c>
      <c r="Q20" s="144">
        <f t="shared" si="9"/>
        <v>2131.9396367881777</v>
      </c>
      <c r="R20" s="149">
        <f t="shared" si="10"/>
        <v>1065.9698183940889</v>
      </c>
      <c r="S20" s="42"/>
    </row>
    <row r="21" spans="1:19" s="40" customFormat="1" ht="11.25" x14ac:dyDescent="0.2">
      <c r="A21" s="143">
        <v>600</v>
      </c>
      <c r="B21" s="100">
        <v>40</v>
      </c>
      <c r="C21" s="101">
        <f t="shared" si="0"/>
        <v>64</v>
      </c>
      <c r="D21" s="102">
        <f t="shared" si="1"/>
        <v>8</v>
      </c>
      <c r="E21" s="103">
        <v>8</v>
      </c>
      <c r="F21" s="104">
        <f t="shared" si="2"/>
        <v>16</v>
      </c>
      <c r="G21" s="105">
        <f t="shared" si="3"/>
        <v>1.7777777777777777</v>
      </c>
      <c r="H21" s="50">
        <f t="shared" si="4"/>
        <v>2</v>
      </c>
      <c r="I21" s="123">
        <f t="shared" si="5"/>
        <v>1.5</v>
      </c>
      <c r="J21" s="123">
        <v>2</v>
      </c>
      <c r="K21" s="124">
        <f t="shared" si="6"/>
        <v>392.32</v>
      </c>
      <c r="L21" s="126">
        <f t="shared" si="7"/>
        <v>284</v>
      </c>
      <c r="M21" s="125">
        <f t="shared" si="8"/>
        <v>747</v>
      </c>
      <c r="N21" s="125">
        <f t="shared" si="11"/>
        <v>348.64</v>
      </c>
      <c r="O21" s="126">
        <f t="shared" si="12"/>
        <v>1771.96</v>
      </c>
      <c r="P21" s="124">
        <f t="shared" si="13"/>
        <v>464.86803223645359</v>
      </c>
      <c r="Q21" s="144">
        <f t="shared" si="9"/>
        <v>2236.8280322364535</v>
      </c>
      <c r="R21" s="149">
        <f t="shared" si="10"/>
        <v>1118.4140161182268</v>
      </c>
      <c r="S21" s="42"/>
    </row>
    <row r="22" spans="1:19" s="40" customFormat="1" ht="11.25" x14ac:dyDescent="0.2">
      <c r="A22" s="143">
        <v>700</v>
      </c>
      <c r="B22" s="100">
        <v>40</v>
      </c>
      <c r="C22" s="101">
        <f t="shared" si="0"/>
        <v>74</v>
      </c>
      <c r="D22" s="102">
        <f t="shared" si="1"/>
        <v>9.25</v>
      </c>
      <c r="E22" s="103">
        <v>8</v>
      </c>
      <c r="F22" s="104">
        <f t="shared" si="2"/>
        <v>17.25</v>
      </c>
      <c r="G22" s="105">
        <f t="shared" si="3"/>
        <v>1.9166666666666667</v>
      </c>
      <c r="H22" s="50">
        <f t="shared" si="4"/>
        <v>2</v>
      </c>
      <c r="I22" s="123">
        <f t="shared" si="5"/>
        <v>1.5</v>
      </c>
      <c r="J22" s="123">
        <v>2</v>
      </c>
      <c r="K22" s="124">
        <f t="shared" si="6"/>
        <v>453.62</v>
      </c>
      <c r="L22" s="126">
        <f t="shared" si="7"/>
        <v>284</v>
      </c>
      <c r="M22" s="125">
        <f t="shared" si="8"/>
        <v>747</v>
      </c>
      <c r="N22" s="125">
        <f t="shared" si="11"/>
        <v>392.21999999999997</v>
      </c>
      <c r="O22" s="126">
        <f t="shared" si="12"/>
        <v>1876.84</v>
      </c>
      <c r="P22" s="124">
        <f t="shared" si="13"/>
        <v>492.38296441379345</v>
      </c>
      <c r="Q22" s="144">
        <f t="shared" si="9"/>
        <v>2369.2229644137933</v>
      </c>
      <c r="R22" s="149">
        <f t="shared" si="10"/>
        <v>1184.6114822068967</v>
      </c>
      <c r="S22" s="42"/>
    </row>
    <row r="23" spans="1:19" s="40" customFormat="1" ht="11.25" x14ac:dyDescent="0.2">
      <c r="A23" s="143">
        <v>800</v>
      </c>
      <c r="B23" s="100">
        <v>40</v>
      </c>
      <c r="C23" s="101">
        <f t="shared" si="0"/>
        <v>84</v>
      </c>
      <c r="D23" s="102">
        <f t="shared" si="1"/>
        <v>10.5</v>
      </c>
      <c r="E23" s="103">
        <v>8</v>
      </c>
      <c r="F23" s="104">
        <f t="shared" si="2"/>
        <v>18.5</v>
      </c>
      <c r="G23" s="105">
        <f t="shared" si="3"/>
        <v>2.0555555555555554</v>
      </c>
      <c r="H23" s="50">
        <f t="shared" si="4"/>
        <v>3</v>
      </c>
      <c r="I23" s="123">
        <f t="shared" si="5"/>
        <v>2.5</v>
      </c>
      <c r="J23" s="123">
        <v>2</v>
      </c>
      <c r="K23" s="124">
        <f t="shared" si="6"/>
        <v>514.91999999999996</v>
      </c>
      <c r="L23" s="126">
        <f t="shared" si="7"/>
        <v>426</v>
      </c>
      <c r="M23" s="125">
        <f t="shared" si="8"/>
        <v>1245</v>
      </c>
      <c r="N23" s="125">
        <f t="shared" si="11"/>
        <v>414.01</v>
      </c>
      <c r="O23" s="126">
        <f t="shared" si="12"/>
        <v>2599.9300000000003</v>
      </c>
      <c r="P23" s="124">
        <f t="shared" si="13"/>
        <v>682.08331060098578</v>
      </c>
      <c r="Q23" s="144">
        <f t="shared" si="9"/>
        <v>3282.0133106009862</v>
      </c>
      <c r="R23" s="149">
        <f t="shared" si="10"/>
        <v>1094.0044368669953</v>
      </c>
      <c r="S23" s="42"/>
    </row>
    <row r="24" spans="1:19" s="40" customFormat="1" ht="11.25" x14ac:dyDescent="0.2">
      <c r="A24" s="143">
        <v>900</v>
      </c>
      <c r="B24" s="100">
        <v>40</v>
      </c>
      <c r="C24" s="101">
        <f t="shared" si="0"/>
        <v>94</v>
      </c>
      <c r="D24" s="102">
        <f t="shared" si="1"/>
        <v>11.75</v>
      </c>
      <c r="E24" s="103">
        <v>8</v>
      </c>
      <c r="F24" s="104">
        <f t="shared" si="2"/>
        <v>19.75</v>
      </c>
      <c r="G24" s="105">
        <f t="shared" si="3"/>
        <v>2.1944444444444446</v>
      </c>
      <c r="H24" s="50">
        <f t="shared" si="4"/>
        <v>3</v>
      </c>
      <c r="I24" s="123">
        <f t="shared" si="5"/>
        <v>2.5</v>
      </c>
      <c r="J24" s="123">
        <v>2</v>
      </c>
      <c r="K24" s="124">
        <f t="shared" si="6"/>
        <v>576.22</v>
      </c>
      <c r="L24" s="126">
        <f t="shared" si="7"/>
        <v>426</v>
      </c>
      <c r="M24" s="125">
        <f t="shared" si="8"/>
        <v>1245</v>
      </c>
      <c r="N24" s="125">
        <f t="shared" si="11"/>
        <v>435.79999999999995</v>
      </c>
      <c r="O24" s="126">
        <f t="shared" si="12"/>
        <v>2683.0200000000004</v>
      </c>
      <c r="P24" s="124">
        <f t="shared" si="13"/>
        <v>703.88170604926177</v>
      </c>
      <c r="Q24" s="144">
        <f t="shared" ref="Q24:Q45" si="14">O24+P24</f>
        <v>3386.9017060492624</v>
      </c>
      <c r="R24" s="149">
        <f t="shared" si="10"/>
        <v>1128.9672353497542</v>
      </c>
      <c r="S24" s="42"/>
    </row>
    <row r="25" spans="1:19" s="40" customFormat="1" ht="11.25" x14ac:dyDescent="0.2">
      <c r="A25" s="143">
        <v>1000</v>
      </c>
      <c r="B25" s="100">
        <v>40</v>
      </c>
      <c r="C25" s="101">
        <f t="shared" si="0"/>
        <v>104</v>
      </c>
      <c r="D25" s="102">
        <f t="shared" si="1"/>
        <v>13</v>
      </c>
      <c r="E25" s="103">
        <v>8</v>
      </c>
      <c r="F25" s="104">
        <f t="shared" si="2"/>
        <v>21</v>
      </c>
      <c r="G25" s="105">
        <f t="shared" si="3"/>
        <v>2.3333333333333335</v>
      </c>
      <c r="H25" s="50">
        <f t="shared" si="4"/>
        <v>3</v>
      </c>
      <c r="I25" s="123">
        <f t="shared" si="5"/>
        <v>2.5</v>
      </c>
      <c r="J25" s="123">
        <v>2</v>
      </c>
      <c r="K25" s="124">
        <f t="shared" si="6"/>
        <v>637.52</v>
      </c>
      <c r="L25" s="126">
        <f t="shared" si="7"/>
        <v>426</v>
      </c>
      <c r="M25" s="125">
        <f t="shared" si="8"/>
        <v>1245</v>
      </c>
      <c r="N25" s="125">
        <f t="shared" si="11"/>
        <v>457.59</v>
      </c>
      <c r="O25" s="126">
        <f t="shared" si="12"/>
        <v>2766.11</v>
      </c>
      <c r="P25" s="124">
        <f t="shared" si="13"/>
        <v>725.68010149753752</v>
      </c>
      <c r="Q25" s="144">
        <f t="shared" si="14"/>
        <v>3491.7901014975378</v>
      </c>
      <c r="R25" s="149">
        <f t="shared" si="10"/>
        <v>1163.9300338325127</v>
      </c>
      <c r="S25" s="42"/>
    </row>
    <row r="26" spans="1:19" s="40" customFormat="1" ht="11.25" x14ac:dyDescent="0.2">
      <c r="A26" s="143">
        <v>1100</v>
      </c>
      <c r="B26" s="100">
        <v>40</v>
      </c>
      <c r="C26" s="101">
        <f t="shared" si="0"/>
        <v>114</v>
      </c>
      <c r="D26" s="102">
        <f t="shared" si="1"/>
        <v>14.25</v>
      </c>
      <c r="E26" s="103">
        <v>8</v>
      </c>
      <c r="F26" s="104">
        <f t="shared" si="2"/>
        <v>22.25</v>
      </c>
      <c r="G26" s="105">
        <f t="shared" si="3"/>
        <v>2.4722222222222223</v>
      </c>
      <c r="H26" s="50">
        <f t="shared" si="4"/>
        <v>3</v>
      </c>
      <c r="I26" s="123">
        <f t="shared" si="5"/>
        <v>2.5</v>
      </c>
      <c r="J26" s="123">
        <v>2</v>
      </c>
      <c r="K26" s="124">
        <f t="shared" si="6"/>
        <v>698.81999999999994</v>
      </c>
      <c r="L26" s="126">
        <f t="shared" si="7"/>
        <v>426</v>
      </c>
      <c r="M26" s="125">
        <f t="shared" si="8"/>
        <v>1245</v>
      </c>
      <c r="N26" s="125">
        <f t="shared" si="11"/>
        <v>501.16999999999996</v>
      </c>
      <c r="O26" s="126">
        <f t="shared" si="12"/>
        <v>2870.99</v>
      </c>
      <c r="P26" s="124">
        <f t="shared" si="13"/>
        <v>753.19503367487732</v>
      </c>
      <c r="Q26" s="144">
        <f t="shared" si="14"/>
        <v>3624.1850336748771</v>
      </c>
      <c r="R26" s="149">
        <f t="shared" si="10"/>
        <v>1208.0616778916258</v>
      </c>
      <c r="S26" s="42"/>
    </row>
    <row r="27" spans="1:19" s="40" customFormat="1" ht="11.25" x14ac:dyDescent="0.2">
      <c r="A27" s="143">
        <v>1200</v>
      </c>
      <c r="B27" s="100">
        <v>40</v>
      </c>
      <c r="C27" s="101">
        <f t="shared" si="0"/>
        <v>124</v>
      </c>
      <c r="D27" s="102">
        <f t="shared" si="1"/>
        <v>15.5</v>
      </c>
      <c r="E27" s="103">
        <v>8</v>
      </c>
      <c r="F27" s="104">
        <f t="shared" si="2"/>
        <v>23.5</v>
      </c>
      <c r="G27" s="105">
        <f t="shared" si="3"/>
        <v>2.6111111111111112</v>
      </c>
      <c r="H27" s="50">
        <f t="shared" si="4"/>
        <v>3</v>
      </c>
      <c r="I27" s="123">
        <f t="shared" si="5"/>
        <v>2.5</v>
      </c>
      <c r="J27" s="123">
        <v>2</v>
      </c>
      <c r="K27" s="124">
        <f t="shared" si="6"/>
        <v>760.12</v>
      </c>
      <c r="L27" s="126">
        <f t="shared" si="7"/>
        <v>426</v>
      </c>
      <c r="M27" s="125">
        <f t="shared" si="8"/>
        <v>1245</v>
      </c>
      <c r="N27" s="125">
        <f t="shared" si="11"/>
        <v>522.96</v>
      </c>
      <c r="O27" s="126">
        <f t="shared" si="12"/>
        <v>2954.08</v>
      </c>
      <c r="P27" s="124">
        <f t="shared" si="13"/>
        <v>774.99342912315331</v>
      </c>
      <c r="Q27" s="144">
        <f t="shared" si="14"/>
        <v>3729.0734291231533</v>
      </c>
      <c r="R27" s="149">
        <f t="shared" si="10"/>
        <v>1243.0244763743844</v>
      </c>
      <c r="S27" s="42"/>
    </row>
    <row r="28" spans="1:19" s="40" customFormat="1" ht="11.25" x14ac:dyDescent="0.2">
      <c r="A28" s="143">
        <v>1300</v>
      </c>
      <c r="B28" s="100">
        <v>40</v>
      </c>
      <c r="C28" s="101">
        <f t="shared" si="0"/>
        <v>134</v>
      </c>
      <c r="D28" s="102">
        <f t="shared" si="1"/>
        <v>16.75</v>
      </c>
      <c r="E28" s="103">
        <v>8</v>
      </c>
      <c r="F28" s="104">
        <f t="shared" si="2"/>
        <v>24.75</v>
      </c>
      <c r="G28" s="105">
        <f t="shared" si="3"/>
        <v>2.75</v>
      </c>
      <c r="H28" s="50">
        <f t="shared" si="4"/>
        <v>3</v>
      </c>
      <c r="I28" s="123">
        <f t="shared" si="5"/>
        <v>2.5</v>
      </c>
      <c r="J28" s="123">
        <v>2</v>
      </c>
      <c r="K28" s="124">
        <f t="shared" si="6"/>
        <v>821.42</v>
      </c>
      <c r="L28" s="126">
        <f t="shared" si="7"/>
        <v>426</v>
      </c>
      <c r="M28" s="125">
        <f t="shared" si="8"/>
        <v>1245</v>
      </c>
      <c r="N28" s="125">
        <f t="shared" si="11"/>
        <v>544.75</v>
      </c>
      <c r="O28" s="126">
        <f t="shared" si="12"/>
        <v>3037.17</v>
      </c>
      <c r="P28" s="124">
        <f t="shared" si="13"/>
        <v>796.79182457142917</v>
      </c>
      <c r="Q28" s="144">
        <f t="shared" si="14"/>
        <v>3833.9618245714291</v>
      </c>
      <c r="R28" s="149">
        <f t="shared" si="10"/>
        <v>1277.9872748571431</v>
      </c>
      <c r="S28" s="42"/>
    </row>
    <row r="29" spans="1:19" s="40" customFormat="1" ht="11.25" x14ac:dyDescent="0.2">
      <c r="A29" s="143">
        <v>1400</v>
      </c>
      <c r="B29" s="100">
        <v>40</v>
      </c>
      <c r="C29" s="101">
        <f t="shared" si="0"/>
        <v>144</v>
      </c>
      <c r="D29" s="102">
        <f t="shared" si="1"/>
        <v>18</v>
      </c>
      <c r="E29" s="103">
        <v>8</v>
      </c>
      <c r="F29" s="104">
        <f t="shared" si="2"/>
        <v>26</v>
      </c>
      <c r="G29" s="105">
        <f t="shared" si="3"/>
        <v>2.8888888888888888</v>
      </c>
      <c r="H29" s="50">
        <f t="shared" si="4"/>
        <v>3</v>
      </c>
      <c r="I29" s="123">
        <f t="shared" si="5"/>
        <v>2.5</v>
      </c>
      <c r="J29" s="123">
        <v>2</v>
      </c>
      <c r="K29" s="124">
        <f t="shared" si="6"/>
        <v>882.72</v>
      </c>
      <c r="L29" s="126">
        <f t="shared" si="7"/>
        <v>426</v>
      </c>
      <c r="M29" s="125">
        <f t="shared" si="8"/>
        <v>1245</v>
      </c>
      <c r="N29" s="125">
        <f t="shared" si="11"/>
        <v>566.54</v>
      </c>
      <c r="O29" s="126">
        <f t="shared" si="12"/>
        <v>3120.26</v>
      </c>
      <c r="P29" s="124">
        <f t="shared" si="13"/>
        <v>818.59022001970516</v>
      </c>
      <c r="Q29" s="144">
        <f t="shared" si="14"/>
        <v>3938.8502200197054</v>
      </c>
      <c r="R29" s="149">
        <f t="shared" si="10"/>
        <v>1312.9500733399018</v>
      </c>
      <c r="S29" s="42"/>
    </row>
    <row r="30" spans="1:19" s="40" customFormat="1" ht="11.25" x14ac:dyDescent="0.2">
      <c r="A30" s="143">
        <v>1500</v>
      </c>
      <c r="B30" s="100">
        <v>40</v>
      </c>
      <c r="C30" s="101">
        <f t="shared" si="0"/>
        <v>154</v>
      </c>
      <c r="D30" s="102">
        <f t="shared" si="1"/>
        <v>19.25</v>
      </c>
      <c r="E30" s="103">
        <v>8</v>
      </c>
      <c r="F30" s="104">
        <f t="shared" si="2"/>
        <v>27.25</v>
      </c>
      <c r="G30" s="105">
        <f t="shared" si="3"/>
        <v>3.0277777777777777</v>
      </c>
      <c r="H30" s="50">
        <f t="shared" si="4"/>
        <v>4</v>
      </c>
      <c r="I30" s="123">
        <f t="shared" si="5"/>
        <v>3.5</v>
      </c>
      <c r="J30" s="123">
        <v>2</v>
      </c>
      <c r="K30" s="124">
        <f t="shared" si="6"/>
        <v>944.02</v>
      </c>
      <c r="L30" s="126">
        <f t="shared" si="7"/>
        <v>568</v>
      </c>
      <c r="M30" s="125">
        <f t="shared" si="8"/>
        <v>1743</v>
      </c>
      <c r="N30" s="125">
        <f t="shared" si="11"/>
        <v>610.12</v>
      </c>
      <c r="O30" s="126">
        <f t="shared" si="12"/>
        <v>3865.14</v>
      </c>
      <c r="P30" s="124">
        <f t="shared" si="13"/>
        <v>1014.0071029359614</v>
      </c>
      <c r="Q30" s="144">
        <f t="shared" si="14"/>
        <v>4879.1471029359609</v>
      </c>
      <c r="R30" s="149">
        <f t="shared" si="10"/>
        <v>1219.7867757339902</v>
      </c>
      <c r="S30" s="42"/>
    </row>
    <row r="31" spans="1:19" s="40" customFormat="1" ht="11.25" x14ac:dyDescent="0.2">
      <c r="A31" s="143">
        <v>1600</v>
      </c>
      <c r="B31" s="100">
        <v>40</v>
      </c>
      <c r="C31" s="101">
        <f t="shared" si="0"/>
        <v>164</v>
      </c>
      <c r="D31" s="102">
        <f t="shared" si="1"/>
        <v>20.5</v>
      </c>
      <c r="E31" s="103">
        <v>8</v>
      </c>
      <c r="F31" s="104">
        <f t="shared" si="2"/>
        <v>28.5</v>
      </c>
      <c r="G31" s="105">
        <f t="shared" si="3"/>
        <v>3.1666666666666665</v>
      </c>
      <c r="H31" s="50">
        <f t="shared" si="4"/>
        <v>4</v>
      </c>
      <c r="I31" s="123">
        <f t="shared" si="5"/>
        <v>3.5</v>
      </c>
      <c r="J31" s="123">
        <v>2</v>
      </c>
      <c r="K31" s="124">
        <f t="shared" si="6"/>
        <v>1005.3199999999999</v>
      </c>
      <c r="L31" s="126">
        <f t="shared" si="7"/>
        <v>568</v>
      </c>
      <c r="M31" s="125">
        <f t="shared" si="8"/>
        <v>1743</v>
      </c>
      <c r="N31" s="125">
        <f t="shared" si="11"/>
        <v>631.91</v>
      </c>
      <c r="O31" s="126">
        <f t="shared" si="12"/>
        <v>3948.2299999999996</v>
      </c>
      <c r="P31" s="124">
        <f t="shared" si="13"/>
        <v>1035.8054983842371</v>
      </c>
      <c r="Q31" s="144">
        <f t="shared" si="14"/>
        <v>4984.0354983842371</v>
      </c>
      <c r="R31" s="149">
        <f t="shared" si="10"/>
        <v>1246.0088745960593</v>
      </c>
      <c r="S31" s="42"/>
    </row>
    <row r="32" spans="1:19" s="40" customFormat="1" ht="11.25" x14ac:dyDescent="0.2">
      <c r="A32" s="143">
        <v>1700</v>
      </c>
      <c r="B32" s="100">
        <v>40</v>
      </c>
      <c r="C32" s="101">
        <f t="shared" si="0"/>
        <v>174</v>
      </c>
      <c r="D32" s="102">
        <f t="shared" si="1"/>
        <v>21.75</v>
      </c>
      <c r="E32" s="103">
        <v>8</v>
      </c>
      <c r="F32" s="104">
        <f t="shared" si="2"/>
        <v>29.75</v>
      </c>
      <c r="G32" s="105">
        <f t="shared" si="3"/>
        <v>3.3055555555555554</v>
      </c>
      <c r="H32" s="50">
        <f t="shared" si="4"/>
        <v>4</v>
      </c>
      <c r="I32" s="123">
        <f t="shared" si="5"/>
        <v>3.5</v>
      </c>
      <c r="J32" s="123">
        <v>2</v>
      </c>
      <c r="K32" s="124">
        <f t="shared" si="6"/>
        <v>1066.6199999999999</v>
      </c>
      <c r="L32" s="126">
        <f t="shared" si="7"/>
        <v>568</v>
      </c>
      <c r="M32" s="125">
        <f t="shared" si="8"/>
        <v>1743</v>
      </c>
      <c r="N32" s="125">
        <f t="shared" si="11"/>
        <v>653.69999999999993</v>
      </c>
      <c r="O32" s="126">
        <f t="shared" si="12"/>
        <v>4031.3199999999997</v>
      </c>
      <c r="P32" s="124">
        <f t="shared" si="13"/>
        <v>1057.603893832513</v>
      </c>
      <c r="Q32" s="144">
        <f t="shared" si="14"/>
        <v>5088.9238938325125</v>
      </c>
      <c r="R32" s="149">
        <f t="shared" si="10"/>
        <v>1272.2309734581281</v>
      </c>
      <c r="S32" s="42"/>
    </row>
    <row r="33" spans="1:19" s="40" customFormat="1" ht="11.25" x14ac:dyDescent="0.2">
      <c r="A33" s="143">
        <v>1800</v>
      </c>
      <c r="B33" s="100">
        <v>40</v>
      </c>
      <c r="C33" s="101">
        <f t="shared" si="0"/>
        <v>184</v>
      </c>
      <c r="D33" s="102">
        <f t="shared" si="1"/>
        <v>23</v>
      </c>
      <c r="E33" s="103">
        <v>8</v>
      </c>
      <c r="F33" s="104">
        <f t="shared" si="2"/>
        <v>31</v>
      </c>
      <c r="G33" s="105">
        <f t="shared" si="3"/>
        <v>3.4444444444444446</v>
      </c>
      <c r="H33" s="50">
        <f t="shared" si="4"/>
        <v>4</v>
      </c>
      <c r="I33" s="123">
        <f t="shared" si="5"/>
        <v>3.5</v>
      </c>
      <c r="J33" s="123">
        <v>2</v>
      </c>
      <c r="K33" s="124">
        <f t="shared" si="6"/>
        <v>1127.92</v>
      </c>
      <c r="L33" s="126">
        <f t="shared" si="7"/>
        <v>568</v>
      </c>
      <c r="M33" s="125">
        <f t="shared" si="8"/>
        <v>1743</v>
      </c>
      <c r="N33" s="125">
        <f t="shared" si="11"/>
        <v>675.49</v>
      </c>
      <c r="O33" s="126">
        <f t="shared" si="12"/>
        <v>4114.41</v>
      </c>
      <c r="P33" s="124">
        <f t="shared" si="13"/>
        <v>1079.4022892807889</v>
      </c>
      <c r="Q33" s="144">
        <f t="shared" si="14"/>
        <v>5193.8122892807887</v>
      </c>
      <c r="R33" s="149">
        <f t="shared" si="10"/>
        <v>1298.4530723201972</v>
      </c>
      <c r="S33" s="42"/>
    </row>
    <row r="34" spans="1:19" s="40" customFormat="1" ht="11.25" x14ac:dyDescent="0.2">
      <c r="A34" s="143">
        <v>1900</v>
      </c>
      <c r="B34" s="100">
        <v>40</v>
      </c>
      <c r="C34" s="101">
        <f t="shared" si="0"/>
        <v>194</v>
      </c>
      <c r="D34" s="102">
        <f t="shared" si="1"/>
        <v>24.25</v>
      </c>
      <c r="E34" s="103">
        <v>8</v>
      </c>
      <c r="F34" s="104">
        <f t="shared" si="2"/>
        <v>32.25</v>
      </c>
      <c r="G34" s="105">
        <f t="shared" si="3"/>
        <v>3.5833333333333335</v>
      </c>
      <c r="H34" s="50">
        <f t="shared" si="4"/>
        <v>4</v>
      </c>
      <c r="I34" s="123">
        <f t="shared" si="5"/>
        <v>3.5</v>
      </c>
      <c r="J34" s="123">
        <v>2</v>
      </c>
      <c r="K34" s="124">
        <f t="shared" si="6"/>
        <v>1189.22</v>
      </c>
      <c r="L34" s="126">
        <f t="shared" si="7"/>
        <v>568</v>
      </c>
      <c r="M34" s="125">
        <f t="shared" si="8"/>
        <v>1743</v>
      </c>
      <c r="N34" s="125">
        <f t="shared" si="11"/>
        <v>719.06999999999994</v>
      </c>
      <c r="O34" s="126">
        <f t="shared" si="12"/>
        <v>4219.29</v>
      </c>
      <c r="P34" s="124">
        <f t="shared" si="13"/>
        <v>1106.917221458129</v>
      </c>
      <c r="Q34" s="144">
        <f t="shared" si="14"/>
        <v>5326.2072214581294</v>
      </c>
      <c r="R34" s="149">
        <f t="shared" si="10"/>
        <v>1331.5518053645324</v>
      </c>
      <c r="S34" s="42"/>
    </row>
    <row r="35" spans="1:19" s="40" customFormat="1" ht="11.25" x14ac:dyDescent="0.2">
      <c r="A35" s="143">
        <v>2000</v>
      </c>
      <c r="B35" s="100">
        <v>40</v>
      </c>
      <c r="C35" s="101">
        <f t="shared" si="0"/>
        <v>204</v>
      </c>
      <c r="D35" s="102">
        <f t="shared" si="1"/>
        <v>25.5</v>
      </c>
      <c r="E35" s="103">
        <v>8</v>
      </c>
      <c r="F35" s="104">
        <f t="shared" si="2"/>
        <v>33.5</v>
      </c>
      <c r="G35" s="105">
        <f t="shared" si="3"/>
        <v>3.7222222222222223</v>
      </c>
      <c r="H35" s="50">
        <f t="shared" si="4"/>
        <v>4</v>
      </c>
      <c r="I35" s="123">
        <f t="shared" si="5"/>
        <v>3.5</v>
      </c>
      <c r="J35" s="123">
        <v>2</v>
      </c>
      <c r="K35" s="124">
        <f t="shared" si="6"/>
        <v>1250.52</v>
      </c>
      <c r="L35" s="126">
        <f t="shared" si="7"/>
        <v>568</v>
      </c>
      <c r="M35" s="125">
        <f t="shared" si="8"/>
        <v>1743</v>
      </c>
      <c r="N35" s="125">
        <f t="shared" si="11"/>
        <v>740.86</v>
      </c>
      <c r="O35" s="126">
        <f t="shared" si="12"/>
        <v>4302.38</v>
      </c>
      <c r="P35" s="124">
        <f t="shared" si="13"/>
        <v>1128.7156169064049</v>
      </c>
      <c r="Q35" s="144">
        <f t="shared" si="14"/>
        <v>5431.0956169064048</v>
      </c>
      <c r="R35" s="149">
        <f t="shared" si="10"/>
        <v>1357.7739042266012</v>
      </c>
      <c r="S35" s="42"/>
    </row>
    <row r="36" spans="1:19" s="40" customFormat="1" ht="11.25" x14ac:dyDescent="0.2">
      <c r="A36" s="143">
        <v>2100</v>
      </c>
      <c r="B36" s="100">
        <v>40</v>
      </c>
      <c r="C36" s="101">
        <f t="shared" si="0"/>
        <v>214</v>
      </c>
      <c r="D36" s="102">
        <f t="shared" si="1"/>
        <v>26.75</v>
      </c>
      <c r="E36" s="103">
        <v>8</v>
      </c>
      <c r="F36" s="104">
        <f t="shared" si="2"/>
        <v>34.75</v>
      </c>
      <c r="G36" s="105">
        <f t="shared" si="3"/>
        <v>3.8611111111111112</v>
      </c>
      <c r="H36" s="50">
        <f t="shared" si="4"/>
        <v>4</v>
      </c>
      <c r="I36" s="123">
        <f t="shared" si="5"/>
        <v>3.5</v>
      </c>
      <c r="J36" s="123">
        <v>2</v>
      </c>
      <c r="K36" s="124">
        <f t="shared" si="6"/>
        <v>1311.82</v>
      </c>
      <c r="L36" s="126">
        <f t="shared" si="7"/>
        <v>568</v>
      </c>
      <c r="M36" s="125">
        <f t="shared" si="8"/>
        <v>1743</v>
      </c>
      <c r="N36" s="125">
        <f t="shared" si="11"/>
        <v>762.65</v>
      </c>
      <c r="O36" s="126">
        <f t="shared" si="12"/>
        <v>4385.4699999999993</v>
      </c>
      <c r="P36" s="124">
        <f t="shared" si="13"/>
        <v>1150.5140123546805</v>
      </c>
      <c r="Q36" s="144">
        <f t="shared" si="14"/>
        <v>5535.9840123546801</v>
      </c>
      <c r="R36" s="149">
        <f t="shared" si="10"/>
        <v>1383.99600308867</v>
      </c>
      <c r="S36" s="42"/>
    </row>
    <row r="37" spans="1:19" s="40" customFormat="1" ht="11.25" x14ac:dyDescent="0.2">
      <c r="A37" s="143">
        <v>2200</v>
      </c>
      <c r="B37" s="100">
        <v>40</v>
      </c>
      <c r="C37" s="101">
        <f t="shared" si="0"/>
        <v>224</v>
      </c>
      <c r="D37" s="102">
        <f t="shared" si="1"/>
        <v>28</v>
      </c>
      <c r="E37" s="103">
        <v>8</v>
      </c>
      <c r="F37" s="104">
        <f t="shared" si="2"/>
        <v>36</v>
      </c>
      <c r="G37" s="105">
        <f t="shared" si="3"/>
        <v>4</v>
      </c>
      <c r="H37" s="50">
        <f t="shared" si="4"/>
        <v>4</v>
      </c>
      <c r="I37" s="123">
        <f t="shared" si="5"/>
        <v>3.5</v>
      </c>
      <c r="J37" s="123">
        <v>2</v>
      </c>
      <c r="K37" s="124">
        <f t="shared" si="6"/>
        <v>1373.12</v>
      </c>
      <c r="L37" s="126">
        <f t="shared" si="7"/>
        <v>568</v>
      </c>
      <c r="M37" s="125">
        <f t="shared" si="8"/>
        <v>1743</v>
      </c>
      <c r="N37" s="125">
        <f t="shared" si="11"/>
        <v>784.43999999999994</v>
      </c>
      <c r="O37" s="126">
        <f t="shared" si="12"/>
        <v>4468.5599999999995</v>
      </c>
      <c r="P37" s="124">
        <f t="shared" si="13"/>
        <v>1172.3124078029564</v>
      </c>
      <c r="Q37" s="144">
        <f t="shared" si="14"/>
        <v>5640.8724078029554</v>
      </c>
      <c r="R37" s="149">
        <f t="shared" si="10"/>
        <v>1410.2181019507389</v>
      </c>
      <c r="S37" s="42"/>
    </row>
    <row r="38" spans="1:19" s="40" customFormat="1" ht="11.25" x14ac:dyDescent="0.2">
      <c r="A38" s="143">
        <v>2300</v>
      </c>
      <c r="B38" s="100">
        <v>40</v>
      </c>
      <c r="C38" s="101">
        <f t="shared" si="0"/>
        <v>234</v>
      </c>
      <c r="D38" s="102">
        <f t="shared" si="1"/>
        <v>29.25</v>
      </c>
      <c r="E38" s="103">
        <v>8</v>
      </c>
      <c r="F38" s="104">
        <f t="shared" si="2"/>
        <v>37.25</v>
      </c>
      <c r="G38" s="105">
        <f t="shared" si="3"/>
        <v>4.1388888888888893</v>
      </c>
      <c r="H38" s="50">
        <f t="shared" si="4"/>
        <v>5</v>
      </c>
      <c r="I38" s="123">
        <f t="shared" si="5"/>
        <v>4.5</v>
      </c>
      <c r="J38" s="123">
        <v>2</v>
      </c>
      <c r="K38" s="124">
        <f t="shared" si="6"/>
        <v>1434.42</v>
      </c>
      <c r="L38" s="126">
        <f t="shared" si="7"/>
        <v>710</v>
      </c>
      <c r="M38" s="125">
        <f t="shared" si="8"/>
        <v>2241</v>
      </c>
      <c r="N38" s="125">
        <f t="shared" si="11"/>
        <v>828.02</v>
      </c>
      <c r="O38" s="126">
        <f t="shared" si="12"/>
        <v>5213.4400000000005</v>
      </c>
      <c r="P38" s="124">
        <f t="shared" si="13"/>
        <v>1367.7292907192129</v>
      </c>
      <c r="Q38" s="144">
        <f t="shared" si="14"/>
        <v>6581.1692907192137</v>
      </c>
      <c r="R38" s="149">
        <f t="shared" si="10"/>
        <v>1316.2338581438428</v>
      </c>
      <c r="S38" s="42"/>
    </row>
    <row r="39" spans="1:19" s="40" customFormat="1" ht="11.25" x14ac:dyDescent="0.2">
      <c r="A39" s="143">
        <v>2400</v>
      </c>
      <c r="B39" s="100">
        <v>40</v>
      </c>
      <c r="C39" s="101">
        <f t="shared" si="0"/>
        <v>244</v>
      </c>
      <c r="D39" s="102">
        <f t="shared" si="1"/>
        <v>30.5</v>
      </c>
      <c r="E39" s="103">
        <v>8</v>
      </c>
      <c r="F39" s="104">
        <f t="shared" si="2"/>
        <v>38.5</v>
      </c>
      <c r="G39" s="105">
        <f t="shared" si="3"/>
        <v>4.2777777777777777</v>
      </c>
      <c r="H39" s="50">
        <f t="shared" si="4"/>
        <v>5</v>
      </c>
      <c r="I39" s="123">
        <f t="shared" si="5"/>
        <v>4.5</v>
      </c>
      <c r="J39" s="123">
        <v>2</v>
      </c>
      <c r="K39" s="124">
        <f t="shared" si="6"/>
        <v>1495.72</v>
      </c>
      <c r="L39" s="126">
        <f t="shared" si="7"/>
        <v>710</v>
      </c>
      <c r="M39" s="125">
        <f t="shared" si="8"/>
        <v>2241</v>
      </c>
      <c r="N39" s="125">
        <f t="shared" si="11"/>
        <v>849.81</v>
      </c>
      <c r="O39" s="126">
        <f t="shared" si="12"/>
        <v>5296.5300000000007</v>
      </c>
      <c r="P39" s="124">
        <f t="shared" si="13"/>
        <v>1389.5276861674888</v>
      </c>
      <c r="Q39" s="144">
        <f t="shared" si="14"/>
        <v>6686.057686167489</v>
      </c>
      <c r="R39" s="149">
        <f t="shared" si="10"/>
        <v>1337.2115372334979</v>
      </c>
      <c r="S39" s="42"/>
    </row>
    <row r="40" spans="1:19" s="40" customFormat="1" ht="11.25" x14ac:dyDescent="0.2">
      <c r="A40" s="143">
        <v>2500</v>
      </c>
      <c r="B40" s="100">
        <v>40</v>
      </c>
      <c r="C40" s="101">
        <f t="shared" si="0"/>
        <v>254</v>
      </c>
      <c r="D40" s="102">
        <f t="shared" si="1"/>
        <v>31.75</v>
      </c>
      <c r="E40" s="103">
        <v>8</v>
      </c>
      <c r="F40" s="104">
        <f t="shared" si="2"/>
        <v>39.75</v>
      </c>
      <c r="G40" s="105">
        <f t="shared" si="3"/>
        <v>4.416666666666667</v>
      </c>
      <c r="H40" s="50">
        <f t="shared" si="4"/>
        <v>5</v>
      </c>
      <c r="I40" s="123">
        <f t="shared" si="5"/>
        <v>4.5</v>
      </c>
      <c r="J40" s="123">
        <v>2</v>
      </c>
      <c r="K40" s="124">
        <f t="shared" si="6"/>
        <v>1557.02</v>
      </c>
      <c r="L40" s="126">
        <f t="shared" si="7"/>
        <v>710</v>
      </c>
      <c r="M40" s="125">
        <f t="shared" si="8"/>
        <v>2241</v>
      </c>
      <c r="N40" s="125">
        <f t="shared" si="11"/>
        <v>871.59999999999991</v>
      </c>
      <c r="O40" s="126">
        <f t="shared" si="12"/>
        <v>5379.6200000000008</v>
      </c>
      <c r="P40" s="124">
        <f t="shared" si="13"/>
        <v>1411.3260816157649</v>
      </c>
      <c r="Q40" s="144">
        <f t="shared" si="14"/>
        <v>6790.9460816157662</v>
      </c>
      <c r="R40" s="149">
        <f t="shared" si="10"/>
        <v>1358.1892163231532</v>
      </c>
      <c r="S40" s="42"/>
    </row>
    <row r="41" spans="1:19" s="40" customFormat="1" ht="11.25" x14ac:dyDescent="0.2">
      <c r="A41" s="143">
        <v>2600</v>
      </c>
      <c r="B41" s="100">
        <v>40</v>
      </c>
      <c r="C41" s="101">
        <f t="shared" si="0"/>
        <v>264</v>
      </c>
      <c r="D41" s="102">
        <f t="shared" si="1"/>
        <v>33</v>
      </c>
      <c r="E41" s="103">
        <v>8</v>
      </c>
      <c r="F41" s="104">
        <f t="shared" si="2"/>
        <v>41</v>
      </c>
      <c r="G41" s="105">
        <f t="shared" si="3"/>
        <v>4.5555555555555554</v>
      </c>
      <c r="H41" s="50">
        <f t="shared" si="4"/>
        <v>5</v>
      </c>
      <c r="I41" s="123">
        <f t="shared" si="5"/>
        <v>4.5</v>
      </c>
      <c r="J41" s="123">
        <v>2</v>
      </c>
      <c r="K41" s="124">
        <f t="shared" si="6"/>
        <v>1618.32</v>
      </c>
      <c r="L41" s="126">
        <f t="shared" si="7"/>
        <v>710</v>
      </c>
      <c r="M41" s="125">
        <f t="shared" si="8"/>
        <v>2241</v>
      </c>
      <c r="N41" s="125">
        <f t="shared" si="11"/>
        <v>893.39</v>
      </c>
      <c r="O41" s="126">
        <f t="shared" si="12"/>
        <v>5462.71</v>
      </c>
      <c r="P41" s="124">
        <f t="shared" si="13"/>
        <v>1433.1244770640405</v>
      </c>
      <c r="Q41" s="144">
        <f t="shared" si="14"/>
        <v>6895.8344770640406</v>
      </c>
      <c r="R41" s="149">
        <f t="shared" si="10"/>
        <v>1379.1668954128081</v>
      </c>
      <c r="S41" s="42"/>
    </row>
    <row r="42" spans="1:19" s="40" customFormat="1" ht="11.25" x14ac:dyDescent="0.2">
      <c r="A42" s="143">
        <v>2700</v>
      </c>
      <c r="B42" s="100">
        <v>40</v>
      </c>
      <c r="C42" s="101">
        <f t="shared" si="0"/>
        <v>274</v>
      </c>
      <c r="D42" s="102">
        <f t="shared" si="1"/>
        <v>34.25</v>
      </c>
      <c r="E42" s="103">
        <v>8</v>
      </c>
      <c r="F42" s="104">
        <f t="shared" si="2"/>
        <v>42.25</v>
      </c>
      <c r="G42" s="105">
        <f t="shared" si="3"/>
        <v>4.6944444444444446</v>
      </c>
      <c r="H42" s="50">
        <f t="shared" si="4"/>
        <v>5</v>
      </c>
      <c r="I42" s="123">
        <f t="shared" si="5"/>
        <v>4.5</v>
      </c>
      <c r="J42" s="123">
        <v>2</v>
      </c>
      <c r="K42" s="124">
        <f t="shared" si="6"/>
        <v>1679.62</v>
      </c>
      <c r="L42" s="126">
        <f t="shared" si="7"/>
        <v>710</v>
      </c>
      <c r="M42" s="125">
        <f t="shared" si="8"/>
        <v>2241</v>
      </c>
      <c r="N42" s="125">
        <f t="shared" si="11"/>
        <v>936.96999999999991</v>
      </c>
      <c r="O42" s="126">
        <f t="shared" si="12"/>
        <v>5567.59</v>
      </c>
      <c r="P42" s="124">
        <f t="shared" si="13"/>
        <v>1460.6394092413805</v>
      </c>
      <c r="Q42" s="144">
        <f t="shared" si="14"/>
        <v>7028.2294092413804</v>
      </c>
      <c r="R42" s="149">
        <f t="shared" si="10"/>
        <v>1405.6458818482761</v>
      </c>
      <c r="S42" s="42"/>
    </row>
    <row r="43" spans="1:19" s="40" customFormat="1" ht="11.25" x14ac:dyDescent="0.2">
      <c r="A43" s="143">
        <v>2800</v>
      </c>
      <c r="B43" s="100">
        <v>40</v>
      </c>
      <c r="C43" s="101">
        <f t="shared" si="0"/>
        <v>284</v>
      </c>
      <c r="D43" s="102">
        <f t="shared" si="1"/>
        <v>35.5</v>
      </c>
      <c r="E43" s="103">
        <v>8</v>
      </c>
      <c r="F43" s="104">
        <f t="shared" si="2"/>
        <v>43.5</v>
      </c>
      <c r="G43" s="105">
        <f t="shared" si="3"/>
        <v>4.833333333333333</v>
      </c>
      <c r="H43" s="50">
        <f t="shared" si="4"/>
        <v>5</v>
      </c>
      <c r="I43" s="123">
        <f t="shared" si="5"/>
        <v>4.5</v>
      </c>
      <c r="J43" s="123">
        <v>2</v>
      </c>
      <c r="K43" s="124">
        <f t="shared" si="6"/>
        <v>1740.92</v>
      </c>
      <c r="L43" s="126">
        <f t="shared" si="7"/>
        <v>710</v>
      </c>
      <c r="M43" s="125">
        <f t="shared" si="8"/>
        <v>2241</v>
      </c>
      <c r="N43" s="125">
        <f t="shared" si="11"/>
        <v>958.76</v>
      </c>
      <c r="O43" s="126">
        <f t="shared" si="12"/>
        <v>5650.68</v>
      </c>
      <c r="P43" s="124">
        <f t="shared" si="13"/>
        <v>1482.4378046896563</v>
      </c>
      <c r="Q43" s="144">
        <f t="shared" si="14"/>
        <v>7133.1178046896566</v>
      </c>
      <c r="R43" s="149">
        <f t="shared" si="10"/>
        <v>1426.6235609379314</v>
      </c>
      <c r="S43" s="42"/>
    </row>
    <row r="44" spans="1:19" s="40" customFormat="1" ht="11.25" x14ac:dyDescent="0.2">
      <c r="A44" s="143">
        <v>2900</v>
      </c>
      <c r="B44" s="100">
        <v>40</v>
      </c>
      <c r="C44" s="101">
        <f t="shared" si="0"/>
        <v>294</v>
      </c>
      <c r="D44" s="102">
        <f t="shared" si="1"/>
        <v>36.75</v>
      </c>
      <c r="E44" s="103">
        <v>8</v>
      </c>
      <c r="F44" s="104">
        <f t="shared" si="2"/>
        <v>44.75</v>
      </c>
      <c r="G44" s="105">
        <f t="shared" si="3"/>
        <v>4.9722222222222223</v>
      </c>
      <c r="H44" s="50">
        <f t="shared" si="4"/>
        <v>5</v>
      </c>
      <c r="I44" s="123">
        <f t="shared" si="5"/>
        <v>4.5</v>
      </c>
      <c r="J44" s="123">
        <v>2</v>
      </c>
      <c r="K44" s="124">
        <f t="shared" si="6"/>
        <v>1802.22</v>
      </c>
      <c r="L44" s="126">
        <f t="shared" si="7"/>
        <v>710</v>
      </c>
      <c r="M44" s="125">
        <f t="shared" si="8"/>
        <v>2241</v>
      </c>
      <c r="N44" s="125">
        <f t="shared" si="11"/>
        <v>980.55</v>
      </c>
      <c r="O44" s="126">
        <f t="shared" si="12"/>
        <v>5733.77</v>
      </c>
      <c r="P44" s="124">
        <f t="shared" si="13"/>
        <v>1504.2362001379322</v>
      </c>
      <c r="Q44" s="144">
        <f t="shared" si="14"/>
        <v>7238.0062001379329</v>
      </c>
      <c r="R44" s="149">
        <f t="shared" si="10"/>
        <v>1447.6012400275865</v>
      </c>
      <c r="S44" s="42"/>
    </row>
    <row r="45" spans="1:19" s="40" customFormat="1" ht="11.25" x14ac:dyDescent="0.2">
      <c r="A45" s="143">
        <v>3000</v>
      </c>
      <c r="B45" s="100">
        <v>40</v>
      </c>
      <c r="C45" s="101">
        <f t="shared" si="0"/>
        <v>304</v>
      </c>
      <c r="D45" s="102">
        <f t="shared" si="1"/>
        <v>38</v>
      </c>
      <c r="E45" s="103">
        <v>8</v>
      </c>
      <c r="F45" s="104">
        <f t="shared" si="2"/>
        <v>46</v>
      </c>
      <c r="G45" s="105">
        <f t="shared" si="3"/>
        <v>5.1111111111111107</v>
      </c>
      <c r="H45" s="50">
        <f t="shared" si="4"/>
        <v>6</v>
      </c>
      <c r="I45" s="123">
        <f t="shared" si="5"/>
        <v>5.5</v>
      </c>
      <c r="J45" s="123">
        <v>2</v>
      </c>
      <c r="K45" s="124">
        <f t="shared" si="6"/>
        <v>1863.52</v>
      </c>
      <c r="L45" s="126">
        <f t="shared" si="7"/>
        <v>852</v>
      </c>
      <c r="M45" s="125">
        <f t="shared" si="8"/>
        <v>2739</v>
      </c>
      <c r="N45" s="125">
        <f t="shared" si="11"/>
        <v>1002.3399999999999</v>
      </c>
      <c r="O45" s="126">
        <f t="shared" si="12"/>
        <v>6456.8600000000006</v>
      </c>
      <c r="P45" s="124">
        <f t="shared" si="13"/>
        <v>1693.9365463251245</v>
      </c>
      <c r="Q45" s="144">
        <f t="shared" si="14"/>
        <v>8150.7965463251248</v>
      </c>
      <c r="R45" s="149">
        <f t="shared" si="10"/>
        <v>1358.4660910541875</v>
      </c>
      <c r="S45" s="42"/>
    </row>
    <row r="46" spans="1:19" s="44" customFormat="1" ht="11.25" x14ac:dyDescent="0.2">
      <c r="D46" s="45"/>
      <c r="E46" s="46"/>
      <c r="F46" s="47"/>
      <c r="G46" s="48"/>
      <c r="H46" s="48"/>
      <c r="I46" s="48"/>
      <c r="J46" s="48"/>
      <c r="K46" s="48"/>
      <c r="N46" s="88"/>
      <c r="P46" s="40"/>
      <c r="Q46" s="49"/>
      <c r="R46" s="150"/>
    </row>
    <row r="47" spans="1:19" x14ac:dyDescent="0.2">
      <c r="Q47" s="155" t="s">
        <v>148</v>
      </c>
      <c r="R47" s="156">
        <f>AVERAGE(R16:R45)</f>
        <v>1235.3003025519213</v>
      </c>
    </row>
    <row r="52" spans="10:18" s="29" customFormat="1" ht="11.25" x14ac:dyDescent="0.2">
      <c r="J52" s="81"/>
      <c r="N52" s="85"/>
      <c r="R52" s="66"/>
    </row>
    <row r="53" spans="10:18" s="29" customFormat="1" ht="11.25" x14ac:dyDescent="0.2">
      <c r="J53" s="81"/>
      <c r="N53" s="85"/>
      <c r="R53" s="66"/>
    </row>
    <row r="54" spans="10:18" s="29" customFormat="1" ht="11.25" x14ac:dyDescent="0.2">
      <c r="J54" s="81"/>
      <c r="N54" s="85"/>
      <c r="R54" s="66"/>
    </row>
    <row r="55" spans="10:18" s="29" customFormat="1" ht="11.25" x14ac:dyDescent="0.2">
      <c r="J55" s="81"/>
      <c r="N55" s="85"/>
      <c r="R55" s="66"/>
    </row>
    <row r="56" spans="10:18" s="29" customFormat="1" ht="11.25" x14ac:dyDescent="0.2">
      <c r="J56" s="81"/>
      <c r="N56" s="85"/>
      <c r="R56" s="66"/>
    </row>
    <row r="57" spans="10:18" s="29" customFormat="1" ht="11.25" x14ac:dyDescent="0.2">
      <c r="J57" s="81"/>
      <c r="N57" s="85"/>
      <c r="R57" s="66"/>
    </row>
    <row r="59" spans="10:18" s="29" customFormat="1" ht="11.25" x14ac:dyDescent="0.2">
      <c r="J59" s="81"/>
      <c r="N59" s="85"/>
      <c r="R59" s="66"/>
    </row>
  </sheetData>
  <mergeCells count="1">
    <mergeCell ref="A12:E12"/>
  </mergeCells>
  <pageMargins left="0.78740157480314965" right="0.78740157480314965" top="0.98425196850393704" bottom="0.98425196850393704" header="0.51181102362204722" footer="0.51181102362204722"/>
  <pageSetup paperSize="9" scale="50" firstPageNumber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6"/>
  <sheetViews>
    <sheetView zoomScaleNormal="100" workbookViewId="0">
      <selection activeCell="H4" sqref="H4"/>
    </sheetView>
  </sheetViews>
  <sheetFormatPr defaultColWidth="8" defaultRowHeight="12.75" x14ac:dyDescent="0.2"/>
  <cols>
    <col min="1" max="3" width="15.83203125" style="29" customWidth="1"/>
    <col min="4" max="4" width="15.83203125" style="30" customWidth="1"/>
    <col min="5" max="5" width="15.83203125" style="31" customWidth="1"/>
    <col min="6" max="6" width="15.83203125" style="32" customWidth="1"/>
    <col min="7" max="9" width="15.83203125" style="33" customWidth="1"/>
    <col min="10" max="10" width="15.83203125" style="118" customWidth="1"/>
    <col min="11" max="11" width="15.83203125" style="33" customWidth="1"/>
    <col min="12" max="13" width="15.83203125" style="29" customWidth="1"/>
    <col min="14" max="14" width="15.83203125" style="117" customWidth="1"/>
    <col min="15" max="15" width="15.83203125" style="29" customWidth="1"/>
    <col min="16" max="16" width="15.83203125" style="34" customWidth="1"/>
    <col min="17" max="17" width="15.83203125" style="35" customWidth="1"/>
    <col min="18" max="18" width="15.83203125" style="63" customWidth="1"/>
    <col min="19" max="1025" width="8" style="29"/>
  </cols>
  <sheetData>
    <row r="1" spans="1:19" ht="15.75" x14ac:dyDescent="0.25">
      <c r="A1" s="183" t="s">
        <v>165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62"/>
    </row>
    <row r="2" spans="1:19" x14ac:dyDescent="0.2">
      <c r="A2" s="161" t="s">
        <v>122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62"/>
    </row>
    <row r="3" spans="1:19" s="38" customFormat="1" ht="11.25" x14ac:dyDescent="0.2">
      <c r="A3" s="198"/>
      <c r="B3" s="199"/>
      <c r="C3" s="199"/>
      <c r="D3" s="199"/>
      <c r="E3" s="199"/>
      <c r="F3" s="199"/>
      <c r="G3" s="37"/>
      <c r="H3" s="37"/>
      <c r="I3" s="37"/>
      <c r="J3" s="120"/>
      <c r="K3" s="37"/>
      <c r="N3" s="121"/>
      <c r="P3" s="34"/>
      <c r="Q3" s="34"/>
      <c r="R3" s="64"/>
    </row>
    <row r="4" spans="1:19" x14ac:dyDescent="0.2">
      <c r="A4" s="53" t="s">
        <v>123</v>
      </c>
      <c r="B4" s="128"/>
      <c r="C4" s="128"/>
      <c r="D4" s="128"/>
      <c r="E4" s="128"/>
      <c r="F4" s="128"/>
    </row>
    <row r="5" spans="1:19" x14ac:dyDescent="0.2">
      <c r="A5" s="80" t="s">
        <v>93</v>
      </c>
      <c r="B5" s="79"/>
      <c r="C5" s="79"/>
      <c r="D5" s="79"/>
      <c r="E5" s="115"/>
      <c r="F5" s="95">
        <f>'Deslocamento 1 município'!F5</f>
        <v>80</v>
      </c>
    </row>
    <row r="6" spans="1:19" x14ac:dyDescent="0.2">
      <c r="A6" s="80" t="s">
        <v>94</v>
      </c>
      <c r="B6" s="79"/>
      <c r="C6" s="79"/>
      <c r="D6" s="79"/>
      <c r="E6" s="115"/>
      <c r="F6" s="95">
        <f>'Deslocamento 1 município'!F6</f>
        <v>4</v>
      </c>
      <c r="K6" s="118"/>
    </row>
    <row r="7" spans="1:19" x14ac:dyDescent="0.2">
      <c r="A7" s="192" t="s">
        <v>95</v>
      </c>
      <c r="B7" s="193"/>
      <c r="C7" s="193"/>
      <c r="D7" s="193"/>
      <c r="E7" s="194"/>
      <c r="F7" s="188">
        <v>142</v>
      </c>
      <c r="K7" s="118"/>
    </row>
    <row r="8" spans="1:19" x14ac:dyDescent="0.2">
      <c r="A8" s="195" t="s">
        <v>96</v>
      </c>
      <c r="B8" s="196"/>
      <c r="C8" s="196"/>
      <c r="D8" s="196"/>
      <c r="E8" s="197"/>
      <c r="F8" s="95" t="str">
        <f>'Deslocamento 1 município'!F8</f>
        <v>20Km</v>
      </c>
      <c r="K8" s="118"/>
    </row>
    <row r="9" spans="1:19" x14ac:dyDescent="0.2">
      <c r="A9" s="192" t="s">
        <v>98</v>
      </c>
      <c r="B9" s="193"/>
      <c r="C9" s="193"/>
      <c r="D9" s="193"/>
      <c r="E9" s="194"/>
      <c r="F9" s="190">
        <v>6.13</v>
      </c>
      <c r="K9" s="118"/>
    </row>
    <row r="10" spans="1:19" x14ac:dyDescent="0.2">
      <c r="A10" s="195" t="s">
        <v>99</v>
      </c>
      <c r="B10" s="196"/>
      <c r="C10" s="196"/>
      <c r="D10" s="196"/>
      <c r="E10" s="197"/>
      <c r="F10" s="95">
        <f>'Deslocamento 1 município'!F10</f>
        <v>10</v>
      </c>
      <c r="K10" s="118"/>
    </row>
    <row r="11" spans="1:19" s="38" customFormat="1" ht="11.25" x14ac:dyDescent="0.2">
      <c r="A11" s="192" t="s">
        <v>100</v>
      </c>
      <c r="B11" s="193"/>
      <c r="C11" s="193"/>
      <c r="D11" s="193"/>
      <c r="E11" s="194"/>
      <c r="F11" s="188">
        <v>249</v>
      </c>
      <c r="G11" s="37"/>
      <c r="H11" s="37"/>
      <c r="I11" s="37"/>
      <c r="J11" s="120"/>
      <c r="K11" s="118"/>
      <c r="N11" s="121"/>
      <c r="P11" s="34"/>
      <c r="Q11" s="34"/>
      <c r="R11" s="64"/>
    </row>
    <row r="12" spans="1:19" x14ac:dyDescent="0.2">
      <c r="A12" s="247" t="s">
        <v>164</v>
      </c>
      <c r="B12" s="248"/>
      <c r="C12" s="248"/>
      <c r="D12" s="248"/>
      <c r="E12" s="249"/>
      <c r="F12" s="182">
        <f>'Deslocamento 1 município'!F12</f>
        <v>21.79</v>
      </c>
      <c r="K12" s="118"/>
    </row>
    <row r="13" spans="1:19" x14ac:dyDescent="0.2">
      <c r="A13" s="185" t="s">
        <v>167</v>
      </c>
      <c r="B13" s="39"/>
      <c r="C13" s="39"/>
    </row>
    <row r="14" spans="1:19" s="40" customFormat="1" ht="90" x14ac:dyDescent="0.2">
      <c r="A14" s="131" t="s">
        <v>101</v>
      </c>
      <c r="B14" s="146" t="s">
        <v>120</v>
      </c>
      <c r="C14" s="131" t="s">
        <v>102</v>
      </c>
      <c r="D14" s="133" t="s">
        <v>103</v>
      </c>
      <c r="E14" s="147" t="s">
        <v>124</v>
      </c>
      <c r="F14" s="135" t="s">
        <v>104</v>
      </c>
      <c r="G14" s="136" t="s">
        <v>105</v>
      </c>
      <c r="H14" s="136" t="s">
        <v>106</v>
      </c>
      <c r="I14" s="136" t="s">
        <v>107</v>
      </c>
      <c r="J14" s="136" t="s">
        <v>146</v>
      </c>
      <c r="K14" s="131" t="s">
        <v>108</v>
      </c>
      <c r="L14" s="131" t="s">
        <v>109</v>
      </c>
      <c r="M14" s="159" t="s">
        <v>154</v>
      </c>
      <c r="N14" s="131" t="s">
        <v>155</v>
      </c>
      <c r="O14" s="131" t="s">
        <v>110</v>
      </c>
      <c r="P14" s="137" t="s">
        <v>169</v>
      </c>
      <c r="Q14" s="131" t="s">
        <v>111</v>
      </c>
      <c r="R14" s="130" t="s">
        <v>112</v>
      </c>
    </row>
    <row r="15" spans="1:19" s="41" customFormat="1" ht="11.25" x14ac:dyDescent="0.2">
      <c r="A15" s="138" t="s">
        <v>113</v>
      </c>
      <c r="B15" s="138" t="s">
        <v>113</v>
      </c>
      <c r="C15" s="138" t="s">
        <v>114</v>
      </c>
      <c r="D15" s="139" t="s">
        <v>115</v>
      </c>
      <c r="E15" s="140" t="s">
        <v>115</v>
      </c>
      <c r="F15" s="141" t="s">
        <v>115</v>
      </c>
      <c r="G15" s="139" t="s">
        <v>116</v>
      </c>
      <c r="H15" s="139" t="s">
        <v>117</v>
      </c>
      <c r="I15" s="138" t="s">
        <v>117</v>
      </c>
      <c r="J15" s="138" t="s">
        <v>117</v>
      </c>
      <c r="K15" s="138" t="s">
        <v>118</v>
      </c>
      <c r="L15" s="138" t="s">
        <v>118</v>
      </c>
      <c r="M15" s="138" t="s">
        <v>118</v>
      </c>
      <c r="N15" s="138" t="s">
        <v>118</v>
      </c>
      <c r="O15" s="138" t="s">
        <v>118</v>
      </c>
      <c r="P15" s="142">
        <f>arqeng!C125</f>
        <v>0.26234679802955685</v>
      </c>
      <c r="Q15" s="138" t="s">
        <v>118</v>
      </c>
      <c r="R15" s="148" t="s">
        <v>118</v>
      </c>
    </row>
    <row r="16" spans="1:19" s="41" customFormat="1" ht="11.25" x14ac:dyDescent="0.2">
      <c r="A16" s="143">
        <v>200</v>
      </c>
      <c r="B16" s="51">
        <v>60</v>
      </c>
      <c r="C16" s="101">
        <f t="shared" ref="C16:C42" si="0">((A16+B16)/10)</f>
        <v>26</v>
      </c>
      <c r="D16" s="102">
        <f t="shared" ref="D16:D42" si="1">((A16+B16)/80)</f>
        <v>3.25</v>
      </c>
      <c r="E16" s="52">
        <v>12</v>
      </c>
      <c r="F16" s="104">
        <f t="shared" ref="F16:F42" si="2">D16+E16</f>
        <v>15.25</v>
      </c>
      <c r="G16" s="105">
        <f t="shared" ref="G16:G42" si="3">F16/9</f>
        <v>1.6944444444444444</v>
      </c>
      <c r="H16" s="50">
        <f t="shared" ref="H16:H42" si="4">ROUNDUP(G16,0)</f>
        <v>2</v>
      </c>
      <c r="I16" s="123">
        <f t="shared" ref="I16:I42" si="5">H16-0.5</f>
        <v>1.5</v>
      </c>
      <c r="J16" s="123">
        <v>2</v>
      </c>
      <c r="K16" s="124">
        <f t="shared" ref="K16:K42" si="6">C16*$F$9</f>
        <v>159.38</v>
      </c>
      <c r="L16" s="125">
        <f t="shared" ref="L16:L42" si="7">H16*$F$7</f>
        <v>284</v>
      </c>
      <c r="M16" s="125">
        <f>(I16*$F$11)*J16</f>
        <v>747</v>
      </c>
      <c r="N16" s="125">
        <f>+(ROUNDUP(F16,0))*$F$12</f>
        <v>348.64</v>
      </c>
      <c r="O16" s="126">
        <f>K16+L16+M16+N16</f>
        <v>1539.02</v>
      </c>
      <c r="P16" s="124">
        <f>O16*$P$15</f>
        <v>403.75696910344857</v>
      </c>
      <c r="Q16" s="144">
        <f>O16+P16</f>
        <v>1942.7769691034487</v>
      </c>
      <c r="R16" s="149">
        <f t="shared" ref="R16:R42" si="8">Q16/H16</f>
        <v>971.38848455172433</v>
      </c>
      <c r="S16" s="42"/>
    </row>
    <row r="17" spans="1:19" s="40" customFormat="1" ht="11.25" x14ac:dyDescent="0.2">
      <c r="A17" s="143">
        <v>300</v>
      </c>
      <c r="B17" s="51">
        <v>60</v>
      </c>
      <c r="C17" s="101">
        <f t="shared" si="0"/>
        <v>36</v>
      </c>
      <c r="D17" s="102">
        <f t="shared" si="1"/>
        <v>4.5</v>
      </c>
      <c r="E17" s="52">
        <v>12</v>
      </c>
      <c r="F17" s="104">
        <f t="shared" si="2"/>
        <v>16.5</v>
      </c>
      <c r="G17" s="105">
        <f t="shared" si="3"/>
        <v>1.8333333333333333</v>
      </c>
      <c r="H17" s="50">
        <f t="shared" si="4"/>
        <v>2</v>
      </c>
      <c r="I17" s="123">
        <f t="shared" si="5"/>
        <v>1.5</v>
      </c>
      <c r="J17" s="123">
        <v>2</v>
      </c>
      <c r="K17" s="124">
        <f t="shared" si="6"/>
        <v>220.68</v>
      </c>
      <c r="L17" s="125">
        <f t="shared" si="7"/>
        <v>284</v>
      </c>
      <c r="M17" s="125">
        <f t="shared" ref="M17:M42" si="9">(I17*$F$11)*J17</f>
        <v>747</v>
      </c>
      <c r="N17" s="125">
        <f t="shared" ref="N17:N42" si="10">+(ROUNDUP(F17,0))*$F$12</f>
        <v>370.43</v>
      </c>
      <c r="O17" s="126">
        <f t="shared" ref="O17:O42" si="11">K17+L17+M17+N17</f>
        <v>1622.1100000000001</v>
      </c>
      <c r="P17" s="124">
        <f t="shared" ref="P17:P42" si="12">O17*$P$15</f>
        <v>425.55536455172449</v>
      </c>
      <c r="Q17" s="144">
        <f t="shared" ref="Q17:Q42" si="13">O17+P17</f>
        <v>2047.6653645517247</v>
      </c>
      <c r="R17" s="149">
        <f t="shared" si="8"/>
        <v>1023.8326822758623</v>
      </c>
      <c r="S17" s="43"/>
    </row>
    <row r="18" spans="1:19" s="40" customFormat="1" ht="11.25" x14ac:dyDescent="0.2">
      <c r="A18" s="143">
        <v>400</v>
      </c>
      <c r="B18" s="51">
        <v>60</v>
      </c>
      <c r="C18" s="101">
        <f t="shared" si="0"/>
        <v>46</v>
      </c>
      <c r="D18" s="102">
        <f t="shared" si="1"/>
        <v>5.75</v>
      </c>
      <c r="E18" s="52">
        <v>12</v>
      </c>
      <c r="F18" s="104">
        <f t="shared" si="2"/>
        <v>17.75</v>
      </c>
      <c r="G18" s="105">
        <f t="shared" si="3"/>
        <v>1.9722222222222223</v>
      </c>
      <c r="H18" s="50">
        <f t="shared" si="4"/>
        <v>2</v>
      </c>
      <c r="I18" s="123">
        <f t="shared" si="5"/>
        <v>1.5</v>
      </c>
      <c r="J18" s="123">
        <v>2</v>
      </c>
      <c r="K18" s="124">
        <f t="shared" si="6"/>
        <v>281.98</v>
      </c>
      <c r="L18" s="125">
        <f t="shared" si="7"/>
        <v>284</v>
      </c>
      <c r="M18" s="125">
        <f t="shared" si="9"/>
        <v>747</v>
      </c>
      <c r="N18" s="125">
        <f t="shared" si="10"/>
        <v>392.21999999999997</v>
      </c>
      <c r="O18" s="126">
        <f t="shared" si="11"/>
        <v>1705.2</v>
      </c>
      <c r="P18" s="124">
        <f t="shared" si="12"/>
        <v>447.35376000000036</v>
      </c>
      <c r="Q18" s="144">
        <f t="shared" si="13"/>
        <v>2152.5537600000002</v>
      </c>
      <c r="R18" s="149">
        <f t="shared" si="8"/>
        <v>1076.2768800000001</v>
      </c>
      <c r="S18" s="42"/>
    </row>
    <row r="19" spans="1:19" s="40" customFormat="1" ht="11.25" x14ac:dyDescent="0.2">
      <c r="A19" s="143">
        <v>500</v>
      </c>
      <c r="B19" s="51">
        <v>60</v>
      </c>
      <c r="C19" s="101">
        <f t="shared" si="0"/>
        <v>56</v>
      </c>
      <c r="D19" s="102">
        <f t="shared" si="1"/>
        <v>7</v>
      </c>
      <c r="E19" s="52">
        <v>12</v>
      </c>
      <c r="F19" s="104">
        <f t="shared" si="2"/>
        <v>19</v>
      </c>
      <c r="G19" s="105">
        <f t="shared" si="3"/>
        <v>2.1111111111111112</v>
      </c>
      <c r="H19" s="50">
        <f t="shared" si="4"/>
        <v>3</v>
      </c>
      <c r="I19" s="123">
        <f t="shared" si="5"/>
        <v>2.5</v>
      </c>
      <c r="J19" s="123">
        <v>2</v>
      </c>
      <c r="K19" s="124">
        <f t="shared" si="6"/>
        <v>343.28</v>
      </c>
      <c r="L19" s="125">
        <f t="shared" si="7"/>
        <v>426</v>
      </c>
      <c r="M19" s="125">
        <f t="shared" si="9"/>
        <v>1245</v>
      </c>
      <c r="N19" s="125">
        <f t="shared" si="10"/>
        <v>414.01</v>
      </c>
      <c r="O19" s="126">
        <f t="shared" si="11"/>
        <v>2428.29</v>
      </c>
      <c r="P19" s="124">
        <f t="shared" si="12"/>
        <v>637.05410618719259</v>
      </c>
      <c r="Q19" s="144">
        <f t="shared" si="13"/>
        <v>3065.3441061871927</v>
      </c>
      <c r="R19" s="149">
        <f t="shared" si="8"/>
        <v>1021.7813687290642</v>
      </c>
      <c r="S19" s="42"/>
    </row>
    <row r="20" spans="1:19" s="40" customFormat="1" ht="11.25" x14ac:dyDescent="0.2">
      <c r="A20" s="143">
        <v>600</v>
      </c>
      <c r="B20" s="51">
        <v>60</v>
      </c>
      <c r="C20" s="101">
        <f t="shared" si="0"/>
        <v>66</v>
      </c>
      <c r="D20" s="102">
        <f t="shared" si="1"/>
        <v>8.25</v>
      </c>
      <c r="E20" s="52">
        <v>12</v>
      </c>
      <c r="F20" s="104">
        <f t="shared" si="2"/>
        <v>20.25</v>
      </c>
      <c r="G20" s="105">
        <f t="shared" si="3"/>
        <v>2.25</v>
      </c>
      <c r="H20" s="50">
        <f t="shared" si="4"/>
        <v>3</v>
      </c>
      <c r="I20" s="123">
        <f t="shared" si="5"/>
        <v>2.5</v>
      </c>
      <c r="J20" s="123">
        <v>2</v>
      </c>
      <c r="K20" s="124">
        <f t="shared" si="6"/>
        <v>404.58</v>
      </c>
      <c r="L20" s="125">
        <f t="shared" si="7"/>
        <v>426</v>
      </c>
      <c r="M20" s="125">
        <f t="shared" si="9"/>
        <v>1245</v>
      </c>
      <c r="N20" s="125">
        <f t="shared" si="10"/>
        <v>457.59</v>
      </c>
      <c r="O20" s="126">
        <f t="shared" si="11"/>
        <v>2533.17</v>
      </c>
      <c r="P20" s="124">
        <f t="shared" si="12"/>
        <v>664.5690383645325</v>
      </c>
      <c r="Q20" s="144">
        <f t="shared" si="13"/>
        <v>3197.7390383645325</v>
      </c>
      <c r="R20" s="149">
        <f t="shared" si="8"/>
        <v>1065.9130127881774</v>
      </c>
      <c r="S20" s="42"/>
    </row>
    <row r="21" spans="1:19" s="40" customFormat="1" ht="11.25" x14ac:dyDescent="0.2">
      <c r="A21" s="143">
        <v>700</v>
      </c>
      <c r="B21" s="51">
        <v>60</v>
      </c>
      <c r="C21" s="101">
        <f t="shared" si="0"/>
        <v>76</v>
      </c>
      <c r="D21" s="102">
        <f t="shared" si="1"/>
        <v>9.5</v>
      </c>
      <c r="E21" s="52">
        <v>12</v>
      </c>
      <c r="F21" s="104">
        <f t="shared" si="2"/>
        <v>21.5</v>
      </c>
      <c r="G21" s="105">
        <f t="shared" si="3"/>
        <v>2.3888888888888888</v>
      </c>
      <c r="H21" s="50">
        <f t="shared" si="4"/>
        <v>3</v>
      </c>
      <c r="I21" s="123">
        <f t="shared" si="5"/>
        <v>2.5</v>
      </c>
      <c r="J21" s="123">
        <v>2</v>
      </c>
      <c r="K21" s="124">
        <f t="shared" si="6"/>
        <v>465.88</v>
      </c>
      <c r="L21" s="125">
        <f t="shared" si="7"/>
        <v>426</v>
      </c>
      <c r="M21" s="125">
        <f t="shared" si="9"/>
        <v>1245</v>
      </c>
      <c r="N21" s="125">
        <f t="shared" si="10"/>
        <v>479.38</v>
      </c>
      <c r="O21" s="126">
        <f t="shared" si="11"/>
        <v>2616.2600000000002</v>
      </c>
      <c r="P21" s="124">
        <f t="shared" si="12"/>
        <v>686.36743381280849</v>
      </c>
      <c r="Q21" s="144">
        <f t="shared" si="13"/>
        <v>3302.6274338128087</v>
      </c>
      <c r="R21" s="149">
        <f t="shared" si="8"/>
        <v>1100.8758112709363</v>
      </c>
      <c r="S21" s="42"/>
    </row>
    <row r="22" spans="1:19" s="40" customFormat="1" ht="11.25" x14ac:dyDescent="0.2">
      <c r="A22" s="143">
        <v>800</v>
      </c>
      <c r="B22" s="51">
        <v>60</v>
      </c>
      <c r="C22" s="101">
        <f t="shared" si="0"/>
        <v>86</v>
      </c>
      <c r="D22" s="102">
        <f t="shared" si="1"/>
        <v>10.75</v>
      </c>
      <c r="E22" s="52">
        <v>12</v>
      </c>
      <c r="F22" s="104">
        <f t="shared" si="2"/>
        <v>22.75</v>
      </c>
      <c r="G22" s="105">
        <f t="shared" si="3"/>
        <v>2.5277777777777777</v>
      </c>
      <c r="H22" s="50">
        <f t="shared" si="4"/>
        <v>3</v>
      </c>
      <c r="I22" s="123">
        <f t="shared" si="5"/>
        <v>2.5</v>
      </c>
      <c r="J22" s="123">
        <v>2</v>
      </c>
      <c r="K22" s="124">
        <f t="shared" si="6"/>
        <v>527.17999999999995</v>
      </c>
      <c r="L22" s="125">
        <f t="shared" si="7"/>
        <v>426</v>
      </c>
      <c r="M22" s="125">
        <f t="shared" si="9"/>
        <v>1245</v>
      </c>
      <c r="N22" s="125">
        <f t="shared" si="10"/>
        <v>501.16999999999996</v>
      </c>
      <c r="O22" s="126">
        <f t="shared" si="11"/>
        <v>2699.35</v>
      </c>
      <c r="P22" s="124">
        <f t="shared" si="12"/>
        <v>708.16582926108424</v>
      </c>
      <c r="Q22" s="144">
        <f t="shared" si="13"/>
        <v>3407.515829261084</v>
      </c>
      <c r="R22" s="149">
        <f t="shared" si="8"/>
        <v>1135.8386097536948</v>
      </c>
      <c r="S22" s="42"/>
    </row>
    <row r="23" spans="1:19" s="40" customFormat="1" ht="11.25" x14ac:dyDescent="0.2">
      <c r="A23" s="143">
        <v>900</v>
      </c>
      <c r="B23" s="51">
        <v>60</v>
      </c>
      <c r="C23" s="101">
        <f t="shared" si="0"/>
        <v>96</v>
      </c>
      <c r="D23" s="102">
        <f t="shared" si="1"/>
        <v>12</v>
      </c>
      <c r="E23" s="52">
        <v>12</v>
      </c>
      <c r="F23" s="104">
        <f t="shared" si="2"/>
        <v>24</v>
      </c>
      <c r="G23" s="105">
        <f t="shared" si="3"/>
        <v>2.6666666666666665</v>
      </c>
      <c r="H23" s="50">
        <f t="shared" si="4"/>
        <v>3</v>
      </c>
      <c r="I23" s="123">
        <f t="shared" si="5"/>
        <v>2.5</v>
      </c>
      <c r="J23" s="123">
        <v>2</v>
      </c>
      <c r="K23" s="124">
        <f t="shared" si="6"/>
        <v>588.48</v>
      </c>
      <c r="L23" s="125">
        <f t="shared" si="7"/>
        <v>426</v>
      </c>
      <c r="M23" s="125">
        <f t="shared" si="9"/>
        <v>1245</v>
      </c>
      <c r="N23" s="125">
        <f t="shared" si="10"/>
        <v>522.96</v>
      </c>
      <c r="O23" s="126">
        <f t="shared" si="11"/>
        <v>2782.44</v>
      </c>
      <c r="P23" s="124">
        <f t="shared" si="12"/>
        <v>729.96422470936022</v>
      </c>
      <c r="Q23" s="144">
        <f t="shared" si="13"/>
        <v>3512.4042247093603</v>
      </c>
      <c r="R23" s="149">
        <f t="shared" si="8"/>
        <v>1170.8014082364534</v>
      </c>
      <c r="S23" s="42"/>
    </row>
    <row r="24" spans="1:19" s="40" customFormat="1" ht="11.25" x14ac:dyDescent="0.2">
      <c r="A24" s="143">
        <v>1000</v>
      </c>
      <c r="B24" s="51">
        <v>60</v>
      </c>
      <c r="C24" s="101">
        <f t="shared" si="0"/>
        <v>106</v>
      </c>
      <c r="D24" s="102">
        <f t="shared" si="1"/>
        <v>13.25</v>
      </c>
      <c r="E24" s="52">
        <v>12</v>
      </c>
      <c r="F24" s="104">
        <f t="shared" si="2"/>
        <v>25.25</v>
      </c>
      <c r="G24" s="105">
        <f t="shared" si="3"/>
        <v>2.8055555555555554</v>
      </c>
      <c r="H24" s="50">
        <f t="shared" si="4"/>
        <v>3</v>
      </c>
      <c r="I24" s="123">
        <f t="shared" si="5"/>
        <v>2.5</v>
      </c>
      <c r="J24" s="123">
        <v>2</v>
      </c>
      <c r="K24" s="124">
        <f t="shared" si="6"/>
        <v>649.78</v>
      </c>
      <c r="L24" s="125">
        <f t="shared" si="7"/>
        <v>426</v>
      </c>
      <c r="M24" s="125">
        <f t="shared" si="9"/>
        <v>1245</v>
      </c>
      <c r="N24" s="125">
        <f t="shared" si="10"/>
        <v>566.54</v>
      </c>
      <c r="O24" s="126">
        <f t="shared" si="11"/>
        <v>2887.3199999999997</v>
      </c>
      <c r="P24" s="124">
        <f t="shared" si="12"/>
        <v>757.47915688670003</v>
      </c>
      <c r="Q24" s="144">
        <f t="shared" si="13"/>
        <v>3644.7991568866996</v>
      </c>
      <c r="R24" s="149">
        <f t="shared" si="8"/>
        <v>1214.9330522955665</v>
      </c>
      <c r="S24" s="42"/>
    </row>
    <row r="25" spans="1:19" s="40" customFormat="1" ht="11.25" x14ac:dyDescent="0.2">
      <c r="A25" s="143">
        <v>1100</v>
      </c>
      <c r="B25" s="51">
        <v>60</v>
      </c>
      <c r="C25" s="101">
        <f t="shared" si="0"/>
        <v>116</v>
      </c>
      <c r="D25" s="102">
        <f t="shared" si="1"/>
        <v>14.5</v>
      </c>
      <c r="E25" s="52">
        <v>12</v>
      </c>
      <c r="F25" s="104">
        <f t="shared" si="2"/>
        <v>26.5</v>
      </c>
      <c r="G25" s="105">
        <f t="shared" si="3"/>
        <v>2.9444444444444446</v>
      </c>
      <c r="H25" s="50">
        <f t="shared" si="4"/>
        <v>3</v>
      </c>
      <c r="I25" s="123">
        <f t="shared" si="5"/>
        <v>2.5</v>
      </c>
      <c r="J25" s="123">
        <v>2</v>
      </c>
      <c r="K25" s="124">
        <f t="shared" si="6"/>
        <v>711.08</v>
      </c>
      <c r="L25" s="125">
        <f t="shared" si="7"/>
        <v>426</v>
      </c>
      <c r="M25" s="125">
        <f t="shared" si="9"/>
        <v>1245</v>
      </c>
      <c r="N25" s="125">
        <f t="shared" si="10"/>
        <v>588.32999999999993</v>
      </c>
      <c r="O25" s="126">
        <f t="shared" si="11"/>
        <v>2970.41</v>
      </c>
      <c r="P25" s="124">
        <f t="shared" si="12"/>
        <v>779.27755233497589</v>
      </c>
      <c r="Q25" s="144">
        <f t="shared" si="13"/>
        <v>3749.6875523349759</v>
      </c>
      <c r="R25" s="149">
        <f t="shared" si="8"/>
        <v>1249.8958507783252</v>
      </c>
      <c r="S25" s="42"/>
    </row>
    <row r="26" spans="1:19" s="40" customFormat="1" ht="11.25" x14ac:dyDescent="0.2">
      <c r="A26" s="143">
        <v>1200</v>
      </c>
      <c r="B26" s="51">
        <v>60</v>
      </c>
      <c r="C26" s="101">
        <f t="shared" si="0"/>
        <v>126</v>
      </c>
      <c r="D26" s="102">
        <f t="shared" si="1"/>
        <v>15.75</v>
      </c>
      <c r="E26" s="52">
        <v>12</v>
      </c>
      <c r="F26" s="104">
        <f t="shared" si="2"/>
        <v>27.75</v>
      </c>
      <c r="G26" s="105">
        <f t="shared" si="3"/>
        <v>3.0833333333333335</v>
      </c>
      <c r="H26" s="50">
        <f t="shared" si="4"/>
        <v>4</v>
      </c>
      <c r="I26" s="123">
        <f t="shared" si="5"/>
        <v>3.5</v>
      </c>
      <c r="J26" s="123">
        <v>2</v>
      </c>
      <c r="K26" s="124">
        <f t="shared" si="6"/>
        <v>772.38</v>
      </c>
      <c r="L26" s="125">
        <f t="shared" si="7"/>
        <v>568</v>
      </c>
      <c r="M26" s="125">
        <f t="shared" si="9"/>
        <v>1743</v>
      </c>
      <c r="N26" s="125">
        <f t="shared" si="10"/>
        <v>610.12</v>
      </c>
      <c r="O26" s="126">
        <f t="shared" si="11"/>
        <v>3693.5</v>
      </c>
      <c r="P26" s="124">
        <f t="shared" si="12"/>
        <v>968.97789852216818</v>
      </c>
      <c r="Q26" s="144">
        <f t="shared" si="13"/>
        <v>4662.4778985221683</v>
      </c>
      <c r="R26" s="149">
        <f t="shared" si="8"/>
        <v>1165.6194746305421</v>
      </c>
      <c r="S26" s="42"/>
    </row>
    <row r="27" spans="1:19" s="40" customFormat="1" ht="11.25" x14ac:dyDescent="0.2">
      <c r="A27" s="143">
        <v>1300</v>
      </c>
      <c r="B27" s="51">
        <v>60</v>
      </c>
      <c r="C27" s="101">
        <f t="shared" si="0"/>
        <v>136</v>
      </c>
      <c r="D27" s="102">
        <f t="shared" si="1"/>
        <v>17</v>
      </c>
      <c r="E27" s="52">
        <v>12</v>
      </c>
      <c r="F27" s="104">
        <f t="shared" si="2"/>
        <v>29</v>
      </c>
      <c r="G27" s="105">
        <f t="shared" si="3"/>
        <v>3.2222222222222223</v>
      </c>
      <c r="H27" s="50">
        <f t="shared" si="4"/>
        <v>4</v>
      </c>
      <c r="I27" s="123">
        <f t="shared" si="5"/>
        <v>3.5</v>
      </c>
      <c r="J27" s="123">
        <v>2</v>
      </c>
      <c r="K27" s="124">
        <f t="shared" si="6"/>
        <v>833.68</v>
      </c>
      <c r="L27" s="125">
        <f t="shared" si="7"/>
        <v>568</v>
      </c>
      <c r="M27" s="125">
        <f t="shared" si="9"/>
        <v>1743</v>
      </c>
      <c r="N27" s="125">
        <f t="shared" si="10"/>
        <v>631.91</v>
      </c>
      <c r="O27" s="126">
        <f t="shared" si="11"/>
        <v>3776.5899999999997</v>
      </c>
      <c r="P27" s="124">
        <f t="shared" si="12"/>
        <v>990.77629397044404</v>
      </c>
      <c r="Q27" s="144">
        <f t="shared" si="13"/>
        <v>4767.3662939704436</v>
      </c>
      <c r="R27" s="149">
        <f t="shared" si="8"/>
        <v>1191.8415734926109</v>
      </c>
      <c r="S27" s="42"/>
    </row>
    <row r="28" spans="1:19" s="40" customFormat="1" ht="11.25" x14ac:dyDescent="0.2">
      <c r="A28" s="143">
        <v>1400</v>
      </c>
      <c r="B28" s="51">
        <v>60</v>
      </c>
      <c r="C28" s="101">
        <f t="shared" si="0"/>
        <v>146</v>
      </c>
      <c r="D28" s="102">
        <f t="shared" si="1"/>
        <v>18.25</v>
      </c>
      <c r="E28" s="52">
        <v>12</v>
      </c>
      <c r="F28" s="104">
        <f t="shared" si="2"/>
        <v>30.25</v>
      </c>
      <c r="G28" s="105">
        <f t="shared" si="3"/>
        <v>3.3611111111111112</v>
      </c>
      <c r="H28" s="50">
        <f t="shared" si="4"/>
        <v>4</v>
      </c>
      <c r="I28" s="123">
        <f t="shared" si="5"/>
        <v>3.5</v>
      </c>
      <c r="J28" s="123">
        <v>2</v>
      </c>
      <c r="K28" s="124">
        <f t="shared" si="6"/>
        <v>894.98</v>
      </c>
      <c r="L28" s="125">
        <f t="shared" si="7"/>
        <v>568</v>
      </c>
      <c r="M28" s="125">
        <f t="shared" si="9"/>
        <v>1743</v>
      </c>
      <c r="N28" s="125">
        <f t="shared" si="10"/>
        <v>675.49</v>
      </c>
      <c r="O28" s="126">
        <f t="shared" si="11"/>
        <v>3881.4700000000003</v>
      </c>
      <c r="P28" s="124">
        <f t="shared" si="12"/>
        <v>1018.2912261477841</v>
      </c>
      <c r="Q28" s="144">
        <f t="shared" si="13"/>
        <v>4899.7612261477843</v>
      </c>
      <c r="R28" s="149">
        <f t="shared" si="8"/>
        <v>1224.9403065369461</v>
      </c>
      <c r="S28" s="42"/>
    </row>
    <row r="29" spans="1:19" s="40" customFormat="1" ht="11.25" x14ac:dyDescent="0.2">
      <c r="A29" s="143">
        <v>1500</v>
      </c>
      <c r="B29" s="51">
        <v>60</v>
      </c>
      <c r="C29" s="101">
        <f t="shared" si="0"/>
        <v>156</v>
      </c>
      <c r="D29" s="102">
        <f t="shared" si="1"/>
        <v>19.5</v>
      </c>
      <c r="E29" s="52">
        <v>12</v>
      </c>
      <c r="F29" s="104">
        <f t="shared" si="2"/>
        <v>31.5</v>
      </c>
      <c r="G29" s="105">
        <f t="shared" si="3"/>
        <v>3.5</v>
      </c>
      <c r="H29" s="50">
        <f t="shared" si="4"/>
        <v>4</v>
      </c>
      <c r="I29" s="123">
        <f t="shared" si="5"/>
        <v>3.5</v>
      </c>
      <c r="J29" s="123">
        <v>2</v>
      </c>
      <c r="K29" s="124">
        <f t="shared" si="6"/>
        <v>956.28</v>
      </c>
      <c r="L29" s="125">
        <f t="shared" si="7"/>
        <v>568</v>
      </c>
      <c r="M29" s="125">
        <f t="shared" si="9"/>
        <v>1743</v>
      </c>
      <c r="N29" s="125">
        <f t="shared" si="10"/>
        <v>697.28</v>
      </c>
      <c r="O29" s="126">
        <f t="shared" si="11"/>
        <v>3964.5599999999995</v>
      </c>
      <c r="P29" s="124">
        <f t="shared" si="12"/>
        <v>1040.0896215960597</v>
      </c>
      <c r="Q29" s="144">
        <f t="shared" si="13"/>
        <v>5004.6496215960597</v>
      </c>
      <c r="R29" s="149">
        <f t="shared" si="8"/>
        <v>1251.1624053990149</v>
      </c>
      <c r="S29" s="42"/>
    </row>
    <row r="30" spans="1:19" s="40" customFormat="1" ht="11.25" x14ac:dyDescent="0.2">
      <c r="A30" s="143">
        <v>1600</v>
      </c>
      <c r="B30" s="51">
        <v>60</v>
      </c>
      <c r="C30" s="101">
        <f t="shared" si="0"/>
        <v>166</v>
      </c>
      <c r="D30" s="102">
        <f t="shared" si="1"/>
        <v>20.75</v>
      </c>
      <c r="E30" s="52">
        <v>12</v>
      </c>
      <c r="F30" s="104">
        <f t="shared" si="2"/>
        <v>32.75</v>
      </c>
      <c r="G30" s="105">
        <f t="shared" si="3"/>
        <v>3.6388888888888888</v>
      </c>
      <c r="H30" s="50">
        <f t="shared" si="4"/>
        <v>4</v>
      </c>
      <c r="I30" s="123">
        <f t="shared" si="5"/>
        <v>3.5</v>
      </c>
      <c r="J30" s="123">
        <v>2</v>
      </c>
      <c r="K30" s="124">
        <f t="shared" si="6"/>
        <v>1017.5799999999999</v>
      </c>
      <c r="L30" s="125">
        <f t="shared" si="7"/>
        <v>568</v>
      </c>
      <c r="M30" s="125">
        <f t="shared" si="9"/>
        <v>1743</v>
      </c>
      <c r="N30" s="125">
        <f t="shared" si="10"/>
        <v>719.06999999999994</v>
      </c>
      <c r="O30" s="126">
        <f t="shared" si="11"/>
        <v>4047.6499999999996</v>
      </c>
      <c r="P30" s="124">
        <f t="shared" si="12"/>
        <v>1061.8880170443356</v>
      </c>
      <c r="Q30" s="144">
        <f t="shared" si="13"/>
        <v>5109.538017044335</v>
      </c>
      <c r="R30" s="149">
        <f t="shared" si="8"/>
        <v>1277.3845042610837</v>
      </c>
      <c r="S30" s="42"/>
    </row>
    <row r="31" spans="1:19" s="40" customFormat="1" ht="11.25" x14ac:dyDescent="0.2">
      <c r="A31" s="143">
        <v>1700</v>
      </c>
      <c r="B31" s="51">
        <v>60</v>
      </c>
      <c r="C31" s="101">
        <f t="shared" si="0"/>
        <v>176</v>
      </c>
      <c r="D31" s="102">
        <f t="shared" si="1"/>
        <v>22</v>
      </c>
      <c r="E31" s="52">
        <v>12</v>
      </c>
      <c r="F31" s="104">
        <f t="shared" si="2"/>
        <v>34</v>
      </c>
      <c r="G31" s="105">
        <f t="shared" si="3"/>
        <v>3.7777777777777777</v>
      </c>
      <c r="H31" s="50">
        <f t="shared" si="4"/>
        <v>4</v>
      </c>
      <c r="I31" s="123">
        <f t="shared" si="5"/>
        <v>3.5</v>
      </c>
      <c r="J31" s="123">
        <v>2</v>
      </c>
      <c r="K31" s="124">
        <f t="shared" si="6"/>
        <v>1078.8799999999999</v>
      </c>
      <c r="L31" s="125">
        <f t="shared" si="7"/>
        <v>568</v>
      </c>
      <c r="M31" s="125">
        <f t="shared" si="9"/>
        <v>1743</v>
      </c>
      <c r="N31" s="125">
        <f t="shared" si="10"/>
        <v>740.86</v>
      </c>
      <c r="O31" s="126">
        <f t="shared" si="11"/>
        <v>4130.74</v>
      </c>
      <c r="P31" s="124">
        <f t="shared" si="12"/>
        <v>1083.6864124926117</v>
      </c>
      <c r="Q31" s="144">
        <f t="shared" si="13"/>
        <v>5214.4264124926112</v>
      </c>
      <c r="R31" s="149">
        <f t="shared" si="8"/>
        <v>1303.6066031231528</v>
      </c>
      <c r="S31" s="42"/>
    </row>
    <row r="32" spans="1:19" s="40" customFormat="1" ht="11.25" x14ac:dyDescent="0.2">
      <c r="A32" s="143">
        <v>1800</v>
      </c>
      <c r="B32" s="51">
        <v>60</v>
      </c>
      <c r="C32" s="101">
        <f t="shared" si="0"/>
        <v>186</v>
      </c>
      <c r="D32" s="102">
        <f t="shared" si="1"/>
        <v>23.25</v>
      </c>
      <c r="E32" s="52">
        <v>12</v>
      </c>
      <c r="F32" s="104">
        <f t="shared" si="2"/>
        <v>35.25</v>
      </c>
      <c r="G32" s="105">
        <f t="shared" si="3"/>
        <v>3.9166666666666665</v>
      </c>
      <c r="H32" s="50">
        <f t="shared" si="4"/>
        <v>4</v>
      </c>
      <c r="I32" s="123">
        <f t="shared" si="5"/>
        <v>3.5</v>
      </c>
      <c r="J32" s="123">
        <v>2</v>
      </c>
      <c r="K32" s="124">
        <f t="shared" si="6"/>
        <v>1140.18</v>
      </c>
      <c r="L32" s="125">
        <f t="shared" si="7"/>
        <v>568</v>
      </c>
      <c r="M32" s="125">
        <f t="shared" si="9"/>
        <v>1743</v>
      </c>
      <c r="N32" s="125">
        <f t="shared" si="10"/>
        <v>784.43999999999994</v>
      </c>
      <c r="O32" s="126">
        <f t="shared" si="11"/>
        <v>4235.62</v>
      </c>
      <c r="P32" s="124">
        <f t="shared" si="12"/>
        <v>1111.2013446699516</v>
      </c>
      <c r="Q32" s="144">
        <f t="shared" si="13"/>
        <v>5346.8213446699519</v>
      </c>
      <c r="R32" s="149">
        <f t="shared" si="8"/>
        <v>1336.705336167488</v>
      </c>
      <c r="S32" s="42"/>
    </row>
    <row r="33" spans="1:19" s="40" customFormat="1" ht="11.25" x14ac:dyDescent="0.2">
      <c r="A33" s="143">
        <v>1900</v>
      </c>
      <c r="B33" s="51">
        <v>60</v>
      </c>
      <c r="C33" s="101">
        <f t="shared" si="0"/>
        <v>196</v>
      </c>
      <c r="D33" s="102">
        <f t="shared" si="1"/>
        <v>24.5</v>
      </c>
      <c r="E33" s="52">
        <v>12</v>
      </c>
      <c r="F33" s="104">
        <f t="shared" si="2"/>
        <v>36.5</v>
      </c>
      <c r="G33" s="105">
        <f t="shared" si="3"/>
        <v>4.0555555555555554</v>
      </c>
      <c r="H33" s="50">
        <f t="shared" si="4"/>
        <v>5</v>
      </c>
      <c r="I33" s="123">
        <f t="shared" si="5"/>
        <v>4.5</v>
      </c>
      <c r="J33" s="123">
        <v>2</v>
      </c>
      <c r="K33" s="124">
        <f t="shared" si="6"/>
        <v>1201.48</v>
      </c>
      <c r="L33" s="125">
        <f t="shared" si="7"/>
        <v>710</v>
      </c>
      <c r="M33" s="125">
        <f t="shared" si="9"/>
        <v>2241</v>
      </c>
      <c r="N33" s="125">
        <f t="shared" si="10"/>
        <v>806.23</v>
      </c>
      <c r="O33" s="126">
        <f t="shared" si="11"/>
        <v>4958.7099999999991</v>
      </c>
      <c r="P33" s="124">
        <f t="shared" si="12"/>
        <v>1300.9016908571436</v>
      </c>
      <c r="Q33" s="144">
        <f t="shared" si="13"/>
        <v>6259.611690857143</v>
      </c>
      <c r="R33" s="149">
        <f t="shared" si="8"/>
        <v>1251.9223381714287</v>
      </c>
      <c r="S33" s="42"/>
    </row>
    <row r="34" spans="1:19" s="40" customFormat="1" ht="11.25" x14ac:dyDescent="0.2">
      <c r="A34" s="143">
        <v>2000</v>
      </c>
      <c r="B34" s="51">
        <v>60</v>
      </c>
      <c r="C34" s="101">
        <f t="shared" si="0"/>
        <v>206</v>
      </c>
      <c r="D34" s="102">
        <f t="shared" si="1"/>
        <v>25.75</v>
      </c>
      <c r="E34" s="52">
        <v>12</v>
      </c>
      <c r="F34" s="104">
        <f t="shared" si="2"/>
        <v>37.75</v>
      </c>
      <c r="G34" s="105">
        <f t="shared" si="3"/>
        <v>4.1944444444444446</v>
      </c>
      <c r="H34" s="50">
        <f t="shared" si="4"/>
        <v>5</v>
      </c>
      <c r="I34" s="123">
        <f t="shared" si="5"/>
        <v>4.5</v>
      </c>
      <c r="J34" s="123">
        <v>2</v>
      </c>
      <c r="K34" s="124">
        <f t="shared" si="6"/>
        <v>1262.78</v>
      </c>
      <c r="L34" s="125">
        <f t="shared" si="7"/>
        <v>710</v>
      </c>
      <c r="M34" s="125">
        <f t="shared" si="9"/>
        <v>2241</v>
      </c>
      <c r="N34" s="125">
        <f t="shared" si="10"/>
        <v>828.02</v>
      </c>
      <c r="O34" s="126">
        <f t="shared" si="11"/>
        <v>5041.7999999999993</v>
      </c>
      <c r="P34" s="124">
        <f t="shared" si="12"/>
        <v>1322.7000863054195</v>
      </c>
      <c r="Q34" s="144">
        <f t="shared" si="13"/>
        <v>6364.5000863054192</v>
      </c>
      <c r="R34" s="149">
        <f t="shared" si="8"/>
        <v>1272.9000172610838</v>
      </c>
      <c r="S34" s="42"/>
    </row>
    <row r="35" spans="1:19" s="40" customFormat="1" ht="11.25" x14ac:dyDescent="0.2">
      <c r="A35" s="143">
        <v>2100</v>
      </c>
      <c r="B35" s="51">
        <v>60</v>
      </c>
      <c r="C35" s="101">
        <f t="shared" si="0"/>
        <v>216</v>
      </c>
      <c r="D35" s="102">
        <f t="shared" si="1"/>
        <v>27</v>
      </c>
      <c r="E35" s="52">
        <v>12</v>
      </c>
      <c r="F35" s="104">
        <f t="shared" si="2"/>
        <v>39</v>
      </c>
      <c r="G35" s="105">
        <f t="shared" si="3"/>
        <v>4.333333333333333</v>
      </c>
      <c r="H35" s="50">
        <f t="shared" si="4"/>
        <v>5</v>
      </c>
      <c r="I35" s="123">
        <f t="shared" si="5"/>
        <v>4.5</v>
      </c>
      <c r="J35" s="123">
        <v>2</v>
      </c>
      <c r="K35" s="124">
        <f t="shared" si="6"/>
        <v>1324.08</v>
      </c>
      <c r="L35" s="125">
        <f t="shared" si="7"/>
        <v>710</v>
      </c>
      <c r="M35" s="125">
        <f t="shared" si="9"/>
        <v>2241</v>
      </c>
      <c r="N35" s="125">
        <f t="shared" si="10"/>
        <v>849.81</v>
      </c>
      <c r="O35" s="126">
        <f t="shared" si="11"/>
        <v>5124.8899999999994</v>
      </c>
      <c r="P35" s="124">
        <f t="shared" si="12"/>
        <v>1344.4984817536954</v>
      </c>
      <c r="Q35" s="144">
        <f t="shared" si="13"/>
        <v>6469.3884817536946</v>
      </c>
      <c r="R35" s="149">
        <f t="shared" si="8"/>
        <v>1293.8776963507389</v>
      </c>
      <c r="S35" s="42"/>
    </row>
    <row r="36" spans="1:19" s="40" customFormat="1" ht="11.25" x14ac:dyDescent="0.2">
      <c r="A36" s="143">
        <v>2200</v>
      </c>
      <c r="B36" s="51">
        <v>60</v>
      </c>
      <c r="C36" s="101">
        <f t="shared" si="0"/>
        <v>226</v>
      </c>
      <c r="D36" s="102">
        <f t="shared" si="1"/>
        <v>28.25</v>
      </c>
      <c r="E36" s="52">
        <v>12</v>
      </c>
      <c r="F36" s="104">
        <f t="shared" si="2"/>
        <v>40.25</v>
      </c>
      <c r="G36" s="105">
        <f t="shared" si="3"/>
        <v>4.4722222222222223</v>
      </c>
      <c r="H36" s="50">
        <f t="shared" si="4"/>
        <v>5</v>
      </c>
      <c r="I36" s="123">
        <f t="shared" si="5"/>
        <v>4.5</v>
      </c>
      <c r="J36" s="123">
        <v>2</v>
      </c>
      <c r="K36" s="124">
        <f t="shared" si="6"/>
        <v>1385.3799999999999</v>
      </c>
      <c r="L36" s="125">
        <f t="shared" si="7"/>
        <v>710</v>
      </c>
      <c r="M36" s="125">
        <f t="shared" si="9"/>
        <v>2241</v>
      </c>
      <c r="N36" s="125">
        <f t="shared" si="10"/>
        <v>893.39</v>
      </c>
      <c r="O36" s="126">
        <f t="shared" si="11"/>
        <v>5229.7700000000004</v>
      </c>
      <c r="P36" s="124">
        <f t="shared" si="12"/>
        <v>1372.0134139310355</v>
      </c>
      <c r="Q36" s="144">
        <f t="shared" si="13"/>
        <v>6601.7834139310362</v>
      </c>
      <c r="R36" s="149">
        <f t="shared" si="8"/>
        <v>1320.3566827862073</v>
      </c>
      <c r="S36" s="42"/>
    </row>
    <row r="37" spans="1:19" s="40" customFormat="1" ht="11.25" x14ac:dyDescent="0.2">
      <c r="A37" s="143">
        <v>2300</v>
      </c>
      <c r="B37" s="51">
        <v>60</v>
      </c>
      <c r="C37" s="101">
        <f t="shared" si="0"/>
        <v>236</v>
      </c>
      <c r="D37" s="102">
        <f t="shared" si="1"/>
        <v>29.5</v>
      </c>
      <c r="E37" s="52">
        <v>12</v>
      </c>
      <c r="F37" s="104">
        <f t="shared" si="2"/>
        <v>41.5</v>
      </c>
      <c r="G37" s="105">
        <f t="shared" si="3"/>
        <v>4.6111111111111107</v>
      </c>
      <c r="H37" s="50">
        <f t="shared" si="4"/>
        <v>5</v>
      </c>
      <c r="I37" s="123">
        <f t="shared" si="5"/>
        <v>4.5</v>
      </c>
      <c r="J37" s="123">
        <v>2</v>
      </c>
      <c r="K37" s="124">
        <f t="shared" si="6"/>
        <v>1446.68</v>
      </c>
      <c r="L37" s="125">
        <f t="shared" si="7"/>
        <v>710</v>
      </c>
      <c r="M37" s="125">
        <f t="shared" si="9"/>
        <v>2241</v>
      </c>
      <c r="N37" s="125">
        <f t="shared" si="10"/>
        <v>915.18</v>
      </c>
      <c r="O37" s="126">
        <f t="shared" si="11"/>
        <v>5312.8600000000006</v>
      </c>
      <c r="P37" s="124">
        <f t="shared" si="12"/>
        <v>1393.8118093793116</v>
      </c>
      <c r="Q37" s="144">
        <f t="shared" si="13"/>
        <v>6706.6718093793124</v>
      </c>
      <c r="R37" s="149">
        <f t="shared" si="8"/>
        <v>1341.3343618758624</v>
      </c>
      <c r="S37" s="42"/>
    </row>
    <row r="38" spans="1:19" s="40" customFormat="1" ht="11.25" x14ac:dyDescent="0.2">
      <c r="A38" s="143">
        <v>2400</v>
      </c>
      <c r="B38" s="51">
        <v>60</v>
      </c>
      <c r="C38" s="101">
        <f t="shared" si="0"/>
        <v>246</v>
      </c>
      <c r="D38" s="102">
        <f t="shared" si="1"/>
        <v>30.75</v>
      </c>
      <c r="E38" s="52">
        <v>12</v>
      </c>
      <c r="F38" s="104">
        <f t="shared" si="2"/>
        <v>42.75</v>
      </c>
      <c r="G38" s="105">
        <f t="shared" si="3"/>
        <v>4.75</v>
      </c>
      <c r="H38" s="50">
        <f t="shared" si="4"/>
        <v>5</v>
      </c>
      <c r="I38" s="123">
        <f t="shared" si="5"/>
        <v>4.5</v>
      </c>
      <c r="J38" s="123">
        <v>2</v>
      </c>
      <c r="K38" s="124">
        <f t="shared" si="6"/>
        <v>1507.98</v>
      </c>
      <c r="L38" s="125">
        <f t="shared" si="7"/>
        <v>710</v>
      </c>
      <c r="M38" s="125">
        <f t="shared" si="9"/>
        <v>2241</v>
      </c>
      <c r="N38" s="125">
        <f t="shared" si="10"/>
        <v>936.96999999999991</v>
      </c>
      <c r="O38" s="126">
        <f t="shared" si="11"/>
        <v>5395.95</v>
      </c>
      <c r="P38" s="124">
        <f t="shared" si="12"/>
        <v>1415.6102048275873</v>
      </c>
      <c r="Q38" s="144">
        <f t="shared" si="13"/>
        <v>6811.5602048275869</v>
      </c>
      <c r="R38" s="149">
        <f t="shared" si="8"/>
        <v>1362.3120409655173</v>
      </c>
      <c r="S38" s="42"/>
    </row>
    <row r="39" spans="1:19" s="40" customFormat="1" ht="11.25" x14ac:dyDescent="0.2">
      <c r="A39" s="143">
        <v>2500</v>
      </c>
      <c r="B39" s="51">
        <v>60</v>
      </c>
      <c r="C39" s="101">
        <f t="shared" si="0"/>
        <v>256</v>
      </c>
      <c r="D39" s="102">
        <f t="shared" si="1"/>
        <v>32</v>
      </c>
      <c r="E39" s="52">
        <v>12</v>
      </c>
      <c r="F39" s="104">
        <f t="shared" si="2"/>
        <v>44</v>
      </c>
      <c r="G39" s="105">
        <f t="shared" si="3"/>
        <v>4.8888888888888893</v>
      </c>
      <c r="H39" s="50">
        <f t="shared" si="4"/>
        <v>5</v>
      </c>
      <c r="I39" s="123">
        <f t="shared" si="5"/>
        <v>4.5</v>
      </c>
      <c r="J39" s="123">
        <v>2</v>
      </c>
      <c r="K39" s="124">
        <f t="shared" si="6"/>
        <v>1569.28</v>
      </c>
      <c r="L39" s="125">
        <f t="shared" si="7"/>
        <v>710</v>
      </c>
      <c r="M39" s="125">
        <f t="shared" si="9"/>
        <v>2241</v>
      </c>
      <c r="N39" s="125">
        <f t="shared" si="10"/>
        <v>958.76</v>
      </c>
      <c r="O39" s="126">
        <f t="shared" si="11"/>
        <v>5479.04</v>
      </c>
      <c r="P39" s="124">
        <f t="shared" si="12"/>
        <v>1437.4086002758631</v>
      </c>
      <c r="Q39" s="144">
        <f t="shared" si="13"/>
        <v>6916.4486002758631</v>
      </c>
      <c r="R39" s="149">
        <f t="shared" si="8"/>
        <v>1383.2897200551727</v>
      </c>
      <c r="S39" s="42"/>
    </row>
    <row r="40" spans="1:19" s="40" customFormat="1" ht="11.25" x14ac:dyDescent="0.2">
      <c r="A40" s="143">
        <v>2600</v>
      </c>
      <c r="B40" s="51">
        <v>60</v>
      </c>
      <c r="C40" s="101">
        <f t="shared" si="0"/>
        <v>266</v>
      </c>
      <c r="D40" s="102">
        <f t="shared" si="1"/>
        <v>33.25</v>
      </c>
      <c r="E40" s="52">
        <v>12</v>
      </c>
      <c r="F40" s="104">
        <f t="shared" si="2"/>
        <v>45.25</v>
      </c>
      <c r="G40" s="105">
        <f t="shared" si="3"/>
        <v>5.0277777777777777</v>
      </c>
      <c r="H40" s="50">
        <f t="shared" si="4"/>
        <v>6</v>
      </c>
      <c r="I40" s="123">
        <f t="shared" si="5"/>
        <v>5.5</v>
      </c>
      <c r="J40" s="123">
        <v>2</v>
      </c>
      <c r="K40" s="124">
        <f t="shared" si="6"/>
        <v>1630.58</v>
      </c>
      <c r="L40" s="125">
        <f t="shared" si="7"/>
        <v>852</v>
      </c>
      <c r="M40" s="125">
        <f t="shared" si="9"/>
        <v>2739</v>
      </c>
      <c r="N40" s="125">
        <f t="shared" si="10"/>
        <v>1002.3399999999999</v>
      </c>
      <c r="O40" s="126">
        <f t="shared" si="11"/>
        <v>6223.92</v>
      </c>
      <c r="P40" s="124">
        <f t="shared" si="12"/>
        <v>1632.8254831921195</v>
      </c>
      <c r="Q40" s="144">
        <f t="shared" si="13"/>
        <v>7856.7454831921195</v>
      </c>
      <c r="R40" s="149">
        <f t="shared" si="8"/>
        <v>1309.4575805320198</v>
      </c>
      <c r="S40" s="42"/>
    </row>
    <row r="41" spans="1:19" s="40" customFormat="1" ht="11.25" x14ac:dyDescent="0.2">
      <c r="A41" s="143">
        <v>2700</v>
      </c>
      <c r="B41" s="51">
        <v>60</v>
      </c>
      <c r="C41" s="101">
        <f t="shared" si="0"/>
        <v>276</v>
      </c>
      <c r="D41" s="102">
        <f t="shared" si="1"/>
        <v>34.5</v>
      </c>
      <c r="E41" s="52">
        <v>12</v>
      </c>
      <c r="F41" s="104">
        <f t="shared" si="2"/>
        <v>46.5</v>
      </c>
      <c r="G41" s="105">
        <f t="shared" si="3"/>
        <v>5.166666666666667</v>
      </c>
      <c r="H41" s="50">
        <f t="shared" si="4"/>
        <v>6</v>
      </c>
      <c r="I41" s="123">
        <f t="shared" si="5"/>
        <v>5.5</v>
      </c>
      <c r="J41" s="123">
        <v>2</v>
      </c>
      <c r="K41" s="124">
        <f t="shared" si="6"/>
        <v>1691.8799999999999</v>
      </c>
      <c r="L41" s="125">
        <f t="shared" si="7"/>
        <v>852</v>
      </c>
      <c r="M41" s="125">
        <f t="shared" si="9"/>
        <v>2739</v>
      </c>
      <c r="N41" s="125">
        <f t="shared" si="10"/>
        <v>1024.1299999999999</v>
      </c>
      <c r="O41" s="126">
        <f t="shared" si="11"/>
        <v>6307.01</v>
      </c>
      <c r="P41" s="124">
        <f t="shared" si="12"/>
        <v>1654.6238786403953</v>
      </c>
      <c r="Q41" s="144">
        <f t="shared" si="13"/>
        <v>7961.6338786403958</v>
      </c>
      <c r="R41" s="149">
        <f t="shared" si="8"/>
        <v>1326.9389797733993</v>
      </c>
      <c r="S41" s="42"/>
    </row>
    <row r="42" spans="1:19" s="40" customFormat="1" ht="11.25" x14ac:dyDescent="0.2">
      <c r="A42" s="143">
        <v>2800</v>
      </c>
      <c r="B42" s="51">
        <v>60</v>
      </c>
      <c r="C42" s="101">
        <f t="shared" si="0"/>
        <v>286</v>
      </c>
      <c r="D42" s="102">
        <f t="shared" si="1"/>
        <v>35.75</v>
      </c>
      <c r="E42" s="52">
        <v>12</v>
      </c>
      <c r="F42" s="104">
        <f t="shared" si="2"/>
        <v>47.75</v>
      </c>
      <c r="G42" s="105">
        <f t="shared" si="3"/>
        <v>5.3055555555555554</v>
      </c>
      <c r="H42" s="50">
        <f t="shared" si="4"/>
        <v>6</v>
      </c>
      <c r="I42" s="123">
        <f t="shared" si="5"/>
        <v>5.5</v>
      </c>
      <c r="J42" s="123">
        <v>2</v>
      </c>
      <c r="K42" s="124">
        <f t="shared" si="6"/>
        <v>1753.18</v>
      </c>
      <c r="L42" s="125">
        <f t="shared" si="7"/>
        <v>852</v>
      </c>
      <c r="M42" s="125">
        <f t="shared" si="9"/>
        <v>2739</v>
      </c>
      <c r="N42" s="125">
        <f t="shared" si="10"/>
        <v>1045.92</v>
      </c>
      <c r="O42" s="126">
        <f t="shared" si="11"/>
        <v>6390.1</v>
      </c>
      <c r="P42" s="124">
        <f t="shared" si="12"/>
        <v>1676.4222740886714</v>
      </c>
      <c r="Q42" s="144">
        <f t="shared" si="13"/>
        <v>8066.522274088672</v>
      </c>
      <c r="R42" s="149">
        <f t="shared" si="8"/>
        <v>1344.4203790147787</v>
      </c>
      <c r="S42" s="42"/>
    </row>
    <row r="43" spans="1:19" s="44" customFormat="1" ht="11.25" x14ac:dyDescent="0.2">
      <c r="D43" s="45"/>
      <c r="E43" s="46"/>
      <c r="F43" s="47"/>
      <c r="G43" s="48"/>
      <c r="H43" s="48"/>
      <c r="I43" s="48"/>
      <c r="J43" s="113"/>
      <c r="K43" s="48"/>
      <c r="N43" s="127"/>
      <c r="P43" s="40"/>
      <c r="Q43" s="49"/>
      <c r="R43" s="150"/>
    </row>
    <row r="44" spans="1:19" x14ac:dyDescent="0.2">
      <c r="Q44" s="155" t="s">
        <v>148</v>
      </c>
      <c r="R44" s="156">
        <f>AVERAGE(R16:R42)</f>
        <v>1221.8373022621058</v>
      </c>
    </row>
    <row r="49" spans="10:18" s="29" customFormat="1" ht="11.25" x14ac:dyDescent="0.2">
      <c r="J49" s="117"/>
      <c r="N49" s="117"/>
      <c r="R49" s="66"/>
    </row>
    <row r="50" spans="10:18" s="29" customFormat="1" ht="11.25" x14ac:dyDescent="0.2">
      <c r="J50" s="117"/>
      <c r="N50" s="117"/>
      <c r="R50" s="66"/>
    </row>
    <row r="51" spans="10:18" s="29" customFormat="1" ht="11.25" x14ac:dyDescent="0.2">
      <c r="J51" s="117"/>
      <c r="N51" s="117"/>
      <c r="R51" s="66"/>
    </row>
    <row r="52" spans="10:18" s="29" customFormat="1" ht="11.25" x14ac:dyDescent="0.2">
      <c r="J52" s="117"/>
      <c r="N52" s="117"/>
      <c r="R52" s="66"/>
    </row>
    <row r="53" spans="10:18" s="29" customFormat="1" ht="11.25" x14ac:dyDescent="0.2">
      <c r="J53" s="117"/>
      <c r="N53" s="117"/>
      <c r="R53" s="66"/>
    </row>
    <row r="54" spans="10:18" s="29" customFormat="1" ht="11.25" x14ac:dyDescent="0.2">
      <c r="J54" s="117"/>
      <c r="N54" s="117"/>
      <c r="R54" s="66"/>
    </row>
    <row r="56" spans="10:18" s="29" customFormat="1" ht="11.25" x14ac:dyDescent="0.2">
      <c r="J56" s="117"/>
      <c r="N56" s="117"/>
      <c r="R56" s="66"/>
    </row>
  </sheetData>
  <mergeCells count="1">
    <mergeCell ref="A12:E12"/>
  </mergeCells>
  <pageMargins left="0.78740157480314965" right="0.78740157480314965" top="0.98425196850393704" bottom="0.98425196850393704" header="0.51181102362204722" footer="0.51181102362204722"/>
  <pageSetup paperSize="9" scale="50" firstPageNumber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2"/>
  <sheetViews>
    <sheetView zoomScaleNormal="100" workbookViewId="0">
      <selection activeCell="O14" sqref="O14"/>
    </sheetView>
  </sheetViews>
  <sheetFormatPr defaultColWidth="8.6640625" defaultRowHeight="12.75" x14ac:dyDescent="0.2"/>
  <cols>
    <col min="1" max="3" width="15.83203125" style="29" customWidth="1"/>
    <col min="4" max="4" width="15.83203125" style="30" customWidth="1"/>
    <col min="5" max="5" width="15.83203125" style="31" customWidth="1"/>
    <col min="6" max="6" width="15.83203125" style="32" customWidth="1"/>
    <col min="7" max="9" width="15.83203125" style="33" customWidth="1"/>
    <col min="10" max="10" width="15.83203125" style="118" customWidth="1"/>
    <col min="11" max="11" width="15.83203125" style="33" customWidth="1"/>
    <col min="12" max="13" width="15.83203125" style="29" customWidth="1"/>
    <col min="14" max="14" width="15.83203125" style="117" customWidth="1"/>
    <col min="15" max="15" width="15.83203125" style="29" customWidth="1"/>
    <col min="16" max="16" width="15.83203125" style="34" customWidth="1"/>
    <col min="17" max="17" width="15.83203125" style="35" customWidth="1"/>
    <col min="18" max="18" width="15.83203125" style="63" customWidth="1"/>
    <col min="19" max="1025" width="8.6640625" style="29"/>
  </cols>
  <sheetData>
    <row r="1" spans="1:19" ht="15.75" x14ac:dyDescent="0.25">
      <c r="A1" s="183" t="s">
        <v>165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62"/>
    </row>
    <row r="2" spans="1:19" x14ac:dyDescent="0.2">
      <c r="A2" s="161" t="s">
        <v>125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62"/>
    </row>
    <row r="3" spans="1:19" x14ac:dyDescent="0.2">
      <c r="A3" s="184"/>
      <c r="B3" s="35"/>
      <c r="C3" s="35"/>
      <c r="D3" s="35"/>
      <c r="E3" s="35"/>
      <c r="F3" s="35"/>
      <c r="G3" s="35"/>
      <c r="H3" s="35"/>
      <c r="I3" s="35"/>
      <c r="J3" s="119"/>
      <c r="K3" s="35"/>
      <c r="L3" s="35"/>
      <c r="M3" s="35"/>
      <c r="N3" s="119"/>
      <c r="O3" s="35"/>
    </row>
    <row r="4" spans="1:19" s="38" customFormat="1" ht="11.25" x14ac:dyDescent="0.2">
      <c r="A4" s="53" t="s">
        <v>123</v>
      </c>
      <c r="B4" s="36"/>
      <c r="C4" s="36"/>
      <c r="D4" s="36"/>
      <c r="E4" s="36"/>
      <c r="F4" s="36"/>
      <c r="G4" s="37"/>
      <c r="H4" s="37"/>
      <c r="I4" s="37"/>
      <c r="J4" s="120"/>
      <c r="K4" s="37"/>
      <c r="N4" s="121"/>
      <c r="P4" s="34"/>
      <c r="Q4" s="34"/>
      <c r="R4" s="64"/>
    </row>
    <row r="5" spans="1:19" x14ac:dyDescent="0.2">
      <c r="A5" s="54" t="s">
        <v>93</v>
      </c>
      <c r="B5" s="55"/>
      <c r="C5" s="55"/>
      <c r="D5" s="55"/>
      <c r="E5" s="56"/>
      <c r="F5" s="95">
        <f>'Deslocamento 1 município'!F5</f>
        <v>80</v>
      </c>
    </row>
    <row r="6" spans="1:19" x14ac:dyDescent="0.2">
      <c r="A6" s="54" t="s">
        <v>94</v>
      </c>
      <c r="B6" s="55"/>
      <c r="C6" s="55"/>
      <c r="D6" s="55"/>
      <c r="E6" s="56"/>
      <c r="F6" s="95">
        <f>'Deslocamento 1 município'!F6</f>
        <v>4</v>
      </c>
    </row>
    <row r="7" spans="1:19" x14ac:dyDescent="0.2">
      <c r="A7" s="192" t="s">
        <v>95</v>
      </c>
      <c r="B7" s="193"/>
      <c r="C7" s="193"/>
      <c r="D7" s="193"/>
      <c r="E7" s="194"/>
      <c r="F7" s="188">
        <v>142</v>
      </c>
    </row>
    <row r="8" spans="1:19" x14ac:dyDescent="0.2">
      <c r="A8" s="195" t="s">
        <v>96</v>
      </c>
      <c r="B8" s="196"/>
      <c r="C8" s="196"/>
      <c r="D8" s="196"/>
      <c r="E8" s="197"/>
      <c r="F8" s="95" t="str">
        <f>'Deslocamento 1 município'!F8</f>
        <v>20Km</v>
      </c>
    </row>
    <row r="9" spans="1:19" x14ac:dyDescent="0.2">
      <c r="A9" s="192" t="s">
        <v>98</v>
      </c>
      <c r="B9" s="193"/>
      <c r="C9" s="193"/>
      <c r="D9" s="193"/>
      <c r="E9" s="194"/>
      <c r="F9" s="190">
        <v>6.13</v>
      </c>
    </row>
    <row r="10" spans="1:19" x14ac:dyDescent="0.2">
      <c r="A10" s="195" t="s">
        <v>99</v>
      </c>
      <c r="B10" s="196"/>
      <c r="C10" s="196"/>
      <c r="D10" s="196"/>
      <c r="E10" s="197"/>
      <c r="F10" s="95">
        <f>'Deslocamento 1 município'!F10</f>
        <v>10</v>
      </c>
    </row>
    <row r="11" spans="1:19" x14ac:dyDescent="0.2">
      <c r="A11" s="192" t="s">
        <v>100</v>
      </c>
      <c r="B11" s="193"/>
      <c r="C11" s="193"/>
      <c r="D11" s="193"/>
      <c r="E11" s="194"/>
      <c r="F11" s="188">
        <v>249</v>
      </c>
    </row>
    <row r="12" spans="1:19" s="38" customFormat="1" ht="11.25" x14ac:dyDescent="0.2">
      <c r="A12" s="247" t="s">
        <v>164</v>
      </c>
      <c r="B12" s="248"/>
      <c r="C12" s="248"/>
      <c r="D12" s="248"/>
      <c r="E12" s="249"/>
      <c r="F12" s="182">
        <f>'Deslocamento 1 município'!F12</f>
        <v>21.79</v>
      </c>
      <c r="G12" s="37"/>
      <c r="H12" s="37"/>
      <c r="I12" s="37"/>
      <c r="J12" s="120"/>
      <c r="K12" s="37"/>
      <c r="N12" s="121"/>
      <c r="P12" s="34"/>
      <c r="Q12" s="34"/>
      <c r="R12" s="64"/>
    </row>
    <row r="13" spans="1:19" x14ac:dyDescent="0.2">
      <c r="A13" s="185" t="s">
        <v>167</v>
      </c>
    </row>
    <row r="14" spans="1:19" s="40" customFormat="1" ht="90" x14ac:dyDescent="0.2">
      <c r="A14" s="131" t="s">
        <v>101</v>
      </c>
      <c r="B14" s="146" t="s">
        <v>120</v>
      </c>
      <c r="C14" s="131" t="s">
        <v>102</v>
      </c>
      <c r="D14" s="133" t="s">
        <v>103</v>
      </c>
      <c r="E14" s="147" t="s">
        <v>126</v>
      </c>
      <c r="F14" s="135" t="s">
        <v>104</v>
      </c>
      <c r="G14" s="136" t="s">
        <v>105</v>
      </c>
      <c r="H14" s="136" t="s">
        <v>106</v>
      </c>
      <c r="I14" s="136" t="s">
        <v>107</v>
      </c>
      <c r="J14" s="136" t="s">
        <v>146</v>
      </c>
      <c r="K14" s="131" t="s">
        <v>108</v>
      </c>
      <c r="L14" s="131" t="s">
        <v>109</v>
      </c>
      <c r="M14" s="159" t="s">
        <v>154</v>
      </c>
      <c r="N14" s="131" t="s">
        <v>155</v>
      </c>
      <c r="O14" s="131" t="s">
        <v>110</v>
      </c>
      <c r="P14" s="137" t="s">
        <v>169</v>
      </c>
      <c r="Q14" s="131" t="s">
        <v>111</v>
      </c>
      <c r="R14" s="130" t="s">
        <v>112</v>
      </c>
    </row>
    <row r="15" spans="1:19" s="41" customFormat="1" ht="11.25" x14ac:dyDescent="0.2">
      <c r="A15" s="138" t="s">
        <v>113</v>
      </c>
      <c r="B15" s="138" t="s">
        <v>113</v>
      </c>
      <c r="C15" s="138" t="s">
        <v>114</v>
      </c>
      <c r="D15" s="139" t="s">
        <v>115</v>
      </c>
      <c r="E15" s="140" t="s">
        <v>115</v>
      </c>
      <c r="F15" s="141" t="s">
        <v>115</v>
      </c>
      <c r="G15" s="139" t="s">
        <v>116</v>
      </c>
      <c r="H15" s="139" t="s">
        <v>117</v>
      </c>
      <c r="I15" s="138" t="s">
        <v>117</v>
      </c>
      <c r="J15" s="138" t="s">
        <v>117</v>
      </c>
      <c r="K15" s="138" t="s">
        <v>118</v>
      </c>
      <c r="L15" s="138" t="s">
        <v>118</v>
      </c>
      <c r="M15" s="138" t="s">
        <v>118</v>
      </c>
      <c r="N15" s="138" t="s">
        <v>118</v>
      </c>
      <c r="O15" s="138" t="s">
        <v>118</v>
      </c>
      <c r="P15" s="142">
        <f>arqeng!C125</f>
        <v>0.26234679802955685</v>
      </c>
      <c r="Q15" s="138" t="s">
        <v>118</v>
      </c>
      <c r="R15" s="148" t="s">
        <v>118</v>
      </c>
    </row>
    <row r="16" spans="1:19" s="40" customFormat="1" ht="11.25" x14ac:dyDescent="0.2">
      <c r="A16" s="143">
        <v>300</v>
      </c>
      <c r="B16" s="51">
        <v>80</v>
      </c>
      <c r="C16" s="101">
        <f t="shared" ref="C16:C38" si="0">((A16+B16)/10)</f>
        <v>38</v>
      </c>
      <c r="D16" s="102">
        <f t="shared" ref="D16:D38" si="1">((A16+B16)/80)</f>
        <v>4.75</v>
      </c>
      <c r="E16" s="52">
        <v>16</v>
      </c>
      <c r="F16" s="104">
        <f t="shared" ref="F16:F38" si="2">D16+E16</f>
        <v>20.75</v>
      </c>
      <c r="G16" s="105">
        <f t="shared" ref="G16:G38" si="3">F16/9</f>
        <v>2.3055555555555554</v>
      </c>
      <c r="H16" s="50">
        <f t="shared" ref="H16:H38" si="4">ROUNDUP(G16,0)</f>
        <v>3</v>
      </c>
      <c r="I16" s="123">
        <f t="shared" ref="I16:I38" si="5">H16-0.5</f>
        <v>2.5</v>
      </c>
      <c r="J16" s="123">
        <v>2</v>
      </c>
      <c r="K16" s="124">
        <f t="shared" ref="K16:K38" si="6">C16*$F$9</f>
        <v>232.94</v>
      </c>
      <c r="L16" s="126">
        <f t="shared" ref="L16:L38" si="7">H16*$F$7</f>
        <v>426</v>
      </c>
      <c r="M16" s="125">
        <f>(I16*$F$11)*J16</f>
        <v>1245</v>
      </c>
      <c r="N16" s="125">
        <f>+(ROUNDUP(F16,0))*$F$12</f>
        <v>457.59</v>
      </c>
      <c r="O16" s="126">
        <f t="shared" ref="O16:O38" si="8">K16+L16+M16+N16</f>
        <v>2361.5300000000002</v>
      </c>
      <c r="P16" s="124">
        <f>O16*$P$15</f>
        <v>619.53983395073942</v>
      </c>
      <c r="Q16" s="144">
        <f t="shared" ref="Q16:Q38" si="9">O16+P16</f>
        <v>2981.0698339507398</v>
      </c>
      <c r="R16" s="149">
        <f>Q16/H16</f>
        <v>993.68994465024662</v>
      </c>
      <c r="S16" s="43"/>
    </row>
    <row r="17" spans="1:19" s="40" customFormat="1" ht="11.25" x14ac:dyDescent="0.2">
      <c r="A17" s="143">
        <v>400</v>
      </c>
      <c r="B17" s="51">
        <v>80</v>
      </c>
      <c r="C17" s="101">
        <f t="shared" si="0"/>
        <v>48</v>
      </c>
      <c r="D17" s="102">
        <f t="shared" si="1"/>
        <v>6</v>
      </c>
      <c r="E17" s="52">
        <v>16</v>
      </c>
      <c r="F17" s="104">
        <f t="shared" si="2"/>
        <v>22</v>
      </c>
      <c r="G17" s="105">
        <f t="shared" si="3"/>
        <v>2.4444444444444446</v>
      </c>
      <c r="H17" s="50">
        <f t="shared" si="4"/>
        <v>3</v>
      </c>
      <c r="I17" s="123">
        <f t="shared" si="5"/>
        <v>2.5</v>
      </c>
      <c r="J17" s="123">
        <v>2</v>
      </c>
      <c r="K17" s="124">
        <f t="shared" si="6"/>
        <v>294.24</v>
      </c>
      <c r="L17" s="126">
        <f t="shared" si="7"/>
        <v>426</v>
      </c>
      <c r="M17" s="125">
        <f t="shared" ref="M17:M38" si="10">(I17*$F$11)*J17</f>
        <v>1245</v>
      </c>
      <c r="N17" s="125">
        <f t="shared" ref="N17:N38" si="11">+(ROUNDUP(F17,0))*$F$12</f>
        <v>479.38</v>
      </c>
      <c r="O17" s="126">
        <f t="shared" si="8"/>
        <v>2444.62</v>
      </c>
      <c r="P17" s="124">
        <f t="shared" ref="P17:P38" si="12">O17*$P$15</f>
        <v>641.33822939901529</v>
      </c>
      <c r="Q17" s="144">
        <f t="shared" si="9"/>
        <v>3085.9582293990152</v>
      </c>
      <c r="R17" s="149">
        <f t="shared" ref="R17:R38" si="13">Q17/H17</f>
        <v>1028.6527431330051</v>
      </c>
      <c r="S17" s="42"/>
    </row>
    <row r="18" spans="1:19" s="40" customFormat="1" ht="11.25" x14ac:dyDescent="0.2">
      <c r="A18" s="143">
        <v>500</v>
      </c>
      <c r="B18" s="51">
        <v>80</v>
      </c>
      <c r="C18" s="101">
        <f t="shared" si="0"/>
        <v>58</v>
      </c>
      <c r="D18" s="102">
        <f t="shared" si="1"/>
        <v>7.25</v>
      </c>
      <c r="E18" s="52">
        <v>16</v>
      </c>
      <c r="F18" s="104">
        <f t="shared" si="2"/>
        <v>23.25</v>
      </c>
      <c r="G18" s="105">
        <f t="shared" si="3"/>
        <v>2.5833333333333335</v>
      </c>
      <c r="H18" s="50">
        <f t="shared" si="4"/>
        <v>3</v>
      </c>
      <c r="I18" s="123">
        <f t="shared" si="5"/>
        <v>2.5</v>
      </c>
      <c r="J18" s="123">
        <v>2</v>
      </c>
      <c r="K18" s="124">
        <f t="shared" si="6"/>
        <v>355.54</v>
      </c>
      <c r="L18" s="126">
        <f t="shared" si="7"/>
        <v>426</v>
      </c>
      <c r="M18" s="125">
        <f t="shared" si="10"/>
        <v>1245</v>
      </c>
      <c r="N18" s="125">
        <f t="shared" si="11"/>
        <v>522.96</v>
      </c>
      <c r="O18" s="126">
        <f t="shared" si="8"/>
        <v>2549.5</v>
      </c>
      <c r="P18" s="124">
        <f t="shared" si="12"/>
        <v>668.85316157635521</v>
      </c>
      <c r="Q18" s="144">
        <f t="shared" si="9"/>
        <v>3218.353161576355</v>
      </c>
      <c r="R18" s="149">
        <f t="shared" si="13"/>
        <v>1072.7843871921184</v>
      </c>
      <c r="S18" s="42"/>
    </row>
    <row r="19" spans="1:19" s="40" customFormat="1" ht="11.25" x14ac:dyDescent="0.2">
      <c r="A19" s="143">
        <v>600</v>
      </c>
      <c r="B19" s="51">
        <v>80</v>
      </c>
      <c r="C19" s="101">
        <f t="shared" si="0"/>
        <v>68</v>
      </c>
      <c r="D19" s="102">
        <f t="shared" si="1"/>
        <v>8.5</v>
      </c>
      <c r="E19" s="52">
        <v>16</v>
      </c>
      <c r="F19" s="104">
        <f t="shared" si="2"/>
        <v>24.5</v>
      </c>
      <c r="G19" s="105">
        <f t="shared" si="3"/>
        <v>2.7222222222222223</v>
      </c>
      <c r="H19" s="50">
        <f t="shared" si="4"/>
        <v>3</v>
      </c>
      <c r="I19" s="123">
        <f t="shared" si="5"/>
        <v>2.5</v>
      </c>
      <c r="J19" s="123">
        <v>2</v>
      </c>
      <c r="K19" s="124">
        <f t="shared" si="6"/>
        <v>416.84</v>
      </c>
      <c r="L19" s="126">
        <f t="shared" si="7"/>
        <v>426</v>
      </c>
      <c r="M19" s="125">
        <f t="shared" si="10"/>
        <v>1245</v>
      </c>
      <c r="N19" s="125">
        <f t="shared" si="11"/>
        <v>544.75</v>
      </c>
      <c r="O19" s="126">
        <f t="shared" si="8"/>
        <v>2632.59</v>
      </c>
      <c r="P19" s="124">
        <f t="shared" si="12"/>
        <v>690.65155702463107</v>
      </c>
      <c r="Q19" s="144">
        <f t="shared" si="9"/>
        <v>3323.2415570246312</v>
      </c>
      <c r="R19" s="149">
        <f t="shared" si="13"/>
        <v>1107.7471856748771</v>
      </c>
      <c r="S19" s="42"/>
    </row>
    <row r="20" spans="1:19" s="40" customFormat="1" ht="11.25" x14ac:dyDescent="0.2">
      <c r="A20" s="143">
        <v>700</v>
      </c>
      <c r="B20" s="51">
        <v>80</v>
      </c>
      <c r="C20" s="101">
        <f t="shared" si="0"/>
        <v>78</v>
      </c>
      <c r="D20" s="102">
        <f t="shared" si="1"/>
        <v>9.75</v>
      </c>
      <c r="E20" s="52">
        <v>16</v>
      </c>
      <c r="F20" s="104">
        <f t="shared" si="2"/>
        <v>25.75</v>
      </c>
      <c r="G20" s="105">
        <f t="shared" si="3"/>
        <v>2.8611111111111112</v>
      </c>
      <c r="H20" s="50">
        <f t="shared" si="4"/>
        <v>3</v>
      </c>
      <c r="I20" s="123">
        <f t="shared" si="5"/>
        <v>2.5</v>
      </c>
      <c r="J20" s="123">
        <v>2</v>
      </c>
      <c r="K20" s="124">
        <f t="shared" si="6"/>
        <v>478.14</v>
      </c>
      <c r="L20" s="126">
        <f t="shared" si="7"/>
        <v>426</v>
      </c>
      <c r="M20" s="125">
        <f t="shared" si="10"/>
        <v>1245</v>
      </c>
      <c r="N20" s="125">
        <f t="shared" si="11"/>
        <v>566.54</v>
      </c>
      <c r="O20" s="126">
        <f t="shared" si="8"/>
        <v>2715.68</v>
      </c>
      <c r="P20" s="124">
        <f t="shared" si="12"/>
        <v>712.44995247290694</v>
      </c>
      <c r="Q20" s="144">
        <f t="shared" si="9"/>
        <v>3428.1299524729066</v>
      </c>
      <c r="R20" s="149">
        <f t="shared" si="13"/>
        <v>1142.7099841576355</v>
      </c>
      <c r="S20" s="42"/>
    </row>
    <row r="21" spans="1:19" s="40" customFormat="1" ht="11.25" x14ac:dyDescent="0.2">
      <c r="A21" s="143">
        <v>800</v>
      </c>
      <c r="B21" s="51">
        <v>80</v>
      </c>
      <c r="C21" s="101">
        <f t="shared" si="0"/>
        <v>88</v>
      </c>
      <c r="D21" s="102">
        <f t="shared" si="1"/>
        <v>11</v>
      </c>
      <c r="E21" s="52">
        <v>16</v>
      </c>
      <c r="F21" s="104">
        <f t="shared" si="2"/>
        <v>27</v>
      </c>
      <c r="G21" s="105">
        <f t="shared" si="3"/>
        <v>3</v>
      </c>
      <c r="H21" s="50">
        <f t="shared" si="4"/>
        <v>3</v>
      </c>
      <c r="I21" s="123">
        <f t="shared" si="5"/>
        <v>2.5</v>
      </c>
      <c r="J21" s="123">
        <v>2</v>
      </c>
      <c r="K21" s="124">
        <f t="shared" si="6"/>
        <v>539.43999999999994</v>
      </c>
      <c r="L21" s="126">
        <f t="shared" si="7"/>
        <v>426</v>
      </c>
      <c r="M21" s="125">
        <f t="shared" si="10"/>
        <v>1245</v>
      </c>
      <c r="N21" s="125">
        <f t="shared" si="11"/>
        <v>588.32999999999993</v>
      </c>
      <c r="O21" s="126">
        <f t="shared" si="8"/>
        <v>2798.77</v>
      </c>
      <c r="P21" s="124">
        <f t="shared" si="12"/>
        <v>734.24834792118281</v>
      </c>
      <c r="Q21" s="144">
        <f t="shared" si="9"/>
        <v>3533.0183479211828</v>
      </c>
      <c r="R21" s="149">
        <f t="shared" si="13"/>
        <v>1177.6727826403942</v>
      </c>
      <c r="S21" s="42"/>
    </row>
    <row r="22" spans="1:19" s="40" customFormat="1" ht="11.25" x14ac:dyDescent="0.2">
      <c r="A22" s="143">
        <v>900</v>
      </c>
      <c r="B22" s="51">
        <v>80</v>
      </c>
      <c r="C22" s="101">
        <f t="shared" si="0"/>
        <v>98</v>
      </c>
      <c r="D22" s="102">
        <f t="shared" si="1"/>
        <v>12.25</v>
      </c>
      <c r="E22" s="52">
        <v>16</v>
      </c>
      <c r="F22" s="104">
        <f t="shared" si="2"/>
        <v>28.25</v>
      </c>
      <c r="G22" s="105">
        <f t="shared" si="3"/>
        <v>3.1388888888888888</v>
      </c>
      <c r="H22" s="50">
        <f t="shared" si="4"/>
        <v>4</v>
      </c>
      <c r="I22" s="123">
        <f t="shared" si="5"/>
        <v>3.5</v>
      </c>
      <c r="J22" s="123">
        <v>2</v>
      </c>
      <c r="K22" s="124">
        <f t="shared" si="6"/>
        <v>600.74</v>
      </c>
      <c r="L22" s="126">
        <f t="shared" si="7"/>
        <v>568</v>
      </c>
      <c r="M22" s="125">
        <f t="shared" si="10"/>
        <v>1743</v>
      </c>
      <c r="N22" s="125">
        <f t="shared" si="11"/>
        <v>631.91</v>
      </c>
      <c r="O22" s="126">
        <f t="shared" si="8"/>
        <v>3543.6499999999996</v>
      </c>
      <c r="P22" s="124">
        <f t="shared" si="12"/>
        <v>929.66523083743903</v>
      </c>
      <c r="Q22" s="144">
        <f t="shared" si="9"/>
        <v>4473.3152308374383</v>
      </c>
      <c r="R22" s="149">
        <f t="shared" si="13"/>
        <v>1118.3288077093596</v>
      </c>
      <c r="S22" s="42"/>
    </row>
    <row r="23" spans="1:19" s="40" customFormat="1" ht="11.25" x14ac:dyDescent="0.2">
      <c r="A23" s="143">
        <v>1000</v>
      </c>
      <c r="B23" s="51">
        <v>80</v>
      </c>
      <c r="C23" s="101">
        <f t="shared" si="0"/>
        <v>108</v>
      </c>
      <c r="D23" s="102">
        <f t="shared" si="1"/>
        <v>13.5</v>
      </c>
      <c r="E23" s="52">
        <v>16</v>
      </c>
      <c r="F23" s="104">
        <f t="shared" si="2"/>
        <v>29.5</v>
      </c>
      <c r="G23" s="105">
        <f t="shared" si="3"/>
        <v>3.2777777777777777</v>
      </c>
      <c r="H23" s="50">
        <f t="shared" si="4"/>
        <v>4</v>
      </c>
      <c r="I23" s="123">
        <f t="shared" si="5"/>
        <v>3.5</v>
      </c>
      <c r="J23" s="123">
        <v>2</v>
      </c>
      <c r="K23" s="124">
        <f t="shared" si="6"/>
        <v>662.04</v>
      </c>
      <c r="L23" s="126">
        <f t="shared" si="7"/>
        <v>568</v>
      </c>
      <c r="M23" s="125">
        <f t="shared" si="10"/>
        <v>1743</v>
      </c>
      <c r="N23" s="125">
        <f t="shared" si="11"/>
        <v>653.69999999999993</v>
      </c>
      <c r="O23" s="126">
        <f t="shared" si="8"/>
        <v>3626.74</v>
      </c>
      <c r="P23" s="124">
        <f t="shared" si="12"/>
        <v>951.46362628571489</v>
      </c>
      <c r="Q23" s="144">
        <f t="shared" si="9"/>
        <v>4578.2036262857146</v>
      </c>
      <c r="R23" s="149">
        <f t="shared" si="13"/>
        <v>1144.5509065714286</v>
      </c>
      <c r="S23" s="42"/>
    </row>
    <row r="24" spans="1:19" s="40" customFormat="1" ht="11.25" x14ac:dyDescent="0.2">
      <c r="A24" s="143">
        <v>1100</v>
      </c>
      <c r="B24" s="51">
        <v>80</v>
      </c>
      <c r="C24" s="101">
        <f t="shared" si="0"/>
        <v>118</v>
      </c>
      <c r="D24" s="102">
        <f t="shared" si="1"/>
        <v>14.75</v>
      </c>
      <c r="E24" s="52">
        <v>16</v>
      </c>
      <c r="F24" s="104">
        <f t="shared" si="2"/>
        <v>30.75</v>
      </c>
      <c r="G24" s="105">
        <f t="shared" si="3"/>
        <v>3.4166666666666665</v>
      </c>
      <c r="H24" s="50">
        <f t="shared" si="4"/>
        <v>4</v>
      </c>
      <c r="I24" s="123">
        <f t="shared" si="5"/>
        <v>3.5</v>
      </c>
      <c r="J24" s="123">
        <v>2</v>
      </c>
      <c r="K24" s="124">
        <f t="shared" si="6"/>
        <v>723.34</v>
      </c>
      <c r="L24" s="126">
        <f t="shared" si="7"/>
        <v>568</v>
      </c>
      <c r="M24" s="125">
        <f t="shared" si="10"/>
        <v>1743</v>
      </c>
      <c r="N24" s="125">
        <f t="shared" si="11"/>
        <v>675.49</v>
      </c>
      <c r="O24" s="126">
        <f t="shared" si="8"/>
        <v>3709.83</v>
      </c>
      <c r="P24" s="124">
        <f t="shared" si="12"/>
        <v>973.26202173399088</v>
      </c>
      <c r="Q24" s="144">
        <f t="shared" si="9"/>
        <v>4683.0920217339908</v>
      </c>
      <c r="R24" s="149">
        <f t="shared" si="13"/>
        <v>1170.7730054334977</v>
      </c>
      <c r="S24" s="42"/>
    </row>
    <row r="25" spans="1:19" s="40" customFormat="1" ht="11.25" x14ac:dyDescent="0.2">
      <c r="A25" s="143">
        <v>1200</v>
      </c>
      <c r="B25" s="51">
        <v>80</v>
      </c>
      <c r="C25" s="101">
        <f t="shared" si="0"/>
        <v>128</v>
      </c>
      <c r="D25" s="102">
        <f t="shared" si="1"/>
        <v>16</v>
      </c>
      <c r="E25" s="52">
        <v>16</v>
      </c>
      <c r="F25" s="104">
        <f t="shared" si="2"/>
        <v>32</v>
      </c>
      <c r="G25" s="105">
        <f t="shared" si="3"/>
        <v>3.5555555555555554</v>
      </c>
      <c r="H25" s="50">
        <f t="shared" si="4"/>
        <v>4</v>
      </c>
      <c r="I25" s="123">
        <f t="shared" si="5"/>
        <v>3.5</v>
      </c>
      <c r="J25" s="123">
        <v>2</v>
      </c>
      <c r="K25" s="124">
        <f t="shared" si="6"/>
        <v>784.64</v>
      </c>
      <c r="L25" s="126">
        <f t="shared" si="7"/>
        <v>568</v>
      </c>
      <c r="M25" s="125">
        <f t="shared" si="10"/>
        <v>1743</v>
      </c>
      <c r="N25" s="125">
        <f t="shared" si="11"/>
        <v>697.28</v>
      </c>
      <c r="O25" s="126">
        <f t="shared" si="8"/>
        <v>3792.92</v>
      </c>
      <c r="P25" s="124">
        <f t="shared" si="12"/>
        <v>995.06041718226675</v>
      </c>
      <c r="Q25" s="144">
        <f t="shared" si="9"/>
        <v>4787.980417182267</v>
      </c>
      <c r="R25" s="149">
        <f t="shared" si="13"/>
        <v>1196.9951042955668</v>
      </c>
      <c r="S25" s="42"/>
    </row>
    <row r="26" spans="1:19" s="40" customFormat="1" ht="11.25" x14ac:dyDescent="0.2">
      <c r="A26" s="143">
        <v>1300</v>
      </c>
      <c r="B26" s="51">
        <v>80</v>
      </c>
      <c r="C26" s="101">
        <f t="shared" si="0"/>
        <v>138</v>
      </c>
      <c r="D26" s="102">
        <f t="shared" si="1"/>
        <v>17.25</v>
      </c>
      <c r="E26" s="52">
        <v>16</v>
      </c>
      <c r="F26" s="104">
        <f t="shared" si="2"/>
        <v>33.25</v>
      </c>
      <c r="G26" s="105">
        <f t="shared" si="3"/>
        <v>3.6944444444444446</v>
      </c>
      <c r="H26" s="50">
        <f t="shared" si="4"/>
        <v>4</v>
      </c>
      <c r="I26" s="123">
        <f t="shared" si="5"/>
        <v>3.5</v>
      </c>
      <c r="J26" s="123">
        <v>2</v>
      </c>
      <c r="K26" s="124">
        <f t="shared" si="6"/>
        <v>845.93999999999994</v>
      </c>
      <c r="L26" s="126">
        <f t="shared" si="7"/>
        <v>568</v>
      </c>
      <c r="M26" s="125">
        <f t="shared" si="10"/>
        <v>1743</v>
      </c>
      <c r="N26" s="125">
        <f t="shared" si="11"/>
        <v>740.86</v>
      </c>
      <c r="O26" s="126">
        <f t="shared" si="8"/>
        <v>3897.8</v>
      </c>
      <c r="P26" s="124">
        <f t="shared" si="12"/>
        <v>1022.5753493596068</v>
      </c>
      <c r="Q26" s="144">
        <f t="shared" si="9"/>
        <v>4920.3753493596068</v>
      </c>
      <c r="R26" s="149">
        <f t="shared" si="13"/>
        <v>1230.0938373399017</v>
      </c>
      <c r="S26" s="42"/>
    </row>
    <row r="27" spans="1:19" s="40" customFormat="1" ht="11.25" x14ac:dyDescent="0.2">
      <c r="A27" s="143">
        <v>1400</v>
      </c>
      <c r="B27" s="51">
        <v>80</v>
      </c>
      <c r="C27" s="101">
        <f t="shared" si="0"/>
        <v>148</v>
      </c>
      <c r="D27" s="102">
        <f t="shared" si="1"/>
        <v>18.5</v>
      </c>
      <c r="E27" s="52">
        <v>16</v>
      </c>
      <c r="F27" s="104">
        <f t="shared" si="2"/>
        <v>34.5</v>
      </c>
      <c r="G27" s="105">
        <f t="shared" si="3"/>
        <v>3.8333333333333335</v>
      </c>
      <c r="H27" s="50">
        <f t="shared" si="4"/>
        <v>4</v>
      </c>
      <c r="I27" s="123">
        <f t="shared" si="5"/>
        <v>3.5</v>
      </c>
      <c r="J27" s="123">
        <v>2</v>
      </c>
      <c r="K27" s="124">
        <f t="shared" si="6"/>
        <v>907.24</v>
      </c>
      <c r="L27" s="126">
        <f t="shared" si="7"/>
        <v>568</v>
      </c>
      <c r="M27" s="125">
        <f t="shared" si="10"/>
        <v>1743</v>
      </c>
      <c r="N27" s="125">
        <f t="shared" si="11"/>
        <v>762.65</v>
      </c>
      <c r="O27" s="126">
        <f t="shared" si="8"/>
        <v>3980.89</v>
      </c>
      <c r="P27" s="124">
        <f t="shared" si="12"/>
        <v>1044.3737448078825</v>
      </c>
      <c r="Q27" s="144">
        <f t="shared" si="9"/>
        <v>5025.2637448078822</v>
      </c>
      <c r="R27" s="149">
        <f t="shared" si="13"/>
        <v>1256.3159362019705</v>
      </c>
      <c r="S27" s="42"/>
    </row>
    <row r="28" spans="1:19" s="40" customFormat="1" ht="11.25" x14ac:dyDescent="0.2">
      <c r="A28" s="143">
        <v>1500</v>
      </c>
      <c r="B28" s="51">
        <v>80</v>
      </c>
      <c r="C28" s="101">
        <f t="shared" si="0"/>
        <v>158</v>
      </c>
      <c r="D28" s="102">
        <f t="shared" si="1"/>
        <v>19.75</v>
      </c>
      <c r="E28" s="52">
        <v>16</v>
      </c>
      <c r="F28" s="104">
        <f t="shared" si="2"/>
        <v>35.75</v>
      </c>
      <c r="G28" s="105">
        <f t="shared" si="3"/>
        <v>3.9722222222222223</v>
      </c>
      <c r="H28" s="50">
        <f t="shared" si="4"/>
        <v>4</v>
      </c>
      <c r="I28" s="123">
        <f t="shared" si="5"/>
        <v>3.5</v>
      </c>
      <c r="J28" s="123">
        <v>2</v>
      </c>
      <c r="K28" s="124">
        <f t="shared" si="6"/>
        <v>968.54</v>
      </c>
      <c r="L28" s="126">
        <f t="shared" si="7"/>
        <v>568</v>
      </c>
      <c r="M28" s="125">
        <f t="shared" si="10"/>
        <v>1743</v>
      </c>
      <c r="N28" s="125">
        <f t="shared" si="11"/>
        <v>784.43999999999994</v>
      </c>
      <c r="O28" s="126">
        <f t="shared" si="8"/>
        <v>4063.98</v>
      </c>
      <c r="P28" s="124">
        <f t="shared" si="12"/>
        <v>1066.1721402561584</v>
      </c>
      <c r="Q28" s="144">
        <f t="shared" si="9"/>
        <v>5130.1521402561584</v>
      </c>
      <c r="R28" s="149">
        <f t="shared" si="13"/>
        <v>1282.5380350640396</v>
      </c>
      <c r="S28" s="42"/>
    </row>
    <row r="29" spans="1:19" s="40" customFormat="1" ht="11.25" x14ac:dyDescent="0.2">
      <c r="A29" s="143">
        <v>1600</v>
      </c>
      <c r="B29" s="51">
        <v>80</v>
      </c>
      <c r="C29" s="101">
        <f t="shared" si="0"/>
        <v>168</v>
      </c>
      <c r="D29" s="102">
        <f t="shared" si="1"/>
        <v>21</v>
      </c>
      <c r="E29" s="52">
        <v>16</v>
      </c>
      <c r="F29" s="104">
        <f t="shared" si="2"/>
        <v>37</v>
      </c>
      <c r="G29" s="105">
        <f t="shared" si="3"/>
        <v>4.1111111111111107</v>
      </c>
      <c r="H29" s="50">
        <f t="shared" si="4"/>
        <v>5</v>
      </c>
      <c r="I29" s="123">
        <f t="shared" si="5"/>
        <v>4.5</v>
      </c>
      <c r="J29" s="123">
        <v>2</v>
      </c>
      <c r="K29" s="124">
        <f t="shared" si="6"/>
        <v>1029.8399999999999</v>
      </c>
      <c r="L29" s="126">
        <f t="shared" si="7"/>
        <v>710</v>
      </c>
      <c r="M29" s="125">
        <f t="shared" si="10"/>
        <v>2241</v>
      </c>
      <c r="N29" s="125">
        <f t="shared" si="11"/>
        <v>806.23</v>
      </c>
      <c r="O29" s="126">
        <f t="shared" si="8"/>
        <v>4787.07</v>
      </c>
      <c r="P29" s="124">
        <f t="shared" si="12"/>
        <v>1255.8724864433507</v>
      </c>
      <c r="Q29" s="144">
        <f t="shared" si="9"/>
        <v>6042.9424864433504</v>
      </c>
      <c r="R29" s="149">
        <f t="shared" si="13"/>
        <v>1208.5884972886702</v>
      </c>
      <c r="S29" s="42"/>
    </row>
    <row r="30" spans="1:19" s="40" customFormat="1" ht="11.25" x14ac:dyDescent="0.2">
      <c r="A30" s="143">
        <v>1700</v>
      </c>
      <c r="B30" s="51">
        <v>80</v>
      </c>
      <c r="C30" s="101">
        <f t="shared" si="0"/>
        <v>178</v>
      </c>
      <c r="D30" s="102">
        <f t="shared" si="1"/>
        <v>22.25</v>
      </c>
      <c r="E30" s="52">
        <v>16</v>
      </c>
      <c r="F30" s="104">
        <f t="shared" si="2"/>
        <v>38.25</v>
      </c>
      <c r="G30" s="105">
        <f t="shared" si="3"/>
        <v>4.25</v>
      </c>
      <c r="H30" s="50">
        <f t="shared" si="4"/>
        <v>5</v>
      </c>
      <c r="I30" s="123">
        <f t="shared" si="5"/>
        <v>4.5</v>
      </c>
      <c r="J30" s="123">
        <v>2</v>
      </c>
      <c r="K30" s="124">
        <f t="shared" si="6"/>
        <v>1091.1399999999999</v>
      </c>
      <c r="L30" s="126">
        <f t="shared" si="7"/>
        <v>710</v>
      </c>
      <c r="M30" s="125">
        <f t="shared" si="10"/>
        <v>2241</v>
      </c>
      <c r="N30" s="125">
        <f t="shared" si="11"/>
        <v>849.81</v>
      </c>
      <c r="O30" s="126">
        <f t="shared" si="8"/>
        <v>4891.95</v>
      </c>
      <c r="P30" s="124">
        <f t="shared" si="12"/>
        <v>1283.3874186206906</v>
      </c>
      <c r="Q30" s="144">
        <f t="shared" si="9"/>
        <v>6175.3374186206902</v>
      </c>
      <c r="R30" s="149">
        <f t="shared" si="13"/>
        <v>1235.0674837241381</v>
      </c>
      <c r="S30" s="42"/>
    </row>
    <row r="31" spans="1:19" s="40" customFormat="1" ht="11.25" x14ac:dyDescent="0.2">
      <c r="A31" s="143">
        <v>1800</v>
      </c>
      <c r="B31" s="51">
        <v>80</v>
      </c>
      <c r="C31" s="101">
        <f t="shared" si="0"/>
        <v>188</v>
      </c>
      <c r="D31" s="102">
        <f t="shared" si="1"/>
        <v>23.5</v>
      </c>
      <c r="E31" s="52">
        <v>16</v>
      </c>
      <c r="F31" s="104">
        <f t="shared" si="2"/>
        <v>39.5</v>
      </c>
      <c r="G31" s="105">
        <f t="shared" si="3"/>
        <v>4.3888888888888893</v>
      </c>
      <c r="H31" s="50">
        <f t="shared" si="4"/>
        <v>5</v>
      </c>
      <c r="I31" s="123">
        <f t="shared" si="5"/>
        <v>4.5</v>
      </c>
      <c r="J31" s="123">
        <v>2</v>
      </c>
      <c r="K31" s="124">
        <f t="shared" si="6"/>
        <v>1152.44</v>
      </c>
      <c r="L31" s="126">
        <f t="shared" si="7"/>
        <v>710</v>
      </c>
      <c r="M31" s="125">
        <f t="shared" si="10"/>
        <v>2241</v>
      </c>
      <c r="N31" s="125">
        <f t="shared" si="11"/>
        <v>871.59999999999991</v>
      </c>
      <c r="O31" s="126">
        <f t="shared" si="8"/>
        <v>4975.0400000000009</v>
      </c>
      <c r="P31" s="124">
        <f t="shared" si="12"/>
        <v>1305.1858140689667</v>
      </c>
      <c r="Q31" s="144">
        <f t="shared" si="9"/>
        <v>6280.2258140689673</v>
      </c>
      <c r="R31" s="149">
        <f t="shared" si="13"/>
        <v>1256.0451628137935</v>
      </c>
      <c r="S31" s="42"/>
    </row>
    <row r="32" spans="1:19" s="40" customFormat="1" ht="11.25" x14ac:dyDescent="0.2">
      <c r="A32" s="143">
        <v>1900</v>
      </c>
      <c r="B32" s="51">
        <v>80</v>
      </c>
      <c r="C32" s="101">
        <f t="shared" si="0"/>
        <v>198</v>
      </c>
      <c r="D32" s="102">
        <f t="shared" si="1"/>
        <v>24.75</v>
      </c>
      <c r="E32" s="52">
        <v>16</v>
      </c>
      <c r="F32" s="104">
        <f t="shared" si="2"/>
        <v>40.75</v>
      </c>
      <c r="G32" s="105">
        <f t="shared" si="3"/>
        <v>4.5277777777777777</v>
      </c>
      <c r="H32" s="50">
        <f t="shared" si="4"/>
        <v>5</v>
      </c>
      <c r="I32" s="123">
        <f t="shared" si="5"/>
        <v>4.5</v>
      </c>
      <c r="J32" s="123">
        <v>2</v>
      </c>
      <c r="K32" s="124">
        <f t="shared" si="6"/>
        <v>1213.74</v>
      </c>
      <c r="L32" s="126">
        <f t="shared" si="7"/>
        <v>710</v>
      </c>
      <c r="M32" s="125">
        <f t="shared" si="10"/>
        <v>2241</v>
      </c>
      <c r="N32" s="125">
        <f t="shared" si="11"/>
        <v>893.39</v>
      </c>
      <c r="O32" s="126">
        <f t="shared" si="8"/>
        <v>5058.13</v>
      </c>
      <c r="P32" s="124">
        <f t="shared" si="12"/>
        <v>1326.9842095172423</v>
      </c>
      <c r="Q32" s="144">
        <f t="shared" si="9"/>
        <v>6385.1142095172427</v>
      </c>
      <c r="R32" s="149">
        <f t="shared" si="13"/>
        <v>1277.0228419034486</v>
      </c>
      <c r="S32" s="42"/>
    </row>
    <row r="33" spans="1:19" s="40" customFormat="1" ht="11.25" x14ac:dyDescent="0.2">
      <c r="A33" s="143">
        <v>2000</v>
      </c>
      <c r="B33" s="51">
        <v>80</v>
      </c>
      <c r="C33" s="101">
        <f t="shared" si="0"/>
        <v>208</v>
      </c>
      <c r="D33" s="102">
        <f t="shared" si="1"/>
        <v>26</v>
      </c>
      <c r="E33" s="52">
        <v>16</v>
      </c>
      <c r="F33" s="104">
        <f t="shared" si="2"/>
        <v>42</v>
      </c>
      <c r="G33" s="105">
        <f t="shared" si="3"/>
        <v>4.666666666666667</v>
      </c>
      <c r="H33" s="50">
        <f t="shared" si="4"/>
        <v>5</v>
      </c>
      <c r="I33" s="123">
        <f t="shared" si="5"/>
        <v>4.5</v>
      </c>
      <c r="J33" s="123">
        <v>2</v>
      </c>
      <c r="K33" s="124">
        <f t="shared" si="6"/>
        <v>1275.04</v>
      </c>
      <c r="L33" s="126">
        <f t="shared" si="7"/>
        <v>710</v>
      </c>
      <c r="M33" s="125">
        <f t="shared" si="10"/>
        <v>2241</v>
      </c>
      <c r="N33" s="125">
        <f t="shared" si="11"/>
        <v>915.18</v>
      </c>
      <c r="O33" s="126">
        <f t="shared" si="8"/>
        <v>5141.22</v>
      </c>
      <c r="P33" s="124">
        <f t="shared" si="12"/>
        <v>1348.7826049655184</v>
      </c>
      <c r="Q33" s="144">
        <f t="shared" si="9"/>
        <v>6490.0026049655189</v>
      </c>
      <c r="R33" s="149">
        <f t="shared" si="13"/>
        <v>1298.0005209931037</v>
      </c>
      <c r="S33" s="42"/>
    </row>
    <row r="34" spans="1:19" s="40" customFormat="1" ht="11.25" x14ac:dyDescent="0.2">
      <c r="A34" s="143">
        <v>2100</v>
      </c>
      <c r="B34" s="51">
        <v>80</v>
      </c>
      <c r="C34" s="101">
        <f t="shared" si="0"/>
        <v>218</v>
      </c>
      <c r="D34" s="102">
        <f t="shared" si="1"/>
        <v>27.25</v>
      </c>
      <c r="E34" s="52">
        <v>16</v>
      </c>
      <c r="F34" s="104">
        <f t="shared" si="2"/>
        <v>43.25</v>
      </c>
      <c r="G34" s="105">
        <f t="shared" si="3"/>
        <v>4.8055555555555554</v>
      </c>
      <c r="H34" s="50">
        <f t="shared" si="4"/>
        <v>5</v>
      </c>
      <c r="I34" s="123">
        <f t="shared" si="5"/>
        <v>4.5</v>
      </c>
      <c r="J34" s="123">
        <v>2</v>
      </c>
      <c r="K34" s="124">
        <f t="shared" si="6"/>
        <v>1336.34</v>
      </c>
      <c r="L34" s="126">
        <f t="shared" si="7"/>
        <v>710</v>
      </c>
      <c r="M34" s="125">
        <f t="shared" si="10"/>
        <v>2241</v>
      </c>
      <c r="N34" s="125">
        <f t="shared" si="11"/>
        <v>958.76</v>
      </c>
      <c r="O34" s="126">
        <f t="shared" si="8"/>
        <v>5246.1</v>
      </c>
      <c r="P34" s="124">
        <f t="shared" si="12"/>
        <v>1376.2975371428583</v>
      </c>
      <c r="Q34" s="144">
        <f t="shared" si="9"/>
        <v>6622.3975371428587</v>
      </c>
      <c r="R34" s="149">
        <f t="shared" si="13"/>
        <v>1324.4795074285717</v>
      </c>
      <c r="S34" s="42"/>
    </row>
    <row r="35" spans="1:19" s="40" customFormat="1" ht="11.25" x14ac:dyDescent="0.2">
      <c r="A35" s="143">
        <v>2200</v>
      </c>
      <c r="B35" s="51">
        <v>80</v>
      </c>
      <c r="C35" s="101">
        <f t="shared" si="0"/>
        <v>228</v>
      </c>
      <c r="D35" s="102">
        <f t="shared" si="1"/>
        <v>28.5</v>
      </c>
      <c r="E35" s="52">
        <v>16</v>
      </c>
      <c r="F35" s="104">
        <f t="shared" si="2"/>
        <v>44.5</v>
      </c>
      <c r="G35" s="105">
        <f t="shared" si="3"/>
        <v>4.9444444444444446</v>
      </c>
      <c r="H35" s="50">
        <f t="shared" si="4"/>
        <v>5</v>
      </c>
      <c r="I35" s="123">
        <f t="shared" si="5"/>
        <v>4.5</v>
      </c>
      <c r="J35" s="123">
        <v>2</v>
      </c>
      <c r="K35" s="124">
        <f t="shared" si="6"/>
        <v>1397.6399999999999</v>
      </c>
      <c r="L35" s="126">
        <f t="shared" si="7"/>
        <v>710</v>
      </c>
      <c r="M35" s="125">
        <f t="shared" si="10"/>
        <v>2241</v>
      </c>
      <c r="N35" s="125">
        <f t="shared" si="11"/>
        <v>980.55</v>
      </c>
      <c r="O35" s="126">
        <f t="shared" si="8"/>
        <v>5329.19</v>
      </c>
      <c r="P35" s="124">
        <f t="shared" si="12"/>
        <v>1398.095932591134</v>
      </c>
      <c r="Q35" s="144">
        <f t="shared" si="9"/>
        <v>6727.285932591134</v>
      </c>
      <c r="R35" s="149">
        <f t="shared" si="13"/>
        <v>1345.4571865182268</v>
      </c>
      <c r="S35" s="42"/>
    </row>
    <row r="36" spans="1:19" s="40" customFormat="1" ht="11.25" x14ac:dyDescent="0.2">
      <c r="A36" s="143">
        <v>2300</v>
      </c>
      <c r="B36" s="51">
        <v>80</v>
      </c>
      <c r="C36" s="101">
        <f t="shared" si="0"/>
        <v>238</v>
      </c>
      <c r="D36" s="102">
        <f t="shared" si="1"/>
        <v>29.75</v>
      </c>
      <c r="E36" s="52">
        <v>16</v>
      </c>
      <c r="F36" s="104">
        <f t="shared" si="2"/>
        <v>45.75</v>
      </c>
      <c r="G36" s="105">
        <f t="shared" si="3"/>
        <v>5.083333333333333</v>
      </c>
      <c r="H36" s="50">
        <f t="shared" si="4"/>
        <v>6</v>
      </c>
      <c r="I36" s="123">
        <f t="shared" si="5"/>
        <v>5.5</v>
      </c>
      <c r="J36" s="123">
        <v>2</v>
      </c>
      <c r="K36" s="124">
        <f t="shared" si="6"/>
        <v>1458.94</v>
      </c>
      <c r="L36" s="126">
        <f t="shared" si="7"/>
        <v>852</v>
      </c>
      <c r="M36" s="125">
        <f t="shared" si="10"/>
        <v>2739</v>
      </c>
      <c r="N36" s="125">
        <f t="shared" si="11"/>
        <v>1002.3399999999999</v>
      </c>
      <c r="O36" s="126">
        <f t="shared" si="8"/>
        <v>6052.2800000000007</v>
      </c>
      <c r="P36" s="124">
        <f t="shared" si="12"/>
        <v>1587.7962787783265</v>
      </c>
      <c r="Q36" s="144">
        <f t="shared" si="9"/>
        <v>7640.0762787783269</v>
      </c>
      <c r="R36" s="149">
        <f t="shared" si="13"/>
        <v>1273.3460464630546</v>
      </c>
      <c r="S36" s="42"/>
    </row>
    <row r="37" spans="1:19" s="40" customFormat="1" ht="11.25" x14ac:dyDescent="0.2">
      <c r="A37" s="143">
        <v>2400</v>
      </c>
      <c r="B37" s="51">
        <v>80</v>
      </c>
      <c r="C37" s="101">
        <f t="shared" si="0"/>
        <v>248</v>
      </c>
      <c r="D37" s="102">
        <f t="shared" si="1"/>
        <v>31</v>
      </c>
      <c r="E37" s="52">
        <v>16</v>
      </c>
      <c r="F37" s="104">
        <f t="shared" si="2"/>
        <v>47</v>
      </c>
      <c r="G37" s="105">
        <f t="shared" si="3"/>
        <v>5.2222222222222223</v>
      </c>
      <c r="H37" s="50">
        <f t="shared" si="4"/>
        <v>6</v>
      </c>
      <c r="I37" s="123">
        <f t="shared" si="5"/>
        <v>5.5</v>
      </c>
      <c r="J37" s="123">
        <v>2</v>
      </c>
      <c r="K37" s="124">
        <f t="shared" si="6"/>
        <v>1520.24</v>
      </c>
      <c r="L37" s="126">
        <f t="shared" si="7"/>
        <v>852</v>
      </c>
      <c r="M37" s="125">
        <f t="shared" si="10"/>
        <v>2739</v>
      </c>
      <c r="N37" s="125">
        <f t="shared" si="11"/>
        <v>1024.1299999999999</v>
      </c>
      <c r="O37" s="126">
        <f t="shared" si="8"/>
        <v>6135.37</v>
      </c>
      <c r="P37" s="124">
        <f t="shared" si="12"/>
        <v>1609.5946742266021</v>
      </c>
      <c r="Q37" s="144">
        <f t="shared" si="9"/>
        <v>7744.9646742266023</v>
      </c>
      <c r="R37" s="149">
        <f t="shared" si="13"/>
        <v>1290.8274457044338</v>
      </c>
      <c r="S37" s="42"/>
    </row>
    <row r="38" spans="1:19" s="40" customFormat="1" ht="11.25" x14ac:dyDescent="0.2">
      <c r="A38" s="143">
        <v>2500</v>
      </c>
      <c r="B38" s="51">
        <v>80</v>
      </c>
      <c r="C38" s="101">
        <f t="shared" si="0"/>
        <v>258</v>
      </c>
      <c r="D38" s="102">
        <f t="shared" si="1"/>
        <v>32.25</v>
      </c>
      <c r="E38" s="52">
        <v>16</v>
      </c>
      <c r="F38" s="104">
        <f t="shared" si="2"/>
        <v>48.25</v>
      </c>
      <c r="G38" s="105">
        <f t="shared" si="3"/>
        <v>5.3611111111111107</v>
      </c>
      <c r="H38" s="50">
        <f t="shared" si="4"/>
        <v>6</v>
      </c>
      <c r="I38" s="123">
        <f t="shared" si="5"/>
        <v>5.5</v>
      </c>
      <c r="J38" s="123">
        <v>2</v>
      </c>
      <c r="K38" s="124">
        <f t="shared" si="6"/>
        <v>1581.54</v>
      </c>
      <c r="L38" s="126">
        <f t="shared" si="7"/>
        <v>852</v>
      </c>
      <c r="M38" s="125">
        <f t="shared" si="10"/>
        <v>2739</v>
      </c>
      <c r="N38" s="125">
        <f t="shared" si="11"/>
        <v>1067.71</v>
      </c>
      <c r="O38" s="126">
        <f t="shared" si="8"/>
        <v>6240.25</v>
      </c>
      <c r="P38" s="124">
        <f t="shared" si="12"/>
        <v>1637.1096064039421</v>
      </c>
      <c r="Q38" s="144">
        <f t="shared" si="9"/>
        <v>7877.3596064039421</v>
      </c>
      <c r="R38" s="149">
        <f t="shared" si="13"/>
        <v>1312.8932677339903</v>
      </c>
      <c r="S38" s="42"/>
    </row>
    <row r="39" spans="1:19" s="44" customFormat="1" ht="11.25" x14ac:dyDescent="0.2">
      <c r="D39" s="45"/>
      <c r="E39" s="46"/>
      <c r="F39" s="47"/>
      <c r="G39" s="48"/>
      <c r="H39" s="48"/>
      <c r="I39" s="48"/>
      <c r="J39" s="113"/>
      <c r="K39" s="48"/>
      <c r="N39" s="127"/>
      <c r="P39" s="40"/>
      <c r="Q39" s="49"/>
      <c r="R39" s="150"/>
    </row>
    <row r="40" spans="1:19" x14ac:dyDescent="0.2">
      <c r="Q40" s="155" t="s">
        <v>148</v>
      </c>
      <c r="R40" s="156">
        <f>AVERAGE(R16:R38)</f>
        <v>1206.2861139406727</v>
      </c>
    </row>
    <row r="45" spans="1:19" s="29" customFormat="1" ht="11.25" x14ac:dyDescent="0.2">
      <c r="J45" s="117"/>
      <c r="N45" s="117"/>
      <c r="R45" s="66"/>
    </row>
    <row r="46" spans="1:19" s="29" customFormat="1" ht="11.25" x14ac:dyDescent="0.2">
      <c r="J46" s="117"/>
      <c r="N46" s="117"/>
      <c r="R46" s="66"/>
    </row>
    <row r="47" spans="1:19" s="29" customFormat="1" ht="11.25" x14ac:dyDescent="0.2">
      <c r="J47" s="117"/>
      <c r="N47" s="117"/>
      <c r="R47" s="66"/>
    </row>
    <row r="48" spans="1:19" s="29" customFormat="1" ht="11.25" x14ac:dyDescent="0.2">
      <c r="J48" s="117"/>
      <c r="N48" s="117"/>
      <c r="R48" s="66"/>
    </row>
    <row r="49" spans="10:18" s="29" customFormat="1" ht="11.25" x14ac:dyDescent="0.2">
      <c r="J49" s="117"/>
      <c r="N49" s="117"/>
      <c r="R49" s="66"/>
    </row>
    <row r="50" spans="10:18" s="29" customFormat="1" ht="11.25" x14ac:dyDescent="0.2">
      <c r="J50" s="117"/>
      <c r="N50" s="117"/>
      <c r="R50" s="66"/>
    </row>
    <row r="52" spans="10:18" s="29" customFormat="1" ht="11.25" x14ac:dyDescent="0.2">
      <c r="J52" s="117"/>
      <c r="N52" s="117"/>
      <c r="R52" s="66"/>
    </row>
  </sheetData>
  <mergeCells count="1">
    <mergeCell ref="A12:E12"/>
  </mergeCells>
  <pageMargins left="0.78740157480314965" right="0.78740157480314965" top="0.98425196850393704" bottom="0.98425196850393704" header="0.51181102362204722" footer="0.51181102362204722"/>
  <pageSetup paperSize="9" scale="50" firstPageNumber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9"/>
  <sheetViews>
    <sheetView zoomScaleNormal="100" workbookViewId="0">
      <selection activeCell="F46" sqref="F46"/>
    </sheetView>
  </sheetViews>
  <sheetFormatPr defaultColWidth="9.33203125" defaultRowHeight="12.75" x14ac:dyDescent="0.2"/>
  <cols>
    <col min="1" max="3" width="15.83203125" style="29" customWidth="1"/>
    <col min="4" max="4" width="15.83203125" style="30" customWidth="1"/>
    <col min="5" max="5" width="15.83203125" style="31" customWidth="1"/>
    <col min="6" max="6" width="15.83203125" style="32" customWidth="1"/>
    <col min="7" max="9" width="15.83203125" style="33" customWidth="1"/>
    <col min="10" max="10" width="15.83203125" style="118" customWidth="1"/>
    <col min="11" max="11" width="15.83203125" style="33" customWidth="1"/>
    <col min="12" max="13" width="15.83203125" style="29" customWidth="1"/>
    <col min="14" max="14" width="15.83203125" style="117" customWidth="1"/>
    <col min="15" max="15" width="15.83203125" style="29" customWidth="1"/>
    <col min="16" max="16" width="15.83203125" style="34" customWidth="1"/>
    <col min="17" max="17" width="15.83203125" style="35" customWidth="1"/>
    <col min="18" max="18" width="15.83203125" style="63" customWidth="1"/>
    <col min="19" max="1025" width="9.33203125" style="29"/>
  </cols>
  <sheetData>
    <row r="1" spans="1:19" ht="15.75" x14ac:dyDescent="0.25">
      <c r="A1" s="183" t="s">
        <v>165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62"/>
    </row>
    <row r="2" spans="1:19" x14ac:dyDescent="0.2">
      <c r="A2" s="161" t="s">
        <v>127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62"/>
    </row>
    <row r="3" spans="1:19" x14ac:dyDescent="0.2">
      <c r="A3" s="184"/>
      <c r="B3" s="35"/>
      <c r="C3" s="35"/>
      <c r="D3" s="35"/>
      <c r="E3" s="35"/>
      <c r="F3" s="35"/>
      <c r="G3" s="35"/>
      <c r="H3" s="35"/>
      <c r="I3" s="35"/>
      <c r="J3" s="119"/>
      <c r="K3" s="35"/>
      <c r="L3" s="35"/>
      <c r="M3" s="35"/>
      <c r="N3" s="119"/>
      <c r="O3" s="35"/>
    </row>
    <row r="4" spans="1:19" x14ac:dyDescent="0.2">
      <c r="A4" s="53" t="s">
        <v>123</v>
      </c>
      <c r="B4" s="77"/>
      <c r="C4" s="77"/>
      <c r="D4" s="77"/>
      <c r="E4" s="77"/>
      <c r="F4" s="77"/>
    </row>
    <row r="5" spans="1:19" x14ac:dyDescent="0.2">
      <c r="A5" s="80" t="s">
        <v>93</v>
      </c>
      <c r="B5" s="79"/>
      <c r="C5" s="79"/>
      <c r="D5" s="79"/>
      <c r="E5" s="115"/>
      <c r="F5" s="95">
        <f>'Deslocamento 1 município'!F5</f>
        <v>80</v>
      </c>
    </row>
    <row r="6" spans="1:19" x14ac:dyDescent="0.2">
      <c r="A6" s="80" t="s">
        <v>94</v>
      </c>
      <c r="B6" s="79"/>
      <c r="C6" s="79"/>
      <c r="D6" s="79"/>
      <c r="E6" s="115"/>
      <c r="F6" s="95">
        <f>'Deslocamento 1 município'!F6</f>
        <v>4</v>
      </c>
    </row>
    <row r="7" spans="1:19" x14ac:dyDescent="0.2">
      <c r="A7" s="192" t="s">
        <v>95</v>
      </c>
      <c r="B7" s="193"/>
      <c r="C7" s="193"/>
      <c r="D7" s="193"/>
      <c r="E7" s="194"/>
      <c r="F7" s="188">
        <v>142</v>
      </c>
    </row>
    <row r="8" spans="1:19" x14ac:dyDescent="0.2">
      <c r="A8" s="195" t="s">
        <v>96</v>
      </c>
      <c r="B8" s="196"/>
      <c r="C8" s="196"/>
      <c r="D8" s="196"/>
      <c r="E8" s="197"/>
      <c r="F8" s="95" t="str">
        <f>'Deslocamento 1 município'!F8</f>
        <v>20Km</v>
      </c>
    </row>
    <row r="9" spans="1:19" x14ac:dyDescent="0.2">
      <c r="A9" s="192" t="s">
        <v>98</v>
      </c>
      <c r="B9" s="193"/>
      <c r="C9" s="193"/>
      <c r="D9" s="193"/>
      <c r="E9" s="194"/>
      <c r="F9" s="190">
        <v>6.13</v>
      </c>
    </row>
    <row r="10" spans="1:19" x14ac:dyDescent="0.2">
      <c r="A10" s="195" t="s">
        <v>99</v>
      </c>
      <c r="B10" s="196"/>
      <c r="C10" s="196"/>
      <c r="D10" s="196"/>
      <c r="E10" s="197"/>
      <c r="F10" s="95">
        <f>'Deslocamento 1 município'!F10</f>
        <v>10</v>
      </c>
    </row>
    <row r="11" spans="1:19" s="38" customFormat="1" ht="11.25" x14ac:dyDescent="0.2">
      <c r="A11" s="192" t="s">
        <v>100</v>
      </c>
      <c r="B11" s="193"/>
      <c r="C11" s="193"/>
      <c r="D11" s="193"/>
      <c r="E11" s="194"/>
      <c r="F11" s="188">
        <v>249</v>
      </c>
      <c r="G11" s="37"/>
      <c r="H11" s="37"/>
      <c r="I11" s="37"/>
      <c r="J11" s="120"/>
      <c r="K11" s="37"/>
      <c r="N11" s="121"/>
      <c r="P11" s="34"/>
      <c r="Q11" s="34"/>
      <c r="R11" s="64"/>
    </row>
    <row r="12" spans="1:19" x14ac:dyDescent="0.2">
      <c r="A12" s="247" t="s">
        <v>164</v>
      </c>
      <c r="B12" s="248"/>
      <c r="C12" s="248"/>
      <c r="D12" s="248"/>
      <c r="E12" s="249"/>
      <c r="F12" s="182">
        <f>'Deslocamento 1 município'!F12</f>
        <v>21.79</v>
      </c>
    </row>
    <row r="13" spans="1:19" x14ac:dyDescent="0.2">
      <c r="A13" s="185" t="s">
        <v>167</v>
      </c>
      <c r="B13" s="39"/>
      <c r="C13" s="39"/>
    </row>
    <row r="14" spans="1:19" s="40" customFormat="1" ht="90" x14ac:dyDescent="0.2">
      <c r="A14" s="131" t="s">
        <v>101</v>
      </c>
      <c r="B14" s="146" t="s">
        <v>120</v>
      </c>
      <c r="C14" s="131" t="s">
        <v>102</v>
      </c>
      <c r="D14" s="133" t="s">
        <v>103</v>
      </c>
      <c r="E14" s="147" t="s">
        <v>128</v>
      </c>
      <c r="F14" s="135" t="s">
        <v>104</v>
      </c>
      <c r="G14" s="136" t="s">
        <v>105</v>
      </c>
      <c r="H14" s="136" t="s">
        <v>106</v>
      </c>
      <c r="I14" s="136" t="s">
        <v>107</v>
      </c>
      <c r="J14" s="136" t="s">
        <v>146</v>
      </c>
      <c r="K14" s="131" t="s">
        <v>108</v>
      </c>
      <c r="L14" s="131" t="s">
        <v>109</v>
      </c>
      <c r="M14" s="131" t="s">
        <v>153</v>
      </c>
      <c r="N14" s="131" t="s">
        <v>155</v>
      </c>
      <c r="O14" s="131" t="s">
        <v>110</v>
      </c>
      <c r="P14" s="137" t="s">
        <v>169</v>
      </c>
      <c r="Q14" s="131" t="s">
        <v>111</v>
      </c>
      <c r="R14" s="130" t="s">
        <v>112</v>
      </c>
    </row>
    <row r="15" spans="1:19" s="41" customFormat="1" ht="11.25" x14ac:dyDescent="0.2">
      <c r="A15" s="138" t="s">
        <v>113</v>
      </c>
      <c r="B15" s="138" t="s">
        <v>113</v>
      </c>
      <c r="C15" s="138" t="s">
        <v>114</v>
      </c>
      <c r="D15" s="139" t="s">
        <v>115</v>
      </c>
      <c r="E15" s="140" t="s">
        <v>115</v>
      </c>
      <c r="F15" s="141" t="s">
        <v>115</v>
      </c>
      <c r="G15" s="139" t="s">
        <v>116</v>
      </c>
      <c r="H15" s="139" t="s">
        <v>117</v>
      </c>
      <c r="I15" s="138" t="s">
        <v>117</v>
      </c>
      <c r="J15" s="138"/>
      <c r="K15" s="138" t="s">
        <v>118</v>
      </c>
      <c r="L15" s="138" t="s">
        <v>118</v>
      </c>
      <c r="M15" s="138" t="s">
        <v>118</v>
      </c>
      <c r="N15" s="138" t="s">
        <v>118</v>
      </c>
      <c r="O15" s="138" t="s">
        <v>118</v>
      </c>
      <c r="P15" s="142">
        <f>arqeng!C125</f>
        <v>0.26234679802955685</v>
      </c>
      <c r="Q15" s="138" t="s">
        <v>118</v>
      </c>
      <c r="R15" s="138" t="s">
        <v>118</v>
      </c>
    </row>
    <row r="16" spans="1:19" s="40" customFormat="1" ht="11.25" x14ac:dyDescent="0.2">
      <c r="A16" s="143">
        <v>400</v>
      </c>
      <c r="B16" s="51">
        <v>100</v>
      </c>
      <c r="C16" s="101">
        <f t="shared" ref="C16:C35" si="0">((A16+B16)/10)</f>
        <v>50</v>
      </c>
      <c r="D16" s="102">
        <f t="shared" ref="D16:D35" si="1">((A16+B16)/80)</f>
        <v>6.25</v>
      </c>
      <c r="E16" s="52">
        <v>20</v>
      </c>
      <c r="F16" s="104">
        <f t="shared" ref="F16:F35" si="2">D16+E16</f>
        <v>26.25</v>
      </c>
      <c r="G16" s="105">
        <f t="shared" ref="G16:G35" si="3">F16/9</f>
        <v>2.9166666666666665</v>
      </c>
      <c r="H16" s="50">
        <f t="shared" ref="H16:H35" si="4">ROUNDUP(G16,0)</f>
        <v>3</v>
      </c>
      <c r="I16" s="123">
        <f t="shared" ref="I16:I35" si="5">H16-0.5</f>
        <v>2.5</v>
      </c>
      <c r="J16" s="123">
        <v>2</v>
      </c>
      <c r="K16" s="124">
        <f t="shared" ref="K16:K35" si="6">C16*$F$9</f>
        <v>306.5</v>
      </c>
      <c r="L16" s="126">
        <f t="shared" ref="L16:L35" si="7">H16*$F$7</f>
        <v>426</v>
      </c>
      <c r="M16" s="125">
        <f>(I16*$F$11)*J16</f>
        <v>1245</v>
      </c>
      <c r="N16" s="125">
        <f>+(ROUNDUP(F16,0))*$F$12</f>
        <v>588.32999999999993</v>
      </c>
      <c r="O16" s="126">
        <f>K16+L16+M16+N16</f>
        <v>2565.83</v>
      </c>
      <c r="P16" s="124">
        <f t="shared" ref="P16:P35" si="8">O16*$P$15</f>
        <v>673.13728478817779</v>
      </c>
      <c r="Q16" s="144">
        <f t="shared" ref="Q16:Q35" si="9">O16+P16</f>
        <v>3238.9672847881775</v>
      </c>
      <c r="R16" s="149">
        <f>Q16/H16</f>
        <v>1079.6557615960592</v>
      </c>
      <c r="S16" s="42"/>
    </row>
    <row r="17" spans="1:19" s="40" customFormat="1" ht="11.25" x14ac:dyDescent="0.2">
      <c r="A17" s="143">
        <v>500</v>
      </c>
      <c r="B17" s="51">
        <v>100</v>
      </c>
      <c r="C17" s="101">
        <f t="shared" si="0"/>
        <v>60</v>
      </c>
      <c r="D17" s="102">
        <f t="shared" si="1"/>
        <v>7.5</v>
      </c>
      <c r="E17" s="52">
        <v>20</v>
      </c>
      <c r="F17" s="104">
        <f t="shared" si="2"/>
        <v>27.5</v>
      </c>
      <c r="G17" s="105">
        <f t="shared" si="3"/>
        <v>3.0555555555555554</v>
      </c>
      <c r="H17" s="50">
        <f t="shared" si="4"/>
        <v>4</v>
      </c>
      <c r="I17" s="123">
        <f t="shared" si="5"/>
        <v>3.5</v>
      </c>
      <c r="J17" s="123">
        <v>2</v>
      </c>
      <c r="K17" s="124">
        <f t="shared" si="6"/>
        <v>367.8</v>
      </c>
      <c r="L17" s="126">
        <f t="shared" si="7"/>
        <v>568</v>
      </c>
      <c r="M17" s="125">
        <f t="shared" ref="M17:M35" si="10">(I17*$F$11)*J17</f>
        <v>1743</v>
      </c>
      <c r="N17" s="125">
        <f t="shared" ref="N17:N35" si="11">+(ROUNDUP(F17,0))*$F$12</f>
        <v>610.12</v>
      </c>
      <c r="O17" s="126">
        <f t="shared" ref="O17:O35" si="12">K17+L17+M17+N17</f>
        <v>3288.92</v>
      </c>
      <c r="P17" s="124">
        <f t="shared" si="8"/>
        <v>862.83763097537008</v>
      </c>
      <c r="Q17" s="144">
        <f t="shared" si="9"/>
        <v>4151.7576309753704</v>
      </c>
      <c r="R17" s="149">
        <f t="shared" ref="R17:R35" si="13">Q17/H17</f>
        <v>1037.9394077438426</v>
      </c>
      <c r="S17" s="42"/>
    </row>
    <row r="18" spans="1:19" s="40" customFormat="1" ht="11.25" x14ac:dyDescent="0.2">
      <c r="A18" s="143">
        <v>600</v>
      </c>
      <c r="B18" s="51">
        <v>100</v>
      </c>
      <c r="C18" s="101">
        <f t="shared" si="0"/>
        <v>70</v>
      </c>
      <c r="D18" s="102">
        <f t="shared" si="1"/>
        <v>8.75</v>
      </c>
      <c r="E18" s="52">
        <v>20</v>
      </c>
      <c r="F18" s="104">
        <f t="shared" si="2"/>
        <v>28.75</v>
      </c>
      <c r="G18" s="105">
        <f t="shared" si="3"/>
        <v>3.1944444444444446</v>
      </c>
      <c r="H18" s="50">
        <f t="shared" si="4"/>
        <v>4</v>
      </c>
      <c r="I18" s="123">
        <f t="shared" si="5"/>
        <v>3.5</v>
      </c>
      <c r="J18" s="123">
        <v>2</v>
      </c>
      <c r="K18" s="124">
        <f t="shared" si="6"/>
        <v>429.09999999999997</v>
      </c>
      <c r="L18" s="126">
        <f t="shared" si="7"/>
        <v>568</v>
      </c>
      <c r="M18" s="125">
        <f t="shared" si="10"/>
        <v>1743</v>
      </c>
      <c r="N18" s="125">
        <f t="shared" si="11"/>
        <v>631.91</v>
      </c>
      <c r="O18" s="126">
        <f t="shared" si="12"/>
        <v>3372.0099999999998</v>
      </c>
      <c r="P18" s="124">
        <f t="shared" si="8"/>
        <v>884.63602642364594</v>
      </c>
      <c r="Q18" s="144">
        <f t="shared" si="9"/>
        <v>4256.6460264236457</v>
      </c>
      <c r="R18" s="149">
        <f t="shared" si="13"/>
        <v>1064.1615066059114</v>
      </c>
      <c r="S18" s="42"/>
    </row>
    <row r="19" spans="1:19" s="40" customFormat="1" ht="11.25" x14ac:dyDescent="0.2">
      <c r="A19" s="143">
        <v>700</v>
      </c>
      <c r="B19" s="51">
        <v>100</v>
      </c>
      <c r="C19" s="101">
        <f t="shared" si="0"/>
        <v>80</v>
      </c>
      <c r="D19" s="102">
        <f t="shared" si="1"/>
        <v>10</v>
      </c>
      <c r="E19" s="52">
        <v>20</v>
      </c>
      <c r="F19" s="104">
        <f t="shared" si="2"/>
        <v>30</v>
      </c>
      <c r="G19" s="105">
        <f t="shared" si="3"/>
        <v>3.3333333333333335</v>
      </c>
      <c r="H19" s="50">
        <f t="shared" si="4"/>
        <v>4</v>
      </c>
      <c r="I19" s="123">
        <f t="shared" si="5"/>
        <v>3.5</v>
      </c>
      <c r="J19" s="123">
        <v>2</v>
      </c>
      <c r="K19" s="124">
        <f t="shared" si="6"/>
        <v>490.4</v>
      </c>
      <c r="L19" s="126">
        <f t="shared" si="7"/>
        <v>568</v>
      </c>
      <c r="M19" s="125">
        <f t="shared" si="10"/>
        <v>1743</v>
      </c>
      <c r="N19" s="125">
        <f t="shared" si="11"/>
        <v>653.69999999999993</v>
      </c>
      <c r="O19" s="126">
        <f t="shared" si="12"/>
        <v>3455.1</v>
      </c>
      <c r="P19" s="124">
        <f t="shared" si="8"/>
        <v>906.43442187192181</v>
      </c>
      <c r="Q19" s="144">
        <f t="shared" si="9"/>
        <v>4361.5344218719219</v>
      </c>
      <c r="R19" s="149">
        <f t="shared" si="13"/>
        <v>1090.3836054679805</v>
      </c>
      <c r="S19" s="42"/>
    </row>
    <row r="20" spans="1:19" s="40" customFormat="1" ht="11.25" x14ac:dyDescent="0.2">
      <c r="A20" s="143">
        <v>800</v>
      </c>
      <c r="B20" s="51">
        <v>100</v>
      </c>
      <c r="C20" s="101">
        <f t="shared" si="0"/>
        <v>90</v>
      </c>
      <c r="D20" s="102">
        <f t="shared" si="1"/>
        <v>11.25</v>
      </c>
      <c r="E20" s="52">
        <v>20</v>
      </c>
      <c r="F20" s="104">
        <f t="shared" si="2"/>
        <v>31.25</v>
      </c>
      <c r="G20" s="105">
        <f t="shared" si="3"/>
        <v>3.4722222222222223</v>
      </c>
      <c r="H20" s="50">
        <f t="shared" si="4"/>
        <v>4</v>
      </c>
      <c r="I20" s="123">
        <f t="shared" si="5"/>
        <v>3.5</v>
      </c>
      <c r="J20" s="123">
        <v>2</v>
      </c>
      <c r="K20" s="124">
        <f t="shared" si="6"/>
        <v>551.70000000000005</v>
      </c>
      <c r="L20" s="126">
        <f t="shared" si="7"/>
        <v>568</v>
      </c>
      <c r="M20" s="125">
        <f t="shared" si="10"/>
        <v>1743</v>
      </c>
      <c r="N20" s="125">
        <f t="shared" si="11"/>
        <v>697.28</v>
      </c>
      <c r="O20" s="126">
        <f t="shared" si="12"/>
        <v>3559.9799999999996</v>
      </c>
      <c r="P20" s="124">
        <f t="shared" si="8"/>
        <v>933.94935404926173</v>
      </c>
      <c r="Q20" s="144">
        <f t="shared" si="9"/>
        <v>4493.9293540492617</v>
      </c>
      <c r="R20" s="149">
        <f t="shared" si="13"/>
        <v>1123.4823385123154</v>
      </c>
      <c r="S20" s="42"/>
    </row>
    <row r="21" spans="1:19" s="40" customFormat="1" ht="11.25" x14ac:dyDescent="0.2">
      <c r="A21" s="143">
        <v>900</v>
      </c>
      <c r="B21" s="51">
        <v>100</v>
      </c>
      <c r="C21" s="101">
        <f t="shared" si="0"/>
        <v>100</v>
      </c>
      <c r="D21" s="102">
        <f t="shared" si="1"/>
        <v>12.5</v>
      </c>
      <c r="E21" s="52">
        <v>20</v>
      </c>
      <c r="F21" s="104">
        <f t="shared" si="2"/>
        <v>32.5</v>
      </c>
      <c r="G21" s="105">
        <f t="shared" si="3"/>
        <v>3.6111111111111112</v>
      </c>
      <c r="H21" s="50">
        <f t="shared" si="4"/>
        <v>4</v>
      </c>
      <c r="I21" s="123">
        <f t="shared" si="5"/>
        <v>3.5</v>
      </c>
      <c r="J21" s="123">
        <v>2</v>
      </c>
      <c r="K21" s="124">
        <f t="shared" si="6"/>
        <v>613</v>
      </c>
      <c r="L21" s="126">
        <f t="shared" si="7"/>
        <v>568</v>
      </c>
      <c r="M21" s="125">
        <f t="shared" si="10"/>
        <v>1743</v>
      </c>
      <c r="N21" s="125">
        <f t="shared" si="11"/>
        <v>719.06999999999994</v>
      </c>
      <c r="O21" s="126">
        <f t="shared" si="12"/>
        <v>3643.0699999999997</v>
      </c>
      <c r="P21" s="124">
        <f t="shared" si="8"/>
        <v>955.7477494975376</v>
      </c>
      <c r="Q21" s="144">
        <f t="shared" si="9"/>
        <v>4598.8177494975371</v>
      </c>
      <c r="R21" s="149">
        <f t="shared" si="13"/>
        <v>1149.7044373743843</v>
      </c>
      <c r="S21" s="42"/>
    </row>
    <row r="22" spans="1:19" s="40" customFormat="1" ht="11.25" x14ac:dyDescent="0.2">
      <c r="A22" s="143">
        <v>1000</v>
      </c>
      <c r="B22" s="51">
        <v>100</v>
      </c>
      <c r="C22" s="101">
        <f t="shared" si="0"/>
        <v>110</v>
      </c>
      <c r="D22" s="102">
        <f t="shared" si="1"/>
        <v>13.75</v>
      </c>
      <c r="E22" s="52">
        <v>20</v>
      </c>
      <c r="F22" s="104">
        <f t="shared" si="2"/>
        <v>33.75</v>
      </c>
      <c r="G22" s="105">
        <f t="shared" si="3"/>
        <v>3.75</v>
      </c>
      <c r="H22" s="50">
        <f t="shared" si="4"/>
        <v>4</v>
      </c>
      <c r="I22" s="123">
        <f t="shared" si="5"/>
        <v>3.5</v>
      </c>
      <c r="J22" s="123">
        <v>2</v>
      </c>
      <c r="K22" s="124">
        <f t="shared" si="6"/>
        <v>674.3</v>
      </c>
      <c r="L22" s="126">
        <f t="shared" si="7"/>
        <v>568</v>
      </c>
      <c r="M22" s="125">
        <f t="shared" si="10"/>
        <v>1743</v>
      </c>
      <c r="N22" s="125">
        <f t="shared" si="11"/>
        <v>740.86</v>
      </c>
      <c r="O22" s="126">
        <f t="shared" si="12"/>
        <v>3726.1600000000003</v>
      </c>
      <c r="P22" s="124">
        <f t="shared" si="8"/>
        <v>977.54614494581358</v>
      </c>
      <c r="Q22" s="144">
        <f t="shared" si="9"/>
        <v>4703.7061449458142</v>
      </c>
      <c r="R22" s="149">
        <f t="shared" si="13"/>
        <v>1175.9265362364536</v>
      </c>
      <c r="S22" s="42"/>
    </row>
    <row r="23" spans="1:19" s="40" customFormat="1" ht="11.25" x14ac:dyDescent="0.2">
      <c r="A23" s="143">
        <v>1100</v>
      </c>
      <c r="B23" s="51">
        <v>100</v>
      </c>
      <c r="C23" s="101">
        <f t="shared" si="0"/>
        <v>120</v>
      </c>
      <c r="D23" s="102">
        <f t="shared" si="1"/>
        <v>15</v>
      </c>
      <c r="E23" s="52">
        <v>20</v>
      </c>
      <c r="F23" s="104">
        <f t="shared" si="2"/>
        <v>35</v>
      </c>
      <c r="G23" s="105">
        <f t="shared" si="3"/>
        <v>3.8888888888888888</v>
      </c>
      <c r="H23" s="50">
        <f t="shared" si="4"/>
        <v>4</v>
      </c>
      <c r="I23" s="123">
        <f t="shared" si="5"/>
        <v>3.5</v>
      </c>
      <c r="J23" s="123">
        <v>2</v>
      </c>
      <c r="K23" s="124">
        <f t="shared" si="6"/>
        <v>735.6</v>
      </c>
      <c r="L23" s="126">
        <f t="shared" si="7"/>
        <v>568</v>
      </c>
      <c r="M23" s="125">
        <f t="shared" si="10"/>
        <v>1743</v>
      </c>
      <c r="N23" s="125">
        <f t="shared" si="11"/>
        <v>762.65</v>
      </c>
      <c r="O23" s="126">
        <f t="shared" si="12"/>
        <v>3809.25</v>
      </c>
      <c r="P23" s="124">
        <f t="shared" si="8"/>
        <v>999.34454039408945</v>
      </c>
      <c r="Q23" s="144">
        <f t="shared" si="9"/>
        <v>4808.5945403940896</v>
      </c>
      <c r="R23" s="149">
        <f t="shared" si="13"/>
        <v>1202.1486350985224</v>
      </c>
      <c r="S23" s="42"/>
    </row>
    <row r="24" spans="1:19" s="40" customFormat="1" ht="11.25" x14ac:dyDescent="0.2">
      <c r="A24" s="143">
        <v>1200</v>
      </c>
      <c r="B24" s="51">
        <v>100</v>
      </c>
      <c r="C24" s="101">
        <f t="shared" si="0"/>
        <v>130</v>
      </c>
      <c r="D24" s="102">
        <f t="shared" si="1"/>
        <v>16.25</v>
      </c>
      <c r="E24" s="52">
        <v>20</v>
      </c>
      <c r="F24" s="104">
        <f t="shared" si="2"/>
        <v>36.25</v>
      </c>
      <c r="G24" s="105">
        <f t="shared" si="3"/>
        <v>4.0277777777777777</v>
      </c>
      <c r="H24" s="50">
        <f t="shared" si="4"/>
        <v>5</v>
      </c>
      <c r="I24" s="123">
        <f t="shared" si="5"/>
        <v>4.5</v>
      </c>
      <c r="J24" s="123">
        <v>2</v>
      </c>
      <c r="K24" s="124">
        <f t="shared" si="6"/>
        <v>796.9</v>
      </c>
      <c r="L24" s="126">
        <f t="shared" si="7"/>
        <v>710</v>
      </c>
      <c r="M24" s="125">
        <f t="shared" si="10"/>
        <v>2241</v>
      </c>
      <c r="N24" s="125">
        <f t="shared" si="11"/>
        <v>806.23</v>
      </c>
      <c r="O24" s="126">
        <f t="shared" si="12"/>
        <v>4554.13</v>
      </c>
      <c r="P24" s="124">
        <f t="shared" si="8"/>
        <v>1194.7614233103457</v>
      </c>
      <c r="Q24" s="144">
        <f t="shared" si="9"/>
        <v>5748.891423310346</v>
      </c>
      <c r="R24" s="149">
        <f t="shared" si="13"/>
        <v>1149.7782846620692</v>
      </c>
      <c r="S24" s="42"/>
    </row>
    <row r="25" spans="1:19" s="40" customFormat="1" ht="11.25" x14ac:dyDescent="0.2">
      <c r="A25" s="143">
        <v>1300</v>
      </c>
      <c r="B25" s="51">
        <v>100</v>
      </c>
      <c r="C25" s="101">
        <f t="shared" si="0"/>
        <v>140</v>
      </c>
      <c r="D25" s="102">
        <f t="shared" si="1"/>
        <v>17.5</v>
      </c>
      <c r="E25" s="52">
        <v>20</v>
      </c>
      <c r="F25" s="104">
        <f t="shared" si="2"/>
        <v>37.5</v>
      </c>
      <c r="G25" s="105">
        <f t="shared" si="3"/>
        <v>4.166666666666667</v>
      </c>
      <c r="H25" s="50">
        <f t="shared" si="4"/>
        <v>5</v>
      </c>
      <c r="I25" s="123">
        <f t="shared" si="5"/>
        <v>4.5</v>
      </c>
      <c r="J25" s="123">
        <v>2</v>
      </c>
      <c r="K25" s="124">
        <f t="shared" si="6"/>
        <v>858.19999999999993</v>
      </c>
      <c r="L25" s="126">
        <f t="shared" si="7"/>
        <v>710</v>
      </c>
      <c r="M25" s="125">
        <f t="shared" si="10"/>
        <v>2241</v>
      </c>
      <c r="N25" s="125">
        <f t="shared" si="11"/>
        <v>828.02</v>
      </c>
      <c r="O25" s="126">
        <f t="shared" si="12"/>
        <v>4637.2199999999993</v>
      </c>
      <c r="P25" s="124">
        <f t="shared" si="8"/>
        <v>1216.5598187586215</v>
      </c>
      <c r="Q25" s="144">
        <f t="shared" si="9"/>
        <v>5853.7798187586213</v>
      </c>
      <c r="R25" s="149">
        <f t="shared" si="13"/>
        <v>1170.7559637517243</v>
      </c>
      <c r="S25" s="42"/>
    </row>
    <row r="26" spans="1:19" s="40" customFormat="1" ht="11.25" x14ac:dyDescent="0.2">
      <c r="A26" s="143">
        <v>1400</v>
      </c>
      <c r="B26" s="51">
        <v>100</v>
      </c>
      <c r="C26" s="101">
        <f t="shared" si="0"/>
        <v>150</v>
      </c>
      <c r="D26" s="102">
        <f t="shared" si="1"/>
        <v>18.75</v>
      </c>
      <c r="E26" s="52">
        <v>20</v>
      </c>
      <c r="F26" s="104">
        <f t="shared" si="2"/>
        <v>38.75</v>
      </c>
      <c r="G26" s="105">
        <f t="shared" si="3"/>
        <v>4.3055555555555554</v>
      </c>
      <c r="H26" s="50">
        <f t="shared" si="4"/>
        <v>5</v>
      </c>
      <c r="I26" s="123">
        <f t="shared" si="5"/>
        <v>4.5</v>
      </c>
      <c r="J26" s="123">
        <v>2</v>
      </c>
      <c r="K26" s="124">
        <f t="shared" si="6"/>
        <v>919.5</v>
      </c>
      <c r="L26" s="126">
        <f t="shared" si="7"/>
        <v>710</v>
      </c>
      <c r="M26" s="125">
        <f t="shared" si="10"/>
        <v>2241</v>
      </c>
      <c r="N26" s="125">
        <f t="shared" si="11"/>
        <v>849.81</v>
      </c>
      <c r="O26" s="126">
        <f t="shared" si="12"/>
        <v>4720.3099999999995</v>
      </c>
      <c r="P26" s="124">
        <f t="shared" si="8"/>
        <v>1238.3582142068974</v>
      </c>
      <c r="Q26" s="144">
        <f t="shared" si="9"/>
        <v>5958.6682142068967</v>
      </c>
      <c r="R26" s="149">
        <f t="shared" si="13"/>
        <v>1191.7336428413794</v>
      </c>
      <c r="S26" s="42"/>
    </row>
    <row r="27" spans="1:19" s="40" customFormat="1" ht="11.25" x14ac:dyDescent="0.2">
      <c r="A27" s="143">
        <v>1500</v>
      </c>
      <c r="B27" s="51">
        <v>100</v>
      </c>
      <c r="C27" s="101">
        <f t="shared" si="0"/>
        <v>160</v>
      </c>
      <c r="D27" s="102">
        <f t="shared" si="1"/>
        <v>20</v>
      </c>
      <c r="E27" s="52">
        <v>20</v>
      </c>
      <c r="F27" s="104">
        <f t="shared" si="2"/>
        <v>40</v>
      </c>
      <c r="G27" s="105">
        <f t="shared" si="3"/>
        <v>4.4444444444444446</v>
      </c>
      <c r="H27" s="50">
        <f t="shared" si="4"/>
        <v>5</v>
      </c>
      <c r="I27" s="123">
        <f t="shared" si="5"/>
        <v>4.5</v>
      </c>
      <c r="J27" s="123">
        <v>2</v>
      </c>
      <c r="K27" s="124">
        <f t="shared" si="6"/>
        <v>980.8</v>
      </c>
      <c r="L27" s="126">
        <f t="shared" si="7"/>
        <v>710</v>
      </c>
      <c r="M27" s="125">
        <f t="shared" si="10"/>
        <v>2241</v>
      </c>
      <c r="N27" s="125">
        <f t="shared" si="11"/>
        <v>871.59999999999991</v>
      </c>
      <c r="O27" s="126">
        <f t="shared" si="12"/>
        <v>4803.3999999999996</v>
      </c>
      <c r="P27" s="124">
        <f t="shared" si="8"/>
        <v>1260.1566096551733</v>
      </c>
      <c r="Q27" s="144">
        <f t="shared" si="9"/>
        <v>6063.5566096551729</v>
      </c>
      <c r="R27" s="149">
        <f t="shared" si="13"/>
        <v>1212.7113219310345</v>
      </c>
      <c r="S27" s="42"/>
    </row>
    <row r="28" spans="1:19" s="40" customFormat="1" ht="11.25" x14ac:dyDescent="0.2">
      <c r="A28" s="143">
        <v>1600</v>
      </c>
      <c r="B28" s="51">
        <v>100</v>
      </c>
      <c r="C28" s="101">
        <f t="shared" si="0"/>
        <v>170</v>
      </c>
      <c r="D28" s="102">
        <f t="shared" si="1"/>
        <v>21.25</v>
      </c>
      <c r="E28" s="52">
        <v>20</v>
      </c>
      <c r="F28" s="104">
        <f t="shared" si="2"/>
        <v>41.25</v>
      </c>
      <c r="G28" s="105">
        <f t="shared" si="3"/>
        <v>4.583333333333333</v>
      </c>
      <c r="H28" s="50">
        <f t="shared" si="4"/>
        <v>5</v>
      </c>
      <c r="I28" s="123">
        <f t="shared" si="5"/>
        <v>4.5</v>
      </c>
      <c r="J28" s="123">
        <v>2</v>
      </c>
      <c r="K28" s="124">
        <f t="shared" si="6"/>
        <v>1042.0999999999999</v>
      </c>
      <c r="L28" s="126">
        <f t="shared" si="7"/>
        <v>710</v>
      </c>
      <c r="M28" s="125">
        <f t="shared" si="10"/>
        <v>2241</v>
      </c>
      <c r="N28" s="125">
        <f t="shared" si="11"/>
        <v>915.18</v>
      </c>
      <c r="O28" s="126">
        <f t="shared" si="12"/>
        <v>4908.28</v>
      </c>
      <c r="P28" s="124">
        <f t="shared" si="8"/>
        <v>1287.6715418325132</v>
      </c>
      <c r="Q28" s="144">
        <f t="shared" si="9"/>
        <v>6195.9515418325127</v>
      </c>
      <c r="R28" s="149">
        <f t="shared" si="13"/>
        <v>1239.1903083665024</v>
      </c>
      <c r="S28" s="42"/>
    </row>
    <row r="29" spans="1:19" s="40" customFormat="1" ht="11.25" x14ac:dyDescent="0.2">
      <c r="A29" s="143">
        <v>1700</v>
      </c>
      <c r="B29" s="51">
        <v>100</v>
      </c>
      <c r="C29" s="101">
        <f t="shared" si="0"/>
        <v>180</v>
      </c>
      <c r="D29" s="102">
        <f t="shared" si="1"/>
        <v>22.5</v>
      </c>
      <c r="E29" s="52">
        <v>20</v>
      </c>
      <c r="F29" s="104">
        <f t="shared" si="2"/>
        <v>42.5</v>
      </c>
      <c r="G29" s="105">
        <f t="shared" si="3"/>
        <v>4.7222222222222223</v>
      </c>
      <c r="H29" s="50">
        <f t="shared" si="4"/>
        <v>5</v>
      </c>
      <c r="I29" s="123">
        <f t="shared" si="5"/>
        <v>4.5</v>
      </c>
      <c r="J29" s="123">
        <v>2</v>
      </c>
      <c r="K29" s="124">
        <f t="shared" si="6"/>
        <v>1103.4000000000001</v>
      </c>
      <c r="L29" s="126">
        <f t="shared" si="7"/>
        <v>710</v>
      </c>
      <c r="M29" s="125">
        <f t="shared" si="10"/>
        <v>2241</v>
      </c>
      <c r="N29" s="125">
        <f t="shared" si="11"/>
        <v>936.96999999999991</v>
      </c>
      <c r="O29" s="126">
        <f t="shared" si="12"/>
        <v>4991.37</v>
      </c>
      <c r="P29" s="124">
        <f t="shared" si="8"/>
        <v>1309.4699372807891</v>
      </c>
      <c r="Q29" s="144">
        <f t="shared" si="9"/>
        <v>6300.8399372807889</v>
      </c>
      <c r="R29" s="149">
        <f t="shared" si="13"/>
        <v>1260.1679874561578</v>
      </c>
      <c r="S29" s="42"/>
    </row>
    <row r="30" spans="1:19" s="40" customFormat="1" ht="11.25" x14ac:dyDescent="0.2">
      <c r="A30" s="143">
        <v>1800</v>
      </c>
      <c r="B30" s="51">
        <v>100</v>
      </c>
      <c r="C30" s="101">
        <f t="shared" si="0"/>
        <v>190</v>
      </c>
      <c r="D30" s="102">
        <f t="shared" si="1"/>
        <v>23.75</v>
      </c>
      <c r="E30" s="52">
        <v>20</v>
      </c>
      <c r="F30" s="104">
        <f t="shared" si="2"/>
        <v>43.75</v>
      </c>
      <c r="G30" s="105">
        <f t="shared" si="3"/>
        <v>4.8611111111111107</v>
      </c>
      <c r="H30" s="50">
        <f t="shared" si="4"/>
        <v>5</v>
      </c>
      <c r="I30" s="123">
        <f t="shared" si="5"/>
        <v>4.5</v>
      </c>
      <c r="J30" s="123">
        <v>2</v>
      </c>
      <c r="K30" s="124">
        <f t="shared" si="6"/>
        <v>1164.7</v>
      </c>
      <c r="L30" s="126">
        <f t="shared" si="7"/>
        <v>710</v>
      </c>
      <c r="M30" s="125">
        <f t="shared" si="10"/>
        <v>2241</v>
      </c>
      <c r="N30" s="125">
        <f t="shared" si="11"/>
        <v>958.76</v>
      </c>
      <c r="O30" s="126">
        <f t="shared" si="12"/>
        <v>5074.46</v>
      </c>
      <c r="P30" s="124">
        <f t="shared" si="8"/>
        <v>1331.2683327290652</v>
      </c>
      <c r="Q30" s="144">
        <f t="shared" si="9"/>
        <v>6405.7283327290652</v>
      </c>
      <c r="R30" s="149">
        <f t="shared" si="13"/>
        <v>1281.1456665458131</v>
      </c>
      <c r="S30" s="42"/>
    </row>
    <row r="31" spans="1:19" s="40" customFormat="1" ht="11.25" x14ac:dyDescent="0.2">
      <c r="A31" s="143">
        <v>1900</v>
      </c>
      <c r="B31" s="51">
        <v>100</v>
      </c>
      <c r="C31" s="101">
        <f t="shared" si="0"/>
        <v>200</v>
      </c>
      <c r="D31" s="102">
        <f t="shared" si="1"/>
        <v>25</v>
      </c>
      <c r="E31" s="52">
        <v>20</v>
      </c>
      <c r="F31" s="104">
        <f t="shared" si="2"/>
        <v>45</v>
      </c>
      <c r="G31" s="105">
        <f t="shared" si="3"/>
        <v>5</v>
      </c>
      <c r="H31" s="50">
        <f t="shared" si="4"/>
        <v>5</v>
      </c>
      <c r="I31" s="123">
        <f t="shared" si="5"/>
        <v>4.5</v>
      </c>
      <c r="J31" s="123">
        <v>2</v>
      </c>
      <c r="K31" s="124">
        <f t="shared" si="6"/>
        <v>1226</v>
      </c>
      <c r="L31" s="126">
        <f t="shared" si="7"/>
        <v>710</v>
      </c>
      <c r="M31" s="125">
        <f t="shared" si="10"/>
        <v>2241</v>
      </c>
      <c r="N31" s="125">
        <f t="shared" si="11"/>
        <v>980.55</v>
      </c>
      <c r="O31" s="126">
        <f t="shared" si="12"/>
        <v>5157.55</v>
      </c>
      <c r="P31" s="124">
        <f t="shared" si="8"/>
        <v>1353.066728177341</v>
      </c>
      <c r="Q31" s="144">
        <f t="shared" si="9"/>
        <v>6510.6167281773414</v>
      </c>
      <c r="R31" s="149">
        <f t="shared" si="13"/>
        <v>1302.1233456354682</v>
      </c>
      <c r="S31" s="42"/>
    </row>
    <row r="32" spans="1:19" s="40" customFormat="1" ht="11.25" x14ac:dyDescent="0.2">
      <c r="A32" s="143">
        <v>2000</v>
      </c>
      <c r="B32" s="51">
        <v>100</v>
      </c>
      <c r="C32" s="101">
        <f t="shared" si="0"/>
        <v>210</v>
      </c>
      <c r="D32" s="102">
        <f t="shared" si="1"/>
        <v>26.25</v>
      </c>
      <c r="E32" s="52">
        <v>20</v>
      </c>
      <c r="F32" s="104">
        <f t="shared" si="2"/>
        <v>46.25</v>
      </c>
      <c r="G32" s="105">
        <f t="shared" si="3"/>
        <v>5.1388888888888893</v>
      </c>
      <c r="H32" s="50">
        <f t="shared" si="4"/>
        <v>6</v>
      </c>
      <c r="I32" s="123">
        <f t="shared" si="5"/>
        <v>5.5</v>
      </c>
      <c r="J32" s="123">
        <v>2</v>
      </c>
      <c r="K32" s="124">
        <f t="shared" si="6"/>
        <v>1287.3</v>
      </c>
      <c r="L32" s="126">
        <f t="shared" si="7"/>
        <v>852</v>
      </c>
      <c r="M32" s="125">
        <f t="shared" si="10"/>
        <v>2739</v>
      </c>
      <c r="N32" s="125">
        <f t="shared" si="11"/>
        <v>1024.1299999999999</v>
      </c>
      <c r="O32" s="126">
        <f t="shared" si="12"/>
        <v>5902.43</v>
      </c>
      <c r="P32" s="124">
        <f t="shared" si="8"/>
        <v>1548.4836110935973</v>
      </c>
      <c r="Q32" s="144">
        <f t="shared" si="9"/>
        <v>7450.9136110935979</v>
      </c>
      <c r="R32" s="149">
        <f t="shared" si="13"/>
        <v>1241.8189351822664</v>
      </c>
      <c r="S32" s="42"/>
    </row>
    <row r="33" spans="1:19" s="40" customFormat="1" ht="11.25" x14ac:dyDescent="0.2">
      <c r="A33" s="143">
        <v>2100</v>
      </c>
      <c r="B33" s="51">
        <v>100</v>
      </c>
      <c r="C33" s="101">
        <f t="shared" si="0"/>
        <v>220</v>
      </c>
      <c r="D33" s="102">
        <f t="shared" si="1"/>
        <v>27.5</v>
      </c>
      <c r="E33" s="52">
        <v>20</v>
      </c>
      <c r="F33" s="104">
        <f t="shared" si="2"/>
        <v>47.5</v>
      </c>
      <c r="G33" s="105">
        <f t="shared" si="3"/>
        <v>5.2777777777777777</v>
      </c>
      <c r="H33" s="50">
        <f t="shared" si="4"/>
        <v>6</v>
      </c>
      <c r="I33" s="123">
        <f t="shared" si="5"/>
        <v>5.5</v>
      </c>
      <c r="J33" s="123">
        <v>2</v>
      </c>
      <c r="K33" s="124">
        <f t="shared" si="6"/>
        <v>1348.6</v>
      </c>
      <c r="L33" s="126">
        <f t="shared" si="7"/>
        <v>852</v>
      </c>
      <c r="M33" s="125">
        <f t="shared" si="10"/>
        <v>2739</v>
      </c>
      <c r="N33" s="125">
        <f t="shared" si="11"/>
        <v>1045.92</v>
      </c>
      <c r="O33" s="126">
        <f t="shared" si="12"/>
        <v>5985.52</v>
      </c>
      <c r="P33" s="124">
        <f t="shared" si="8"/>
        <v>1570.2820065418732</v>
      </c>
      <c r="Q33" s="144">
        <f t="shared" si="9"/>
        <v>7555.8020065418732</v>
      </c>
      <c r="R33" s="149">
        <f t="shared" si="13"/>
        <v>1259.3003344236456</v>
      </c>
      <c r="S33" s="42"/>
    </row>
    <row r="34" spans="1:19" s="40" customFormat="1" ht="11.25" x14ac:dyDescent="0.2">
      <c r="A34" s="143">
        <v>2200</v>
      </c>
      <c r="B34" s="51">
        <v>100</v>
      </c>
      <c r="C34" s="101">
        <f t="shared" si="0"/>
        <v>230</v>
      </c>
      <c r="D34" s="102">
        <f t="shared" si="1"/>
        <v>28.75</v>
      </c>
      <c r="E34" s="52">
        <v>20</v>
      </c>
      <c r="F34" s="104">
        <f t="shared" si="2"/>
        <v>48.75</v>
      </c>
      <c r="G34" s="105">
        <f t="shared" si="3"/>
        <v>5.416666666666667</v>
      </c>
      <c r="H34" s="50">
        <f t="shared" si="4"/>
        <v>6</v>
      </c>
      <c r="I34" s="123">
        <f t="shared" si="5"/>
        <v>5.5</v>
      </c>
      <c r="J34" s="123">
        <v>2</v>
      </c>
      <c r="K34" s="124">
        <f t="shared" si="6"/>
        <v>1409.8999999999999</v>
      </c>
      <c r="L34" s="126">
        <f t="shared" si="7"/>
        <v>852</v>
      </c>
      <c r="M34" s="125">
        <f t="shared" si="10"/>
        <v>2739</v>
      </c>
      <c r="N34" s="125">
        <f t="shared" si="11"/>
        <v>1067.71</v>
      </c>
      <c r="O34" s="126">
        <f t="shared" si="12"/>
        <v>6068.61</v>
      </c>
      <c r="P34" s="124">
        <f t="shared" si="8"/>
        <v>1592.0804019901489</v>
      </c>
      <c r="Q34" s="144">
        <f t="shared" si="9"/>
        <v>7660.6904019901485</v>
      </c>
      <c r="R34" s="149">
        <f t="shared" si="13"/>
        <v>1276.7817336650248</v>
      </c>
      <c r="S34" s="42"/>
    </row>
    <row r="35" spans="1:19" s="40" customFormat="1" ht="11.25" x14ac:dyDescent="0.2">
      <c r="A35" s="143">
        <v>2300</v>
      </c>
      <c r="B35" s="51">
        <v>100</v>
      </c>
      <c r="C35" s="101">
        <f t="shared" si="0"/>
        <v>240</v>
      </c>
      <c r="D35" s="102">
        <f t="shared" si="1"/>
        <v>30</v>
      </c>
      <c r="E35" s="52">
        <v>20</v>
      </c>
      <c r="F35" s="104">
        <f t="shared" si="2"/>
        <v>50</v>
      </c>
      <c r="G35" s="105">
        <f t="shared" si="3"/>
        <v>5.5555555555555554</v>
      </c>
      <c r="H35" s="50">
        <f t="shared" si="4"/>
        <v>6</v>
      </c>
      <c r="I35" s="123">
        <f t="shared" si="5"/>
        <v>5.5</v>
      </c>
      <c r="J35" s="123">
        <v>2</v>
      </c>
      <c r="K35" s="124">
        <f t="shared" si="6"/>
        <v>1471.2</v>
      </c>
      <c r="L35" s="126">
        <f t="shared" si="7"/>
        <v>852</v>
      </c>
      <c r="M35" s="125">
        <f t="shared" si="10"/>
        <v>2739</v>
      </c>
      <c r="N35" s="125">
        <f t="shared" si="11"/>
        <v>1089.5</v>
      </c>
      <c r="O35" s="126">
        <f t="shared" si="12"/>
        <v>6151.7</v>
      </c>
      <c r="P35" s="124">
        <f t="shared" si="8"/>
        <v>1613.8787974384247</v>
      </c>
      <c r="Q35" s="144">
        <f t="shared" si="9"/>
        <v>7765.5787974384248</v>
      </c>
      <c r="R35" s="149">
        <f t="shared" si="13"/>
        <v>1294.2631329064041</v>
      </c>
      <c r="S35" s="42"/>
    </row>
    <row r="36" spans="1:19" s="44" customFormat="1" ht="11.25" x14ac:dyDescent="0.2">
      <c r="D36" s="45"/>
      <c r="E36" s="46"/>
      <c r="F36" s="47"/>
      <c r="G36" s="48"/>
      <c r="H36" s="48"/>
      <c r="I36" s="48"/>
      <c r="J36" s="113"/>
      <c r="K36" s="48"/>
      <c r="N36" s="127"/>
      <c r="P36" s="40"/>
      <c r="Q36" s="49"/>
      <c r="R36" s="65"/>
    </row>
    <row r="37" spans="1:19" x14ac:dyDescent="0.2">
      <c r="Q37" s="155" t="s">
        <v>148</v>
      </c>
      <c r="R37" s="156">
        <f>AVERAGE(R16:R35)</f>
        <v>1190.1586443001479</v>
      </c>
    </row>
    <row r="42" spans="1:19" s="29" customFormat="1" ht="11.25" x14ac:dyDescent="0.2">
      <c r="J42" s="117"/>
      <c r="N42" s="117"/>
      <c r="R42" s="66"/>
    </row>
    <row r="43" spans="1:19" s="29" customFormat="1" ht="11.25" x14ac:dyDescent="0.2">
      <c r="J43" s="117"/>
      <c r="N43" s="117"/>
      <c r="R43" s="66"/>
    </row>
    <row r="44" spans="1:19" s="29" customFormat="1" ht="11.25" x14ac:dyDescent="0.2">
      <c r="J44" s="117"/>
      <c r="N44" s="117"/>
      <c r="R44" s="66"/>
    </row>
    <row r="45" spans="1:19" s="29" customFormat="1" ht="11.25" x14ac:dyDescent="0.2">
      <c r="J45" s="117"/>
      <c r="N45" s="117"/>
      <c r="R45" s="66"/>
    </row>
    <row r="46" spans="1:19" s="29" customFormat="1" ht="11.25" x14ac:dyDescent="0.2">
      <c r="J46" s="117"/>
      <c r="N46" s="117"/>
      <c r="R46" s="66"/>
    </row>
    <row r="47" spans="1:19" s="29" customFormat="1" ht="11.25" x14ac:dyDescent="0.2">
      <c r="J47" s="117"/>
      <c r="N47" s="117"/>
      <c r="R47" s="66"/>
    </row>
    <row r="49" spans="10:18" s="29" customFormat="1" ht="11.25" x14ac:dyDescent="0.2">
      <c r="J49" s="117"/>
      <c r="N49" s="117"/>
      <c r="R49" s="66"/>
    </row>
  </sheetData>
  <mergeCells count="1">
    <mergeCell ref="A12:E12"/>
  </mergeCells>
  <pageMargins left="0.78740157480314965" right="0.78740157480314965" top="0.98425196850393704" bottom="0.98425196850393704" header="0.51181102362204722" footer="0.51181102362204722"/>
  <pageSetup paperSize="9" scale="50"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AMD140"/>
  <sheetViews>
    <sheetView tabSelected="1" topLeftCell="A61" zoomScaleNormal="100" workbookViewId="0">
      <selection activeCell="C87" sqref="C87"/>
    </sheetView>
  </sheetViews>
  <sheetFormatPr defaultColWidth="9.33203125" defaultRowHeight="12.75" x14ac:dyDescent="0.2"/>
  <cols>
    <col min="1" max="1" width="9.33203125" style="1"/>
    <col min="2" max="2" width="70.33203125" style="1" customWidth="1"/>
    <col min="3" max="3" width="21" style="1" customWidth="1"/>
    <col min="4" max="4" width="16.6640625" style="1" customWidth="1"/>
    <col min="5" max="5" width="14.83203125" style="1" customWidth="1"/>
    <col min="6" max="1018" width="9.33203125" style="1"/>
  </cols>
  <sheetData>
    <row r="1" spans="1:4" ht="15.75" x14ac:dyDescent="0.25">
      <c r="A1" s="227" t="s">
        <v>0</v>
      </c>
      <c r="B1" s="227"/>
      <c r="C1" s="227"/>
      <c r="D1" s="227"/>
    </row>
    <row r="3" spans="1:4" x14ac:dyDescent="0.2">
      <c r="A3" s="228" t="s">
        <v>1</v>
      </c>
      <c r="B3" s="228"/>
      <c r="C3" s="228"/>
      <c r="D3" s="228"/>
    </row>
    <row r="4" spans="1:4" x14ac:dyDescent="0.2">
      <c r="A4" s="2"/>
      <c r="B4" s="2"/>
      <c r="C4" s="2"/>
      <c r="D4" s="2"/>
    </row>
    <row r="5" spans="1:4" x14ac:dyDescent="0.2">
      <c r="A5" s="3">
        <v>1</v>
      </c>
      <c r="B5" s="3" t="s">
        <v>2</v>
      </c>
      <c r="C5" s="229" t="s">
        <v>189</v>
      </c>
      <c r="D5" s="229"/>
    </row>
    <row r="6" spans="1:4" x14ac:dyDescent="0.2">
      <c r="A6" s="3">
        <v>2</v>
      </c>
      <c r="B6" s="3" t="s">
        <v>3</v>
      </c>
      <c r="C6" s="230"/>
      <c r="D6" s="230"/>
    </row>
    <row r="7" spans="1:4" x14ac:dyDescent="0.2">
      <c r="A7" s="3">
        <v>3</v>
      </c>
      <c r="B7" s="3" t="s">
        <v>4</v>
      </c>
      <c r="C7" s="229" t="s">
        <v>141</v>
      </c>
      <c r="D7" s="229"/>
    </row>
    <row r="8" spans="1:4" x14ac:dyDescent="0.2">
      <c r="A8" s="3">
        <v>4</v>
      </c>
      <c r="B8" s="3" t="s">
        <v>5</v>
      </c>
      <c r="C8" s="231"/>
      <c r="D8" s="229"/>
    </row>
    <row r="10" spans="1:4" x14ac:dyDescent="0.2">
      <c r="A10" s="228" t="s">
        <v>6</v>
      </c>
      <c r="B10" s="228"/>
      <c r="C10" s="228"/>
      <c r="D10" s="228"/>
    </row>
    <row r="12" spans="1:4" ht="12.75" customHeight="1" x14ac:dyDescent="0.2">
      <c r="A12" s="4">
        <v>1</v>
      </c>
      <c r="B12" s="232" t="s">
        <v>7</v>
      </c>
      <c r="C12" s="232"/>
      <c r="D12" s="4" t="s">
        <v>8</v>
      </c>
    </row>
    <row r="13" spans="1:4" ht="12.75" customHeight="1" x14ac:dyDescent="0.2">
      <c r="A13" s="5" t="s">
        <v>9</v>
      </c>
      <c r="B13" s="233" t="s">
        <v>10</v>
      </c>
      <c r="C13" s="233"/>
      <c r="D13" s="74">
        <v>12422.36</v>
      </c>
    </row>
    <row r="14" spans="1:4" ht="12.75" customHeight="1" x14ac:dyDescent="0.2">
      <c r="A14" s="5" t="s">
        <v>11</v>
      </c>
      <c r="B14" s="233" t="s">
        <v>12</v>
      </c>
      <c r="C14" s="233"/>
      <c r="D14" s="7" t="s">
        <v>134</v>
      </c>
    </row>
    <row r="15" spans="1:4" ht="12.75" customHeight="1" x14ac:dyDescent="0.2">
      <c r="A15" s="5" t="s">
        <v>13</v>
      </c>
      <c r="B15" s="233" t="s">
        <v>14</v>
      </c>
      <c r="C15" s="233"/>
      <c r="D15" s="7" t="s">
        <v>134</v>
      </c>
    </row>
    <row r="16" spans="1:4" ht="12.75" customHeight="1" x14ac:dyDescent="0.2">
      <c r="A16" s="5" t="s">
        <v>15</v>
      </c>
      <c r="B16" s="233" t="s">
        <v>16</v>
      </c>
      <c r="C16" s="233"/>
      <c r="D16" s="7" t="s">
        <v>134</v>
      </c>
    </row>
    <row r="17" spans="1:4" ht="12.75" customHeight="1" x14ac:dyDescent="0.2">
      <c r="A17" s="5" t="s">
        <v>17</v>
      </c>
      <c r="B17" s="233" t="s">
        <v>18</v>
      </c>
      <c r="C17" s="233"/>
      <c r="D17" s="7" t="s">
        <v>134</v>
      </c>
    </row>
    <row r="18" spans="1:4" x14ac:dyDescent="0.2">
      <c r="A18" s="5"/>
      <c r="B18" s="233"/>
      <c r="C18" s="233"/>
      <c r="D18" s="7"/>
    </row>
    <row r="19" spans="1:4" ht="12.75" customHeight="1" x14ac:dyDescent="0.2">
      <c r="A19" s="5" t="s">
        <v>19</v>
      </c>
      <c r="B19" s="233" t="s">
        <v>20</v>
      </c>
      <c r="C19" s="233"/>
      <c r="D19" s="7"/>
    </row>
    <row r="20" spans="1:4" ht="12.75" customHeight="1" x14ac:dyDescent="0.2">
      <c r="A20" s="232" t="s">
        <v>21</v>
      </c>
      <c r="B20" s="232"/>
      <c r="C20" s="232"/>
      <c r="D20" s="8">
        <f>SUM(D13:D19)</f>
        <v>12422.36</v>
      </c>
    </row>
    <row r="23" spans="1:4" x14ac:dyDescent="0.2">
      <c r="A23" s="228" t="s">
        <v>22</v>
      </c>
      <c r="B23" s="228"/>
      <c r="C23" s="228"/>
      <c r="D23" s="228"/>
    </row>
    <row r="24" spans="1:4" x14ac:dyDescent="0.2">
      <c r="A24" s="9"/>
    </row>
    <row r="25" spans="1:4" x14ac:dyDescent="0.2">
      <c r="A25" s="234" t="s">
        <v>23</v>
      </c>
      <c r="B25" s="234"/>
      <c r="C25" s="234"/>
      <c r="D25" s="234"/>
    </row>
    <row r="27" spans="1:4" ht="12.75" customHeight="1" x14ac:dyDescent="0.2">
      <c r="A27" s="4" t="s">
        <v>24</v>
      </c>
      <c r="B27" s="232" t="s">
        <v>25</v>
      </c>
      <c r="C27" s="232"/>
      <c r="D27" s="4" t="s">
        <v>8</v>
      </c>
    </row>
    <row r="28" spans="1:4" x14ac:dyDescent="0.2">
      <c r="A28" s="5" t="s">
        <v>9</v>
      </c>
      <c r="B28" s="6" t="s">
        <v>26</v>
      </c>
      <c r="C28" s="10">
        <f>1/12</f>
        <v>8.3333333333333329E-2</v>
      </c>
      <c r="D28" s="7">
        <f>TRUNC($D$20*C28,2)</f>
        <v>1035.19</v>
      </c>
    </row>
    <row r="29" spans="1:4" x14ac:dyDescent="0.2">
      <c r="A29" s="5" t="s">
        <v>11</v>
      </c>
      <c r="B29" s="6" t="s">
        <v>27</v>
      </c>
      <c r="C29" s="10">
        <f>(1/12)*(4/3)</f>
        <v>0.1111111111111111</v>
      </c>
      <c r="D29" s="7">
        <f>TRUNC($D$20*C29,2)</f>
        <v>1380.26</v>
      </c>
    </row>
    <row r="30" spans="1:4" ht="12.75" customHeight="1" x14ac:dyDescent="0.2">
      <c r="A30" s="232" t="s">
        <v>21</v>
      </c>
      <c r="B30" s="232"/>
      <c r="C30" s="232"/>
      <c r="D30" s="11">
        <f>SUM(D28:D29)</f>
        <v>2415.4499999999998</v>
      </c>
    </row>
    <row r="33" spans="1:4" ht="12.75" customHeight="1" x14ac:dyDescent="0.2">
      <c r="A33" s="235" t="s">
        <v>28</v>
      </c>
      <c r="B33" s="235"/>
      <c r="C33" s="235"/>
      <c r="D33" s="235"/>
    </row>
    <row r="35" spans="1:4" x14ac:dyDescent="0.2">
      <c r="A35" s="4" t="s">
        <v>29</v>
      </c>
      <c r="B35" s="4" t="s">
        <v>30</v>
      </c>
      <c r="C35" s="4" t="s">
        <v>31</v>
      </c>
      <c r="D35" s="4" t="s">
        <v>8</v>
      </c>
    </row>
    <row r="36" spans="1:4" x14ac:dyDescent="0.2">
      <c r="A36" s="5" t="s">
        <v>9</v>
      </c>
      <c r="B36" s="6" t="s">
        <v>32</v>
      </c>
      <c r="C36" s="12">
        <v>0.2</v>
      </c>
      <c r="D36" s="7">
        <f t="shared" ref="D36:D43" si="0">TRUNC(($D$20+$D$30)*C36,2)</f>
        <v>2967.56</v>
      </c>
    </row>
    <row r="37" spans="1:4" x14ac:dyDescent="0.2">
      <c r="A37" s="5" t="s">
        <v>11</v>
      </c>
      <c r="B37" s="6" t="s">
        <v>33</v>
      </c>
      <c r="C37" s="12">
        <v>2.5000000000000001E-2</v>
      </c>
      <c r="D37" s="7">
        <f t="shared" si="0"/>
        <v>370.94</v>
      </c>
    </row>
    <row r="38" spans="1:4" x14ac:dyDescent="0.2">
      <c r="A38" s="5" t="s">
        <v>13</v>
      </c>
      <c r="B38" s="6" t="s">
        <v>34</v>
      </c>
      <c r="C38" s="60">
        <v>0.03</v>
      </c>
      <c r="D38" s="7">
        <f t="shared" si="0"/>
        <v>445.13</v>
      </c>
    </row>
    <row r="39" spans="1:4" x14ac:dyDescent="0.2">
      <c r="A39" s="5" t="s">
        <v>15</v>
      </c>
      <c r="B39" s="6" t="s">
        <v>35</v>
      </c>
      <c r="C39" s="12">
        <v>1.4999999999999999E-2</v>
      </c>
      <c r="D39" s="7">
        <f t="shared" si="0"/>
        <v>222.56</v>
      </c>
    </row>
    <row r="40" spans="1:4" x14ac:dyDescent="0.2">
      <c r="A40" s="5" t="s">
        <v>17</v>
      </c>
      <c r="B40" s="6" t="s">
        <v>36</v>
      </c>
      <c r="C40" s="12">
        <v>0.01</v>
      </c>
      <c r="D40" s="7">
        <f t="shared" si="0"/>
        <v>148.37</v>
      </c>
    </row>
    <row r="41" spans="1:4" x14ac:dyDescent="0.2">
      <c r="A41" s="5" t="s">
        <v>37</v>
      </c>
      <c r="B41" s="6" t="s">
        <v>38</v>
      </c>
      <c r="C41" s="12">
        <v>6.0000000000000001E-3</v>
      </c>
      <c r="D41" s="7">
        <f t="shared" si="0"/>
        <v>89.02</v>
      </c>
    </row>
    <row r="42" spans="1:4" x14ac:dyDescent="0.2">
      <c r="A42" s="5" t="s">
        <v>19</v>
      </c>
      <c r="B42" s="6" t="s">
        <v>39</v>
      </c>
      <c r="C42" s="12">
        <v>2E-3</v>
      </c>
      <c r="D42" s="7">
        <f t="shared" si="0"/>
        <v>29.67</v>
      </c>
    </row>
    <row r="43" spans="1:4" x14ac:dyDescent="0.2">
      <c r="A43" s="5" t="s">
        <v>40</v>
      </c>
      <c r="B43" s="6" t="s">
        <v>41</v>
      </c>
      <c r="C43" s="12">
        <v>0.08</v>
      </c>
      <c r="D43" s="7">
        <f t="shared" si="0"/>
        <v>1187.02</v>
      </c>
    </row>
    <row r="44" spans="1:4" ht="12.75" customHeight="1" x14ac:dyDescent="0.2">
      <c r="A44" s="232" t="s">
        <v>42</v>
      </c>
      <c r="B44" s="232"/>
      <c r="C44" s="13">
        <f>SUM(C36:C43)</f>
        <v>0.36800000000000005</v>
      </c>
      <c r="D44" s="11">
        <f>SUM(D36:D43)</f>
        <v>5460.27</v>
      </c>
    </row>
    <row r="47" spans="1:4" x14ac:dyDescent="0.2">
      <c r="A47" s="234" t="s">
        <v>43</v>
      </c>
      <c r="B47" s="234"/>
      <c r="C47" s="234"/>
      <c r="D47" s="234"/>
    </row>
    <row r="49" spans="1:4" ht="12.75" customHeight="1" x14ac:dyDescent="0.2">
      <c r="A49" s="4" t="s">
        <v>44</v>
      </c>
      <c r="B49" s="236" t="s">
        <v>45</v>
      </c>
      <c r="C49" s="236"/>
      <c r="D49" s="4" t="s">
        <v>8</v>
      </c>
    </row>
    <row r="50" spans="1:4" ht="12.75" customHeight="1" x14ac:dyDescent="0.2">
      <c r="A50" s="5" t="s">
        <v>9</v>
      </c>
      <c r="B50" s="233" t="s">
        <v>46</v>
      </c>
      <c r="C50" s="233"/>
      <c r="D50" s="7"/>
    </row>
    <row r="51" spans="1:4" ht="12.75" customHeight="1" x14ac:dyDescent="0.2">
      <c r="A51" s="5" t="s">
        <v>11</v>
      </c>
      <c r="B51" s="233" t="s">
        <v>47</v>
      </c>
      <c r="C51" s="233"/>
      <c r="D51" s="58">
        <v>0</v>
      </c>
    </row>
    <row r="52" spans="1:4" ht="12.75" customHeight="1" x14ac:dyDescent="0.2">
      <c r="A52" s="5" t="s">
        <v>13</v>
      </c>
      <c r="B52" s="233" t="s">
        <v>166</v>
      </c>
      <c r="C52" s="233"/>
      <c r="D52" s="7"/>
    </row>
    <row r="53" spans="1:4" ht="12.75" customHeight="1" x14ac:dyDescent="0.2">
      <c r="A53" s="232" t="s">
        <v>21</v>
      </c>
      <c r="B53" s="232"/>
      <c r="C53" s="232"/>
      <c r="D53" s="11">
        <f>SUM(D50:D52)</f>
        <v>0</v>
      </c>
    </row>
    <row r="56" spans="1:4" x14ac:dyDescent="0.2">
      <c r="A56" s="234" t="s">
        <v>48</v>
      </c>
      <c r="B56" s="234"/>
      <c r="C56" s="234"/>
      <c r="D56" s="234"/>
    </row>
    <row r="58" spans="1:4" ht="12.75" customHeight="1" x14ac:dyDescent="0.2">
      <c r="A58" s="4">
        <v>2</v>
      </c>
      <c r="B58" s="236" t="s">
        <v>49</v>
      </c>
      <c r="C58" s="236"/>
      <c r="D58" s="4" t="s">
        <v>8</v>
      </c>
    </row>
    <row r="59" spans="1:4" ht="12.75" customHeight="1" x14ac:dyDescent="0.2">
      <c r="A59" s="5" t="s">
        <v>24</v>
      </c>
      <c r="B59" s="233" t="s">
        <v>25</v>
      </c>
      <c r="C59" s="233"/>
      <c r="D59" s="14">
        <f>D30</f>
        <v>2415.4499999999998</v>
      </c>
    </row>
    <row r="60" spans="1:4" ht="12.75" customHeight="1" x14ac:dyDescent="0.2">
      <c r="A60" s="5" t="s">
        <v>29</v>
      </c>
      <c r="B60" s="233" t="s">
        <v>30</v>
      </c>
      <c r="C60" s="233"/>
      <c r="D60" s="14">
        <f>D44</f>
        <v>5460.27</v>
      </c>
    </row>
    <row r="61" spans="1:4" ht="12.75" customHeight="1" x14ac:dyDescent="0.2">
      <c r="A61" s="5" t="s">
        <v>44</v>
      </c>
      <c r="B61" s="233" t="s">
        <v>45</v>
      </c>
      <c r="C61" s="233"/>
      <c r="D61" s="14">
        <f>D53</f>
        <v>0</v>
      </c>
    </row>
    <row r="62" spans="1:4" ht="12.75" customHeight="1" x14ac:dyDescent="0.2">
      <c r="A62" s="232" t="s">
        <v>21</v>
      </c>
      <c r="B62" s="232"/>
      <c r="C62" s="232"/>
      <c r="D62" s="11">
        <f>SUM(D59:D61)</f>
        <v>7875.72</v>
      </c>
    </row>
    <row r="63" spans="1:4" x14ac:dyDescent="0.2">
      <c r="A63" s="15"/>
    </row>
    <row r="65" spans="1:5" x14ac:dyDescent="0.2">
      <c r="A65" s="228" t="s">
        <v>50</v>
      </c>
      <c r="B65" s="228"/>
      <c r="C65" s="228"/>
      <c r="D65" s="228"/>
    </row>
    <row r="67" spans="1:5" ht="12.75" customHeight="1" x14ac:dyDescent="0.2">
      <c r="A67" s="4">
        <v>3</v>
      </c>
      <c r="B67" s="236" t="s">
        <v>51</v>
      </c>
      <c r="C67" s="236"/>
      <c r="D67" s="4" t="s">
        <v>8</v>
      </c>
    </row>
    <row r="68" spans="1:5" x14ac:dyDescent="0.2">
      <c r="A68" s="5" t="s">
        <v>9</v>
      </c>
      <c r="B68" s="158" t="s">
        <v>52</v>
      </c>
      <c r="C68" s="12">
        <f>TRUNC(((1/12)*5%),4)</f>
        <v>4.1000000000000003E-3</v>
      </c>
      <c r="D68" s="7">
        <f>TRUNC($D$20*C68,2)</f>
        <v>50.93</v>
      </c>
    </row>
    <row r="69" spans="1:5" x14ac:dyDescent="0.2">
      <c r="A69" s="5" t="s">
        <v>11</v>
      </c>
      <c r="B69" s="158" t="s">
        <v>53</v>
      </c>
      <c r="C69" s="12">
        <f>C43</f>
        <v>0.08</v>
      </c>
      <c r="D69" s="16">
        <f>TRUNC(D68*C69,2)</f>
        <v>4.07</v>
      </c>
      <c r="E69" s="17"/>
    </row>
    <row r="70" spans="1:5" x14ac:dyDescent="0.2">
      <c r="A70" s="5" t="s">
        <v>13</v>
      </c>
      <c r="B70" s="158" t="s">
        <v>151</v>
      </c>
      <c r="C70" s="12">
        <f>TRUNC(C43*5%*40%,4)</f>
        <v>1.6000000000000001E-3</v>
      </c>
      <c r="D70" s="7">
        <f>TRUNC($D$20*C70,2)</f>
        <v>19.87</v>
      </c>
    </row>
    <row r="71" spans="1:5" x14ac:dyDescent="0.2">
      <c r="A71" s="5" t="s">
        <v>15</v>
      </c>
      <c r="B71" s="158" t="s">
        <v>54</v>
      </c>
      <c r="C71" s="12">
        <f>TRUNC(((7/30)/12)*95%,4)</f>
        <v>1.84E-2</v>
      </c>
      <c r="D71" s="16">
        <f>TRUNC($D$20*C71,2)</f>
        <v>228.57</v>
      </c>
      <c r="E71" s="18"/>
    </row>
    <row r="72" spans="1:5" ht="12.75" customHeight="1" x14ac:dyDescent="0.2">
      <c r="A72" s="5" t="s">
        <v>17</v>
      </c>
      <c r="B72" s="158" t="s">
        <v>150</v>
      </c>
      <c r="C72" s="12">
        <f>C44</f>
        <v>0.36800000000000005</v>
      </c>
      <c r="D72" s="16">
        <f>TRUNC(D71*C72,2)</f>
        <v>84.11</v>
      </c>
      <c r="E72" s="17"/>
    </row>
    <row r="73" spans="1:5" x14ac:dyDescent="0.2">
      <c r="A73" s="5" t="s">
        <v>37</v>
      </c>
      <c r="B73" s="158" t="s">
        <v>152</v>
      </c>
      <c r="C73" s="12">
        <f>TRUNC(C43*95%*40%,4)</f>
        <v>3.04E-2</v>
      </c>
      <c r="D73" s="7">
        <f>TRUNC($D$20*C73,2)</f>
        <v>377.63</v>
      </c>
    </row>
    <row r="74" spans="1:5" ht="12.75" customHeight="1" x14ac:dyDescent="0.2">
      <c r="A74" s="232" t="s">
        <v>21</v>
      </c>
      <c r="B74" s="232"/>
      <c r="C74" s="232"/>
      <c r="D74" s="11">
        <f>SUM(D68:D73)</f>
        <v>765.18000000000006</v>
      </c>
    </row>
    <row r="77" spans="1:5" x14ac:dyDescent="0.2">
      <c r="A77" s="228" t="s">
        <v>55</v>
      </c>
      <c r="B77" s="228"/>
      <c r="C77" s="228"/>
      <c r="D77" s="228"/>
    </row>
    <row r="80" spans="1:5" x14ac:dyDescent="0.2">
      <c r="A80" s="234" t="s">
        <v>56</v>
      </c>
      <c r="B80" s="234"/>
      <c r="C80" s="234"/>
      <c r="D80" s="234"/>
    </row>
    <row r="81" spans="1:5" x14ac:dyDescent="0.2">
      <c r="A81" s="9"/>
    </row>
    <row r="82" spans="1:5" ht="12.75" customHeight="1" x14ac:dyDescent="0.2">
      <c r="A82" s="4" t="s">
        <v>57</v>
      </c>
      <c r="B82" s="236" t="s">
        <v>58</v>
      </c>
      <c r="C82" s="236"/>
      <c r="D82" s="4" t="s">
        <v>8</v>
      </c>
    </row>
    <row r="83" spans="1:5" x14ac:dyDescent="0.2">
      <c r="A83" s="5" t="s">
        <v>9</v>
      </c>
      <c r="B83" s="6" t="s">
        <v>59</v>
      </c>
      <c r="C83" s="12">
        <f>TRUNC(((1+1/3)/12)/12,4)*0</f>
        <v>0</v>
      </c>
      <c r="D83" s="7">
        <f t="shared" ref="D83:D88" si="1">TRUNC(($D$20+$D$62+$D$74)*C83,2)</f>
        <v>0</v>
      </c>
    </row>
    <row r="84" spans="1:5" x14ac:dyDescent="0.2">
      <c r="A84" s="5" t="s">
        <v>11</v>
      </c>
      <c r="B84" s="6" t="s">
        <v>60</v>
      </c>
      <c r="C84" s="12">
        <f>TRUNC(((2/30)/12),4)*0</f>
        <v>0</v>
      </c>
      <c r="D84" s="7">
        <f t="shared" si="1"/>
        <v>0</v>
      </c>
    </row>
    <row r="85" spans="1:5" x14ac:dyDescent="0.2">
      <c r="A85" s="5" t="s">
        <v>13</v>
      </c>
      <c r="B85" s="6" t="s">
        <v>61</v>
      </c>
      <c r="C85" s="12">
        <f>TRUNC(((5/30)/12)*2%,4)*0</f>
        <v>0</v>
      </c>
      <c r="D85" s="7">
        <f t="shared" si="1"/>
        <v>0</v>
      </c>
    </row>
    <row r="86" spans="1:5" x14ac:dyDescent="0.2">
      <c r="A86" s="5" t="s">
        <v>15</v>
      </c>
      <c r="B86" s="6" t="s">
        <v>62</v>
      </c>
      <c r="C86" s="12">
        <f>TRUNC(((15/30)/12)*8%,4)*0</f>
        <v>0</v>
      </c>
      <c r="D86" s="7">
        <f t="shared" si="1"/>
        <v>0</v>
      </c>
    </row>
    <row r="87" spans="1:5" x14ac:dyDescent="0.2">
      <c r="A87" s="5" t="s">
        <v>17</v>
      </c>
      <c r="B87" s="6" t="s">
        <v>63</v>
      </c>
      <c r="C87" s="12">
        <f>((1+1/3)/12)*3%*(4/12)</f>
        <v>1.1111111111111109E-3</v>
      </c>
      <c r="D87" s="7">
        <f t="shared" si="1"/>
        <v>23.4</v>
      </c>
    </row>
    <row r="88" spans="1:5" x14ac:dyDescent="0.2">
      <c r="A88" s="5" t="s">
        <v>37</v>
      </c>
      <c r="B88" s="157" t="s">
        <v>149</v>
      </c>
      <c r="C88" s="12"/>
      <c r="D88" s="7">
        <f t="shared" si="1"/>
        <v>0</v>
      </c>
    </row>
    <row r="89" spans="1:5" ht="12.75" customHeight="1" x14ac:dyDescent="0.2">
      <c r="A89" s="232" t="s">
        <v>42</v>
      </c>
      <c r="B89" s="232"/>
      <c r="C89" s="232"/>
      <c r="D89" s="11">
        <f>SUM(D83:D88)</f>
        <v>23.4</v>
      </c>
    </row>
    <row r="92" spans="1:5" x14ac:dyDescent="0.2">
      <c r="A92" s="234" t="s">
        <v>64</v>
      </c>
      <c r="B92" s="234"/>
      <c r="C92" s="234"/>
      <c r="D92" s="234"/>
    </row>
    <row r="93" spans="1:5" x14ac:dyDescent="0.2">
      <c r="A93" s="9"/>
    </row>
    <row r="94" spans="1:5" ht="12.75" customHeight="1" x14ac:dyDescent="0.2">
      <c r="A94" s="4" t="s">
        <v>65</v>
      </c>
      <c r="B94" s="236" t="s">
        <v>66</v>
      </c>
      <c r="C94" s="236"/>
      <c r="D94" s="4" t="s">
        <v>8</v>
      </c>
    </row>
    <row r="95" spans="1:5" ht="12.75" customHeight="1" x14ac:dyDescent="0.2">
      <c r="A95" s="5" t="s">
        <v>9</v>
      </c>
      <c r="B95" s="233" t="s">
        <v>67</v>
      </c>
      <c r="C95" s="233"/>
      <c r="D95" s="7">
        <f>((D20+D62+D74)/220)*22*0</f>
        <v>0</v>
      </c>
      <c r="E95" s="18"/>
    </row>
    <row r="96" spans="1:5" ht="12.75" customHeight="1" x14ac:dyDescent="0.2">
      <c r="A96" s="232" t="s">
        <v>21</v>
      </c>
      <c r="B96" s="232"/>
      <c r="C96" s="232"/>
      <c r="D96" s="11">
        <f>SUM(D95)</f>
        <v>0</v>
      </c>
    </row>
    <row r="99" spans="1:6" x14ac:dyDescent="0.2">
      <c r="A99" s="234" t="s">
        <v>68</v>
      </c>
      <c r="B99" s="234"/>
      <c r="C99" s="234"/>
      <c r="D99" s="234"/>
    </row>
    <row r="100" spans="1:6" x14ac:dyDescent="0.2">
      <c r="A100" s="9"/>
    </row>
    <row r="101" spans="1:6" ht="12.75" customHeight="1" x14ac:dyDescent="0.2">
      <c r="A101" s="4">
        <v>4</v>
      </c>
      <c r="B101" s="232" t="s">
        <v>69</v>
      </c>
      <c r="C101" s="232"/>
      <c r="D101" s="4" t="s">
        <v>8</v>
      </c>
    </row>
    <row r="102" spans="1:6" ht="12.75" customHeight="1" x14ac:dyDescent="0.2">
      <c r="A102" s="5" t="s">
        <v>57</v>
      </c>
      <c r="B102" s="233" t="s">
        <v>58</v>
      </c>
      <c r="C102" s="233"/>
      <c r="D102" s="14">
        <f>D89</f>
        <v>23.4</v>
      </c>
    </row>
    <row r="103" spans="1:6" ht="12.75" customHeight="1" x14ac:dyDescent="0.2">
      <c r="A103" s="5" t="s">
        <v>65</v>
      </c>
      <c r="B103" s="233" t="s">
        <v>66</v>
      </c>
      <c r="C103" s="233"/>
      <c r="D103" s="14">
        <f>D96</f>
        <v>0</v>
      </c>
    </row>
    <row r="104" spans="1:6" ht="12.75" customHeight="1" x14ac:dyDescent="0.2">
      <c r="A104" s="232" t="s">
        <v>21</v>
      </c>
      <c r="B104" s="232"/>
      <c r="C104" s="232"/>
      <c r="D104" s="11">
        <f>SUM(D102:D103)</f>
        <v>23.4</v>
      </c>
    </row>
    <row r="107" spans="1:6" x14ac:dyDescent="0.2">
      <c r="A107" s="228" t="s">
        <v>70</v>
      </c>
      <c r="B107" s="228"/>
      <c r="C107" s="228"/>
      <c r="D107" s="228"/>
    </row>
    <row r="109" spans="1:6" ht="12.75" customHeight="1" x14ac:dyDescent="0.2">
      <c r="A109" s="4">
        <v>5</v>
      </c>
      <c r="B109" s="237" t="s">
        <v>71</v>
      </c>
      <c r="C109" s="237"/>
      <c r="D109" s="4" t="s">
        <v>8</v>
      </c>
    </row>
    <row r="110" spans="1:6" x14ac:dyDescent="0.2">
      <c r="A110" s="5" t="s">
        <v>9</v>
      </c>
      <c r="B110" s="6" t="s">
        <v>72</v>
      </c>
      <c r="C110" s="6"/>
      <c r="D110" s="173"/>
    </row>
    <row r="111" spans="1:6" x14ac:dyDescent="0.2">
      <c r="A111" s="5" t="s">
        <v>11</v>
      </c>
      <c r="B111" s="172" t="s">
        <v>142</v>
      </c>
      <c r="C111" s="172"/>
      <c r="D111" s="173">
        <v>1386</v>
      </c>
      <c r="F111" s="238"/>
    </row>
    <row r="112" spans="1:6" x14ac:dyDescent="0.2">
      <c r="A112" s="5" t="s">
        <v>13</v>
      </c>
      <c r="B112" s="172" t="s">
        <v>73</v>
      </c>
      <c r="C112" s="172"/>
      <c r="D112" s="173">
        <v>20.28</v>
      </c>
      <c r="F112" s="238"/>
    </row>
    <row r="113" spans="1:4" ht="12.75" customHeight="1" x14ac:dyDescent="0.2">
      <c r="A113" s="232" t="s">
        <v>42</v>
      </c>
      <c r="B113" s="232"/>
      <c r="C113" s="232"/>
      <c r="D113" s="8">
        <f>SUM(D110:D112)</f>
        <v>1406.28</v>
      </c>
    </row>
    <row r="116" spans="1:4" x14ac:dyDescent="0.2">
      <c r="A116" s="228" t="s">
        <v>74</v>
      </c>
      <c r="B116" s="228"/>
      <c r="C116" s="228"/>
      <c r="D116" s="228"/>
    </row>
    <row r="118" spans="1:4" x14ac:dyDescent="0.2">
      <c r="A118" s="4">
        <v>6</v>
      </c>
      <c r="B118" s="19" t="s">
        <v>75</v>
      </c>
      <c r="C118" s="4" t="s">
        <v>31</v>
      </c>
      <c r="D118" s="4" t="s">
        <v>8</v>
      </c>
    </row>
    <row r="119" spans="1:4" x14ac:dyDescent="0.2">
      <c r="A119" s="5" t="s">
        <v>9</v>
      </c>
      <c r="B119" s="6" t="s">
        <v>76</v>
      </c>
      <c r="C119" s="12">
        <v>7.3700000000000002E-2</v>
      </c>
      <c r="D119" s="14">
        <f>D136*C119</f>
        <v>1657.7296780000001</v>
      </c>
    </row>
    <row r="120" spans="1:4" x14ac:dyDescent="0.2">
      <c r="A120" s="5" t="s">
        <v>11</v>
      </c>
      <c r="B120" s="6" t="s">
        <v>77</v>
      </c>
      <c r="C120" s="12">
        <v>7.3999999999999996E-2</v>
      </c>
      <c r="D120" s="7">
        <f>(D136+D119)*C120</f>
        <v>1787.1495561720001</v>
      </c>
    </row>
    <row r="121" spans="1:4" x14ac:dyDescent="0.2">
      <c r="A121" s="5" t="s">
        <v>13</v>
      </c>
      <c r="B121" s="6" t="s">
        <v>78</v>
      </c>
      <c r="C121" s="10">
        <f>SUM(C122:C124)</f>
        <v>8.6499999999999994E-2</v>
      </c>
      <c r="D121" s="7">
        <f>(D136+D119+D120)*C121/(1-C121)</f>
        <v>2456.071553098936</v>
      </c>
    </row>
    <row r="122" spans="1:4" x14ac:dyDescent="0.2">
      <c r="A122" s="5"/>
      <c r="B122" s="6" t="s">
        <v>137</v>
      </c>
      <c r="C122" s="12">
        <v>3.6499999999999998E-2</v>
      </c>
      <c r="D122" s="14">
        <f>$D$138*C122</f>
        <v>1036.3769849999999</v>
      </c>
    </row>
    <row r="123" spans="1:4" x14ac:dyDescent="0.2">
      <c r="A123" s="5"/>
      <c r="B123" s="6" t="s">
        <v>135</v>
      </c>
      <c r="C123" s="5"/>
      <c r="D123" s="14">
        <f>$D$138*C123</f>
        <v>0</v>
      </c>
    </row>
    <row r="124" spans="1:4" x14ac:dyDescent="0.2">
      <c r="A124" s="5"/>
      <c r="B124" s="6" t="s">
        <v>136</v>
      </c>
      <c r="C124" s="12">
        <v>0.05</v>
      </c>
      <c r="D124" s="14">
        <f>$D$138*C124</f>
        <v>1419.6945000000001</v>
      </c>
    </row>
    <row r="125" spans="1:4" ht="13.5" customHeight="1" x14ac:dyDescent="0.2">
      <c r="A125" s="239" t="s">
        <v>42</v>
      </c>
      <c r="B125" s="239"/>
      <c r="C125" s="20">
        <f>(1+C120)*(1+C119)/(1-C121)-1</f>
        <v>0.26234679802955685</v>
      </c>
      <c r="D125" s="11">
        <f>SUM(D119:D121)</f>
        <v>5900.9507872709364</v>
      </c>
    </row>
    <row r="128" spans="1:4" x14ac:dyDescent="0.2">
      <c r="A128" s="228" t="s">
        <v>79</v>
      </c>
      <c r="B128" s="228"/>
      <c r="C128" s="228"/>
      <c r="D128" s="228"/>
    </row>
    <row r="130" spans="1:5" ht="12.75" customHeight="1" x14ac:dyDescent="0.2">
      <c r="A130" s="4"/>
      <c r="B130" s="232" t="s">
        <v>80</v>
      </c>
      <c r="C130" s="232"/>
      <c r="D130" s="4" t="s">
        <v>8</v>
      </c>
    </row>
    <row r="131" spans="1:5" ht="12.75" customHeight="1" x14ac:dyDescent="0.2">
      <c r="A131" s="4" t="s">
        <v>9</v>
      </c>
      <c r="B131" s="233" t="s">
        <v>6</v>
      </c>
      <c r="C131" s="233"/>
      <c r="D131" s="21">
        <f>D20</f>
        <v>12422.36</v>
      </c>
    </row>
    <row r="132" spans="1:5" ht="12.75" customHeight="1" x14ac:dyDescent="0.2">
      <c r="A132" s="4" t="s">
        <v>11</v>
      </c>
      <c r="B132" s="233" t="s">
        <v>22</v>
      </c>
      <c r="C132" s="233"/>
      <c r="D132" s="21">
        <f>D62</f>
        <v>7875.72</v>
      </c>
    </row>
    <row r="133" spans="1:5" ht="12.75" customHeight="1" x14ac:dyDescent="0.2">
      <c r="A133" s="4" t="s">
        <v>13</v>
      </c>
      <c r="B133" s="233" t="s">
        <v>50</v>
      </c>
      <c r="C133" s="233"/>
      <c r="D133" s="21">
        <f>D74</f>
        <v>765.18000000000006</v>
      </c>
    </row>
    <row r="134" spans="1:5" ht="12.75" customHeight="1" x14ac:dyDescent="0.2">
      <c r="A134" s="4" t="s">
        <v>15</v>
      </c>
      <c r="B134" s="233" t="s">
        <v>55</v>
      </c>
      <c r="C134" s="233"/>
      <c r="D134" s="21">
        <f>D104</f>
        <v>23.4</v>
      </c>
    </row>
    <row r="135" spans="1:5" ht="12.75" customHeight="1" x14ac:dyDescent="0.2">
      <c r="A135" s="4" t="s">
        <v>17</v>
      </c>
      <c r="B135" s="233" t="s">
        <v>70</v>
      </c>
      <c r="C135" s="233"/>
      <c r="D135" s="21">
        <f>D113</f>
        <v>1406.28</v>
      </c>
    </row>
    <row r="136" spans="1:5" ht="12.75" customHeight="1" x14ac:dyDescent="0.2">
      <c r="A136" s="232" t="s">
        <v>81</v>
      </c>
      <c r="B136" s="232"/>
      <c r="C136" s="232"/>
      <c r="D136" s="22">
        <f>SUM(D131:D135)</f>
        <v>22492.940000000002</v>
      </c>
    </row>
    <row r="137" spans="1:5" ht="12.75" customHeight="1" x14ac:dyDescent="0.2">
      <c r="A137" s="4" t="s">
        <v>37</v>
      </c>
      <c r="B137" s="233" t="s">
        <v>82</v>
      </c>
      <c r="C137" s="233"/>
      <c r="D137" s="23">
        <f>D125</f>
        <v>5900.9507872709364</v>
      </c>
    </row>
    <row r="138" spans="1:5" ht="12.75" customHeight="1" x14ac:dyDescent="0.2">
      <c r="A138" s="232" t="s">
        <v>83</v>
      </c>
      <c r="B138" s="232"/>
      <c r="C138" s="232"/>
      <c r="D138" s="22">
        <f>ROUND(SUM(D136:D137),2)</f>
        <v>28393.89</v>
      </c>
    </row>
    <row r="140" spans="1:5" x14ac:dyDescent="0.2">
      <c r="E140" s="57"/>
    </row>
  </sheetData>
  <mergeCells count="66">
    <mergeCell ref="F111:F112"/>
    <mergeCell ref="B137:C137"/>
    <mergeCell ref="A138:C138"/>
    <mergeCell ref="B132:C132"/>
    <mergeCell ref="B133:C133"/>
    <mergeCell ref="B134:C134"/>
    <mergeCell ref="B135:C135"/>
    <mergeCell ref="A136:C136"/>
    <mergeCell ref="A116:D116"/>
    <mergeCell ref="A125:B125"/>
    <mergeCell ref="A128:D128"/>
    <mergeCell ref="B130:C130"/>
    <mergeCell ref="B131:C131"/>
    <mergeCell ref="A107:D107"/>
    <mergeCell ref="B109:C109"/>
    <mergeCell ref="A113:C113"/>
    <mergeCell ref="B95:C95"/>
    <mergeCell ref="A96:C96"/>
    <mergeCell ref="A99:D99"/>
    <mergeCell ref="B101:C101"/>
    <mergeCell ref="B102:C102"/>
    <mergeCell ref="B103:C103"/>
    <mergeCell ref="A104:C104"/>
    <mergeCell ref="A80:D80"/>
    <mergeCell ref="B82:C82"/>
    <mergeCell ref="A89:C89"/>
    <mergeCell ref="A92:D92"/>
    <mergeCell ref="B94:C94"/>
    <mergeCell ref="A62:C62"/>
    <mergeCell ref="A65:D65"/>
    <mergeCell ref="B67:C67"/>
    <mergeCell ref="A74:C74"/>
    <mergeCell ref="A77:D77"/>
    <mergeCell ref="A56:D56"/>
    <mergeCell ref="B58:C58"/>
    <mergeCell ref="B59:C59"/>
    <mergeCell ref="B60:C60"/>
    <mergeCell ref="B61:C61"/>
    <mergeCell ref="B51:C51"/>
    <mergeCell ref="B52:C52"/>
    <mergeCell ref="A53:C53"/>
    <mergeCell ref="A33:D33"/>
    <mergeCell ref="A44:B44"/>
    <mergeCell ref="A47:D47"/>
    <mergeCell ref="B49:C49"/>
    <mergeCell ref="B50:C50"/>
    <mergeCell ref="A20:C20"/>
    <mergeCell ref="A23:D23"/>
    <mergeCell ref="A25:D25"/>
    <mergeCell ref="B27:C27"/>
    <mergeCell ref="A30:C30"/>
    <mergeCell ref="B15:C15"/>
    <mergeCell ref="B16:C16"/>
    <mergeCell ref="B17:C17"/>
    <mergeCell ref="B18:C18"/>
    <mergeCell ref="B19:C19"/>
    <mergeCell ref="C8:D8"/>
    <mergeCell ref="A10:D10"/>
    <mergeCell ref="B12:C12"/>
    <mergeCell ref="B13:C13"/>
    <mergeCell ref="B14:C14"/>
    <mergeCell ref="A1:D1"/>
    <mergeCell ref="A3:D3"/>
    <mergeCell ref="C5:D5"/>
    <mergeCell ref="C6:D6"/>
    <mergeCell ref="C7:D7"/>
  </mergeCells>
  <pageMargins left="0.51180555555555496" right="0.51180555555555496" top="0.78749999999999998" bottom="0.78749999999999998" header="0.51180555555555496" footer="0.51180555555555496"/>
  <pageSetup paperSize="9" scale="88" firstPageNumber="0" fitToHeight="0" orientation="portrait" r:id="rId1"/>
  <rowBreaks count="2" manualBreakCount="2">
    <brk id="62" max="16383" man="1"/>
    <brk id="125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AMD140"/>
  <sheetViews>
    <sheetView topLeftCell="A84" zoomScaleNormal="100" workbookViewId="0">
      <selection activeCell="C87" sqref="C87"/>
    </sheetView>
  </sheetViews>
  <sheetFormatPr defaultColWidth="9.33203125" defaultRowHeight="12.75" x14ac:dyDescent="0.2"/>
  <cols>
    <col min="1" max="1" width="9.33203125" style="1"/>
    <col min="2" max="2" width="70.33203125" style="1" customWidth="1"/>
    <col min="3" max="3" width="21" style="1" customWidth="1"/>
    <col min="4" max="4" width="16.6640625" style="1" customWidth="1"/>
    <col min="5" max="5" width="14.83203125" style="1" customWidth="1"/>
    <col min="6" max="1018" width="9.33203125" style="1"/>
  </cols>
  <sheetData>
    <row r="1" spans="1:4" ht="15.75" x14ac:dyDescent="0.25">
      <c r="A1" s="227" t="s">
        <v>0</v>
      </c>
      <c r="B1" s="227"/>
      <c r="C1" s="227"/>
      <c r="D1" s="227"/>
    </row>
    <row r="3" spans="1:4" x14ac:dyDescent="0.2">
      <c r="A3" s="228" t="s">
        <v>1</v>
      </c>
      <c r="B3" s="228"/>
      <c r="C3" s="228"/>
      <c r="D3" s="228"/>
    </row>
    <row r="4" spans="1:4" x14ac:dyDescent="0.2">
      <c r="A4" s="2"/>
      <c r="B4" s="2"/>
      <c r="C4" s="2"/>
      <c r="D4" s="2"/>
    </row>
    <row r="5" spans="1:4" x14ac:dyDescent="0.2">
      <c r="A5" s="3">
        <v>1</v>
      </c>
      <c r="B5" s="3" t="s">
        <v>2</v>
      </c>
      <c r="C5" s="229" t="s">
        <v>138</v>
      </c>
      <c r="D5" s="229"/>
    </row>
    <row r="6" spans="1:4" x14ac:dyDescent="0.2">
      <c r="A6" s="3">
        <v>2</v>
      </c>
      <c r="B6" s="3" t="s">
        <v>3</v>
      </c>
      <c r="C6" s="230"/>
      <c r="D6" s="230"/>
    </row>
    <row r="7" spans="1:4" x14ac:dyDescent="0.2">
      <c r="A7" s="3">
        <v>3</v>
      </c>
      <c r="B7" s="3" t="s">
        <v>4</v>
      </c>
      <c r="C7" s="229" t="s">
        <v>139</v>
      </c>
      <c r="D7" s="229"/>
    </row>
    <row r="8" spans="1:4" x14ac:dyDescent="0.2">
      <c r="A8" s="3">
        <v>4</v>
      </c>
      <c r="B8" s="3" t="s">
        <v>5</v>
      </c>
      <c r="C8" s="231"/>
      <c r="D8" s="229"/>
    </row>
    <row r="10" spans="1:4" x14ac:dyDescent="0.2">
      <c r="A10" s="228" t="s">
        <v>6</v>
      </c>
      <c r="B10" s="228"/>
      <c r="C10" s="228"/>
      <c r="D10" s="228"/>
    </row>
    <row r="12" spans="1:4" ht="12.75" customHeight="1" x14ac:dyDescent="0.2">
      <c r="A12" s="67">
        <v>1</v>
      </c>
      <c r="B12" s="232" t="s">
        <v>7</v>
      </c>
      <c r="C12" s="232"/>
      <c r="D12" s="67" t="s">
        <v>8</v>
      </c>
    </row>
    <row r="13" spans="1:4" ht="12.75" customHeight="1" x14ac:dyDescent="0.2">
      <c r="A13" s="5" t="s">
        <v>9</v>
      </c>
      <c r="B13" s="233" t="s">
        <v>10</v>
      </c>
      <c r="C13" s="233"/>
      <c r="D13" s="75">
        <v>12422.36</v>
      </c>
    </row>
    <row r="14" spans="1:4" ht="12.75" customHeight="1" x14ac:dyDescent="0.2">
      <c r="A14" s="5" t="s">
        <v>11</v>
      </c>
      <c r="B14" s="233" t="s">
        <v>12</v>
      </c>
      <c r="C14" s="233"/>
      <c r="D14" s="7" t="s">
        <v>134</v>
      </c>
    </row>
    <row r="15" spans="1:4" ht="12.75" customHeight="1" x14ac:dyDescent="0.2">
      <c r="A15" s="5" t="s">
        <v>13</v>
      </c>
      <c r="B15" s="233" t="s">
        <v>14</v>
      </c>
      <c r="C15" s="233"/>
      <c r="D15" s="7" t="s">
        <v>134</v>
      </c>
    </row>
    <row r="16" spans="1:4" ht="12.75" customHeight="1" x14ac:dyDescent="0.2">
      <c r="A16" s="5" t="s">
        <v>15</v>
      </c>
      <c r="B16" s="233" t="s">
        <v>16</v>
      </c>
      <c r="C16" s="233"/>
      <c r="D16" s="7" t="s">
        <v>134</v>
      </c>
    </row>
    <row r="17" spans="1:4" ht="12.75" customHeight="1" x14ac:dyDescent="0.2">
      <c r="A17" s="5" t="s">
        <v>17</v>
      </c>
      <c r="B17" s="233" t="s">
        <v>18</v>
      </c>
      <c r="C17" s="233"/>
      <c r="D17" s="7" t="s">
        <v>134</v>
      </c>
    </row>
    <row r="18" spans="1:4" x14ac:dyDescent="0.2">
      <c r="A18" s="5"/>
      <c r="B18" s="233"/>
      <c r="C18" s="233"/>
      <c r="D18" s="7"/>
    </row>
    <row r="19" spans="1:4" ht="12.75" customHeight="1" x14ac:dyDescent="0.2">
      <c r="A19" s="5" t="s">
        <v>19</v>
      </c>
      <c r="B19" s="233" t="s">
        <v>20</v>
      </c>
      <c r="C19" s="233"/>
      <c r="D19" s="7"/>
    </row>
    <row r="20" spans="1:4" ht="12.75" customHeight="1" x14ac:dyDescent="0.2">
      <c r="A20" s="232" t="s">
        <v>21</v>
      </c>
      <c r="B20" s="232"/>
      <c r="C20" s="232"/>
      <c r="D20" s="8">
        <f>SUM(D13:D19)</f>
        <v>12422.36</v>
      </c>
    </row>
    <row r="23" spans="1:4" x14ac:dyDescent="0.2">
      <c r="A23" s="228" t="s">
        <v>22</v>
      </c>
      <c r="B23" s="228"/>
      <c r="C23" s="228"/>
      <c r="D23" s="228"/>
    </row>
    <row r="24" spans="1:4" x14ac:dyDescent="0.2">
      <c r="A24" s="9"/>
    </row>
    <row r="25" spans="1:4" x14ac:dyDescent="0.2">
      <c r="A25" s="234" t="s">
        <v>23</v>
      </c>
      <c r="B25" s="234"/>
      <c r="C25" s="234"/>
      <c r="D25" s="234"/>
    </row>
    <row r="27" spans="1:4" ht="12.75" customHeight="1" x14ac:dyDescent="0.2">
      <c r="A27" s="67" t="s">
        <v>24</v>
      </c>
      <c r="B27" s="232" t="s">
        <v>25</v>
      </c>
      <c r="C27" s="232"/>
      <c r="D27" s="67" t="s">
        <v>8</v>
      </c>
    </row>
    <row r="28" spans="1:4" x14ac:dyDescent="0.2">
      <c r="A28" s="5" t="s">
        <v>9</v>
      </c>
      <c r="B28" s="68" t="s">
        <v>26</v>
      </c>
      <c r="C28" s="10">
        <f>1/12</f>
        <v>8.3333333333333329E-2</v>
      </c>
      <c r="D28" s="7">
        <f>TRUNC($D$20*C28,2)</f>
        <v>1035.19</v>
      </c>
    </row>
    <row r="29" spans="1:4" x14ac:dyDescent="0.2">
      <c r="A29" s="5" t="s">
        <v>11</v>
      </c>
      <c r="B29" s="68" t="s">
        <v>27</v>
      </c>
      <c r="C29" s="10">
        <f>(1/12)*(4/3)</f>
        <v>0.1111111111111111</v>
      </c>
      <c r="D29" s="7">
        <f>TRUNC($D$20*C29,2)</f>
        <v>1380.26</v>
      </c>
    </row>
    <row r="30" spans="1:4" ht="12.75" customHeight="1" x14ac:dyDescent="0.2">
      <c r="A30" s="232" t="s">
        <v>21</v>
      </c>
      <c r="B30" s="232"/>
      <c r="C30" s="232"/>
      <c r="D30" s="11">
        <f>SUM(D28:D29)</f>
        <v>2415.4499999999998</v>
      </c>
    </row>
    <row r="33" spans="1:4" ht="12.75" customHeight="1" x14ac:dyDescent="0.2">
      <c r="A33" s="235" t="s">
        <v>28</v>
      </c>
      <c r="B33" s="235"/>
      <c r="C33" s="235"/>
      <c r="D33" s="235"/>
    </row>
    <row r="35" spans="1:4" x14ac:dyDescent="0.2">
      <c r="A35" s="67" t="s">
        <v>29</v>
      </c>
      <c r="B35" s="67" t="s">
        <v>30</v>
      </c>
      <c r="C35" s="67" t="s">
        <v>31</v>
      </c>
      <c r="D35" s="67" t="s">
        <v>8</v>
      </c>
    </row>
    <row r="36" spans="1:4" x14ac:dyDescent="0.2">
      <c r="A36" s="5" t="s">
        <v>9</v>
      </c>
      <c r="B36" s="68" t="s">
        <v>32</v>
      </c>
      <c r="C36" s="12">
        <v>0.2</v>
      </c>
      <c r="D36" s="7">
        <f t="shared" ref="D36:D43" si="0">TRUNC(($D$20+$D$30)*C36,2)</f>
        <v>2967.56</v>
      </c>
    </row>
    <row r="37" spans="1:4" x14ac:dyDescent="0.2">
      <c r="A37" s="5" t="s">
        <v>11</v>
      </c>
      <c r="B37" s="68" t="s">
        <v>33</v>
      </c>
      <c r="C37" s="12">
        <v>2.5000000000000001E-2</v>
      </c>
      <c r="D37" s="7">
        <f t="shared" si="0"/>
        <v>370.94</v>
      </c>
    </row>
    <row r="38" spans="1:4" x14ac:dyDescent="0.2">
      <c r="A38" s="5" t="s">
        <v>13</v>
      </c>
      <c r="B38" s="68" t="s">
        <v>34</v>
      </c>
      <c r="C38" s="60">
        <v>0.03</v>
      </c>
      <c r="D38" s="7">
        <f t="shared" si="0"/>
        <v>445.13</v>
      </c>
    </row>
    <row r="39" spans="1:4" x14ac:dyDescent="0.2">
      <c r="A39" s="5" t="s">
        <v>15</v>
      </c>
      <c r="B39" s="68" t="s">
        <v>35</v>
      </c>
      <c r="C39" s="12">
        <v>1.4999999999999999E-2</v>
      </c>
      <c r="D39" s="7">
        <f t="shared" si="0"/>
        <v>222.56</v>
      </c>
    </row>
    <row r="40" spans="1:4" x14ac:dyDescent="0.2">
      <c r="A40" s="5" t="s">
        <v>17</v>
      </c>
      <c r="B40" s="68" t="s">
        <v>36</v>
      </c>
      <c r="C40" s="12">
        <v>0.01</v>
      </c>
      <c r="D40" s="7">
        <f t="shared" si="0"/>
        <v>148.37</v>
      </c>
    </row>
    <row r="41" spans="1:4" x14ac:dyDescent="0.2">
      <c r="A41" s="5" t="s">
        <v>37</v>
      </c>
      <c r="B41" s="68" t="s">
        <v>38</v>
      </c>
      <c r="C41" s="12">
        <v>6.0000000000000001E-3</v>
      </c>
      <c r="D41" s="7">
        <f t="shared" si="0"/>
        <v>89.02</v>
      </c>
    </row>
    <row r="42" spans="1:4" x14ac:dyDescent="0.2">
      <c r="A42" s="5" t="s">
        <v>19</v>
      </c>
      <c r="B42" s="68" t="s">
        <v>39</v>
      </c>
      <c r="C42" s="12">
        <v>2E-3</v>
      </c>
      <c r="D42" s="7">
        <f t="shared" si="0"/>
        <v>29.67</v>
      </c>
    </row>
    <row r="43" spans="1:4" x14ac:dyDescent="0.2">
      <c r="A43" s="5" t="s">
        <v>40</v>
      </c>
      <c r="B43" s="68" t="s">
        <v>41</v>
      </c>
      <c r="C43" s="12">
        <v>0.08</v>
      </c>
      <c r="D43" s="7">
        <f t="shared" si="0"/>
        <v>1187.02</v>
      </c>
    </row>
    <row r="44" spans="1:4" ht="12.75" customHeight="1" x14ac:dyDescent="0.2">
      <c r="A44" s="232" t="s">
        <v>42</v>
      </c>
      <c r="B44" s="232"/>
      <c r="C44" s="13">
        <f>SUM(C36:C43)</f>
        <v>0.36800000000000005</v>
      </c>
      <c r="D44" s="11">
        <f>SUM(D36:D43)</f>
        <v>5460.27</v>
      </c>
    </row>
    <row r="47" spans="1:4" x14ac:dyDescent="0.2">
      <c r="A47" s="234" t="s">
        <v>43</v>
      </c>
      <c r="B47" s="234"/>
      <c r="C47" s="234"/>
      <c r="D47" s="234"/>
    </row>
    <row r="49" spans="1:4" ht="12.75" customHeight="1" x14ac:dyDescent="0.2">
      <c r="A49" s="67" t="s">
        <v>44</v>
      </c>
      <c r="B49" s="236" t="s">
        <v>45</v>
      </c>
      <c r="C49" s="236"/>
      <c r="D49" s="67" t="s">
        <v>8</v>
      </c>
    </row>
    <row r="50" spans="1:4" ht="12.75" customHeight="1" x14ac:dyDescent="0.2">
      <c r="A50" s="5" t="s">
        <v>9</v>
      </c>
      <c r="B50" s="233" t="s">
        <v>46</v>
      </c>
      <c r="C50" s="233"/>
      <c r="D50" s="7"/>
    </row>
    <row r="51" spans="1:4" ht="12.75" customHeight="1" x14ac:dyDescent="0.2">
      <c r="A51" s="5" t="s">
        <v>11</v>
      </c>
      <c r="B51" s="233" t="s">
        <v>47</v>
      </c>
      <c r="C51" s="233"/>
      <c r="D51" s="58">
        <v>0</v>
      </c>
    </row>
    <row r="52" spans="1:4" ht="12.75" customHeight="1" x14ac:dyDescent="0.2">
      <c r="A52" s="5" t="s">
        <v>13</v>
      </c>
      <c r="B52" s="233" t="s">
        <v>166</v>
      </c>
      <c r="C52" s="233"/>
      <c r="D52" s="7"/>
    </row>
    <row r="53" spans="1:4" ht="12.75" customHeight="1" x14ac:dyDescent="0.2">
      <c r="A53" s="232" t="s">
        <v>21</v>
      </c>
      <c r="B53" s="232"/>
      <c r="C53" s="232"/>
      <c r="D53" s="11">
        <f>SUM(D50:D52)</f>
        <v>0</v>
      </c>
    </row>
    <row r="56" spans="1:4" x14ac:dyDescent="0.2">
      <c r="A56" s="234" t="s">
        <v>48</v>
      </c>
      <c r="B56" s="234"/>
      <c r="C56" s="234"/>
      <c r="D56" s="234"/>
    </row>
    <row r="58" spans="1:4" ht="12.75" customHeight="1" x14ac:dyDescent="0.2">
      <c r="A58" s="67">
        <v>2</v>
      </c>
      <c r="B58" s="236" t="s">
        <v>49</v>
      </c>
      <c r="C58" s="236"/>
      <c r="D58" s="67" t="s">
        <v>8</v>
      </c>
    </row>
    <row r="59" spans="1:4" ht="12.75" customHeight="1" x14ac:dyDescent="0.2">
      <c r="A59" s="5" t="s">
        <v>24</v>
      </c>
      <c r="B59" s="233" t="s">
        <v>25</v>
      </c>
      <c r="C59" s="233"/>
      <c r="D59" s="14">
        <f>D30</f>
        <v>2415.4499999999998</v>
      </c>
    </row>
    <row r="60" spans="1:4" ht="12.75" customHeight="1" x14ac:dyDescent="0.2">
      <c r="A60" s="5" t="s">
        <v>29</v>
      </c>
      <c r="B60" s="233" t="s">
        <v>30</v>
      </c>
      <c r="C60" s="233"/>
      <c r="D60" s="14">
        <f>D44</f>
        <v>5460.27</v>
      </c>
    </row>
    <row r="61" spans="1:4" ht="12.75" customHeight="1" x14ac:dyDescent="0.2">
      <c r="A61" s="5" t="s">
        <v>44</v>
      </c>
      <c r="B61" s="233" t="s">
        <v>45</v>
      </c>
      <c r="C61" s="233"/>
      <c r="D61" s="14">
        <f>D53</f>
        <v>0</v>
      </c>
    </row>
    <row r="62" spans="1:4" ht="12.75" customHeight="1" x14ac:dyDescent="0.2">
      <c r="A62" s="232" t="s">
        <v>21</v>
      </c>
      <c r="B62" s="232"/>
      <c r="C62" s="232"/>
      <c r="D62" s="11">
        <f>SUM(D59:D61)</f>
        <v>7875.72</v>
      </c>
    </row>
    <row r="63" spans="1:4" x14ac:dyDescent="0.2">
      <c r="A63" s="15"/>
    </row>
    <row r="65" spans="1:5" x14ac:dyDescent="0.2">
      <c r="A65" s="228" t="s">
        <v>50</v>
      </c>
      <c r="B65" s="228"/>
      <c r="C65" s="228"/>
      <c r="D65" s="228"/>
    </row>
    <row r="67" spans="1:5" ht="12.75" customHeight="1" x14ac:dyDescent="0.2">
      <c r="A67" s="67">
        <v>3</v>
      </c>
      <c r="B67" s="236" t="s">
        <v>51</v>
      </c>
      <c r="C67" s="236"/>
      <c r="D67" s="67" t="s">
        <v>8</v>
      </c>
    </row>
    <row r="68" spans="1:5" x14ac:dyDescent="0.2">
      <c r="A68" s="5" t="s">
        <v>9</v>
      </c>
      <c r="B68" s="158" t="s">
        <v>52</v>
      </c>
      <c r="C68" s="12">
        <f>TRUNC(((1/12)*5%),4)</f>
        <v>4.1000000000000003E-3</v>
      </c>
      <c r="D68" s="7">
        <f>TRUNC($D$20*C68,2)</f>
        <v>50.93</v>
      </c>
    </row>
    <row r="69" spans="1:5" x14ac:dyDescent="0.2">
      <c r="A69" s="5" t="s">
        <v>11</v>
      </c>
      <c r="B69" s="158" t="s">
        <v>53</v>
      </c>
      <c r="C69" s="12">
        <f>C43</f>
        <v>0.08</v>
      </c>
      <c r="D69" s="16">
        <f>TRUNC(D68*C69,2)</f>
        <v>4.07</v>
      </c>
      <c r="E69" s="17"/>
    </row>
    <row r="70" spans="1:5" x14ac:dyDescent="0.2">
      <c r="A70" s="5" t="s">
        <v>13</v>
      </c>
      <c r="B70" s="158" t="s">
        <v>151</v>
      </c>
      <c r="C70" s="12">
        <f>TRUNC(C43*5%*40%,4)</f>
        <v>1.6000000000000001E-3</v>
      </c>
      <c r="D70" s="7">
        <f>TRUNC($D$20*C70,2)</f>
        <v>19.87</v>
      </c>
    </row>
    <row r="71" spans="1:5" x14ac:dyDescent="0.2">
      <c r="A71" s="5" t="s">
        <v>15</v>
      </c>
      <c r="B71" s="158" t="s">
        <v>54</v>
      </c>
      <c r="C71" s="12">
        <f>TRUNC(((7/30)/12)*95%,4)</f>
        <v>1.84E-2</v>
      </c>
      <c r="D71" s="16">
        <f>TRUNC($D$20*C71,2)</f>
        <v>228.57</v>
      </c>
      <c r="E71" s="18"/>
    </row>
    <row r="72" spans="1:5" ht="12.75" customHeight="1" x14ac:dyDescent="0.2">
      <c r="A72" s="5" t="s">
        <v>17</v>
      </c>
      <c r="B72" s="158" t="s">
        <v>150</v>
      </c>
      <c r="C72" s="12">
        <f>C44</f>
        <v>0.36800000000000005</v>
      </c>
      <c r="D72" s="16">
        <f>TRUNC(D71*C72,2)</f>
        <v>84.11</v>
      </c>
      <c r="E72" s="17"/>
    </row>
    <row r="73" spans="1:5" x14ac:dyDescent="0.2">
      <c r="A73" s="5" t="s">
        <v>37</v>
      </c>
      <c r="B73" s="158" t="s">
        <v>152</v>
      </c>
      <c r="C73" s="12">
        <f>TRUNC(C43*95%*40%,4)</f>
        <v>3.04E-2</v>
      </c>
      <c r="D73" s="7">
        <f>TRUNC($D$20*C73,2)</f>
        <v>377.63</v>
      </c>
    </row>
    <row r="74" spans="1:5" ht="12.75" customHeight="1" x14ac:dyDescent="0.2">
      <c r="A74" s="232" t="s">
        <v>21</v>
      </c>
      <c r="B74" s="232"/>
      <c r="C74" s="232"/>
      <c r="D74" s="11">
        <f>SUM(D68:D73)</f>
        <v>765.18000000000006</v>
      </c>
    </row>
    <row r="77" spans="1:5" x14ac:dyDescent="0.2">
      <c r="A77" s="228" t="s">
        <v>55</v>
      </c>
      <c r="B77" s="228"/>
      <c r="C77" s="228"/>
      <c r="D77" s="228"/>
    </row>
    <row r="80" spans="1:5" x14ac:dyDescent="0.2">
      <c r="A80" s="234" t="s">
        <v>56</v>
      </c>
      <c r="B80" s="234"/>
      <c r="C80" s="234"/>
      <c r="D80" s="234"/>
    </row>
    <row r="81" spans="1:5" x14ac:dyDescent="0.2">
      <c r="A81" s="9"/>
    </row>
    <row r="82" spans="1:5" ht="12.75" customHeight="1" x14ac:dyDescent="0.2">
      <c r="A82" s="67" t="s">
        <v>57</v>
      </c>
      <c r="B82" s="236" t="s">
        <v>58</v>
      </c>
      <c r="C82" s="236"/>
      <c r="D82" s="67" t="s">
        <v>8</v>
      </c>
    </row>
    <row r="83" spans="1:5" x14ac:dyDescent="0.2">
      <c r="A83" s="5" t="s">
        <v>9</v>
      </c>
      <c r="B83" s="76" t="s">
        <v>59</v>
      </c>
      <c r="C83" s="12">
        <f>TRUNC(((1+1/3)/12)/12,4)*0</f>
        <v>0</v>
      </c>
      <c r="D83" s="7">
        <f t="shared" ref="D83:D88" si="1">TRUNC(($D$20+$D$62+$D$74)*C83,2)</f>
        <v>0</v>
      </c>
    </row>
    <row r="84" spans="1:5" x14ac:dyDescent="0.2">
      <c r="A84" s="5" t="s">
        <v>11</v>
      </c>
      <c r="B84" s="76" t="s">
        <v>60</v>
      </c>
      <c r="C84" s="12">
        <f>TRUNC(((2/30)/12),4)*0</f>
        <v>0</v>
      </c>
      <c r="D84" s="7">
        <f t="shared" si="1"/>
        <v>0</v>
      </c>
    </row>
    <row r="85" spans="1:5" x14ac:dyDescent="0.2">
      <c r="A85" s="5" t="s">
        <v>13</v>
      </c>
      <c r="B85" s="76" t="s">
        <v>61</v>
      </c>
      <c r="C85" s="12">
        <f>TRUNC(((5/30)/12)*2%,4)*0</f>
        <v>0</v>
      </c>
      <c r="D85" s="7">
        <f t="shared" si="1"/>
        <v>0</v>
      </c>
    </row>
    <row r="86" spans="1:5" x14ac:dyDescent="0.2">
      <c r="A86" s="5" t="s">
        <v>15</v>
      </c>
      <c r="B86" s="76" t="s">
        <v>62</v>
      </c>
      <c r="C86" s="12">
        <f>TRUNC(((15/30)/12)*8%,4)*0</f>
        <v>0</v>
      </c>
      <c r="D86" s="7">
        <f t="shared" si="1"/>
        <v>0</v>
      </c>
    </row>
    <row r="87" spans="1:5" x14ac:dyDescent="0.2">
      <c r="A87" s="5" t="s">
        <v>17</v>
      </c>
      <c r="B87" s="76" t="s">
        <v>63</v>
      </c>
      <c r="C87" s="12">
        <f>((1+1/3)/12)*3%*(4/12)</f>
        <v>1.1111111111111109E-3</v>
      </c>
      <c r="D87" s="7">
        <f t="shared" si="1"/>
        <v>23.4</v>
      </c>
    </row>
    <row r="88" spans="1:5" x14ac:dyDescent="0.2">
      <c r="A88" s="5" t="s">
        <v>37</v>
      </c>
      <c r="B88" s="157" t="s">
        <v>149</v>
      </c>
      <c r="C88" s="12"/>
      <c r="D88" s="7">
        <f t="shared" si="1"/>
        <v>0</v>
      </c>
    </row>
    <row r="89" spans="1:5" ht="12.75" customHeight="1" x14ac:dyDescent="0.2">
      <c r="A89" s="232" t="s">
        <v>42</v>
      </c>
      <c r="B89" s="232"/>
      <c r="C89" s="232"/>
      <c r="D89" s="11">
        <f>SUM(D83:D88)</f>
        <v>23.4</v>
      </c>
    </row>
    <row r="92" spans="1:5" x14ac:dyDescent="0.2">
      <c r="A92" s="234" t="s">
        <v>64</v>
      </c>
      <c r="B92" s="234"/>
      <c r="C92" s="234"/>
      <c r="D92" s="234"/>
    </row>
    <row r="93" spans="1:5" x14ac:dyDescent="0.2">
      <c r="A93" s="9"/>
    </row>
    <row r="94" spans="1:5" ht="12.75" customHeight="1" x14ac:dyDescent="0.2">
      <c r="A94" s="67" t="s">
        <v>65</v>
      </c>
      <c r="B94" s="236" t="s">
        <v>66</v>
      </c>
      <c r="C94" s="236"/>
      <c r="D94" s="67" t="s">
        <v>8</v>
      </c>
    </row>
    <row r="95" spans="1:5" ht="12.75" customHeight="1" x14ac:dyDescent="0.2">
      <c r="A95" s="5" t="s">
        <v>9</v>
      </c>
      <c r="B95" s="233" t="s">
        <v>67</v>
      </c>
      <c r="C95" s="233"/>
      <c r="D95" s="7">
        <f>((D20+D62+D74)/220)*22*0</f>
        <v>0</v>
      </c>
      <c r="E95" s="18"/>
    </row>
    <row r="96" spans="1:5" ht="12.75" customHeight="1" x14ac:dyDescent="0.2">
      <c r="A96" s="232" t="s">
        <v>21</v>
      </c>
      <c r="B96" s="232"/>
      <c r="C96" s="232"/>
      <c r="D96" s="11">
        <f>SUM(D95)</f>
        <v>0</v>
      </c>
    </row>
    <row r="99" spans="1:4" x14ac:dyDescent="0.2">
      <c r="A99" s="234" t="s">
        <v>68</v>
      </c>
      <c r="B99" s="234"/>
      <c r="C99" s="234"/>
      <c r="D99" s="234"/>
    </row>
    <row r="100" spans="1:4" x14ac:dyDescent="0.2">
      <c r="A100" s="9"/>
    </row>
    <row r="101" spans="1:4" ht="12.75" customHeight="1" x14ac:dyDescent="0.2">
      <c r="A101" s="67">
        <v>4</v>
      </c>
      <c r="B101" s="232" t="s">
        <v>69</v>
      </c>
      <c r="C101" s="232"/>
      <c r="D101" s="67" t="s">
        <v>8</v>
      </c>
    </row>
    <row r="102" spans="1:4" ht="12.75" customHeight="1" x14ac:dyDescent="0.2">
      <c r="A102" s="5" t="s">
        <v>57</v>
      </c>
      <c r="B102" s="233" t="s">
        <v>58</v>
      </c>
      <c r="C102" s="233"/>
      <c r="D102" s="14">
        <f>D89</f>
        <v>23.4</v>
      </c>
    </row>
    <row r="103" spans="1:4" ht="12.75" customHeight="1" x14ac:dyDescent="0.2">
      <c r="A103" s="5" t="s">
        <v>65</v>
      </c>
      <c r="B103" s="233" t="s">
        <v>66</v>
      </c>
      <c r="C103" s="233"/>
      <c r="D103" s="14">
        <f>D96</f>
        <v>0</v>
      </c>
    </row>
    <row r="104" spans="1:4" ht="12.75" customHeight="1" x14ac:dyDescent="0.2">
      <c r="A104" s="232" t="s">
        <v>21</v>
      </c>
      <c r="B104" s="232"/>
      <c r="C104" s="232"/>
      <c r="D104" s="11">
        <f>SUM(D102:D103)</f>
        <v>23.4</v>
      </c>
    </row>
    <row r="107" spans="1:4" x14ac:dyDescent="0.2">
      <c r="A107" s="228" t="s">
        <v>70</v>
      </c>
      <c r="B107" s="228"/>
      <c r="C107" s="228"/>
      <c r="D107" s="228"/>
    </row>
    <row r="109" spans="1:4" ht="12.75" customHeight="1" x14ac:dyDescent="0.2">
      <c r="A109" s="67">
        <v>5</v>
      </c>
      <c r="B109" s="237" t="s">
        <v>71</v>
      </c>
      <c r="C109" s="237"/>
      <c r="D109" s="67" t="s">
        <v>8</v>
      </c>
    </row>
    <row r="110" spans="1:4" x14ac:dyDescent="0.2">
      <c r="A110" s="5" t="s">
        <v>9</v>
      </c>
      <c r="B110" s="68" t="s">
        <v>72</v>
      </c>
      <c r="C110" s="68"/>
      <c r="D110" s="173"/>
    </row>
    <row r="111" spans="1:4" x14ac:dyDescent="0.2">
      <c r="A111" s="5" t="s">
        <v>11</v>
      </c>
      <c r="B111" s="172" t="s">
        <v>142</v>
      </c>
      <c r="C111" s="172"/>
      <c r="D111" s="173">
        <v>1386</v>
      </c>
    </row>
    <row r="112" spans="1:4" x14ac:dyDescent="0.2">
      <c r="A112" s="5" t="s">
        <v>13</v>
      </c>
      <c r="B112" s="172" t="s">
        <v>73</v>
      </c>
      <c r="C112" s="172"/>
      <c r="D112" s="173">
        <v>20.28</v>
      </c>
    </row>
    <row r="113" spans="1:4" ht="12.75" customHeight="1" x14ac:dyDescent="0.2">
      <c r="A113" s="232" t="s">
        <v>42</v>
      </c>
      <c r="B113" s="232"/>
      <c r="C113" s="232"/>
      <c r="D113" s="8">
        <f>SUM(D110:D112)</f>
        <v>1406.28</v>
      </c>
    </row>
    <row r="116" spans="1:4" x14ac:dyDescent="0.2">
      <c r="A116" s="228" t="s">
        <v>74</v>
      </c>
      <c r="B116" s="228"/>
      <c r="C116" s="228"/>
      <c r="D116" s="228"/>
    </row>
    <row r="118" spans="1:4" x14ac:dyDescent="0.2">
      <c r="A118" s="67">
        <v>6</v>
      </c>
      <c r="B118" s="69" t="s">
        <v>75</v>
      </c>
      <c r="C118" s="67" t="s">
        <v>31</v>
      </c>
      <c r="D118" s="67" t="s">
        <v>8</v>
      </c>
    </row>
    <row r="119" spans="1:4" x14ac:dyDescent="0.2">
      <c r="A119" s="5" t="s">
        <v>9</v>
      </c>
      <c r="B119" s="68" t="s">
        <v>76</v>
      </c>
      <c r="C119" s="12">
        <v>7.3700000000000002E-2</v>
      </c>
      <c r="D119" s="14">
        <f>D136*C119</f>
        <v>1657.7296780000001</v>
      </c>
    </row>
    <row r="120" spans="1:4" x14ac:dyDescent="0.2">
      <c r="A120" s="5" t="s">
        <v>11</v>
      </c>
      <c r="B120" s="68" t="s">
        <v>77</v>
      </c>
      <c r="C120" s="12">
        <v>7.3999999999999996E-2</v>
      </c>
      <c r="D120" s="7">
        <f>(D136+D119)*C120</f>
        <v>1787.1495561720001</v>
      </c>
    </row>
    <row r="121" spans="1:4" x14ac:dyDescent="0.2">
      <c r="A121" s="5" t="s">
        <v>13</v>
      </c>
      <c r="B121" s="68" t="s">
        <v>78</v>
      </c>
      <c r="C121" s="10">
        <f>SUM(C122:C124)</f>
        <v>8.6499999999999994E-2</v>
      </c>
      <c r="D121" s="7">
        <f>(D136+D119+D120)*C121/(1-C121)</f>
        <v>2456.071553098936</v>
      </c>
    </row>
    <row r="122" spans="1:4" x14ac:dyDescent="0.2">
      <c r="A122" s="5"/>
      <c r="B122" s="68" t="s">
        <v>137</v>
      </c>
      <c r="C122" s="12">
        <v>3.6499999999999998E-2</v>
      </c>
      <c r="D122" s="14">
        <f>$D$138*C122</f>
        <v>1036.3769849999999</v>
      </c>
    </row>
    <row r="123" spans="1:4" x14ac:dyDescent="0.2">
      <c r="A123" s="5"/>
      <c r="B123" s="68" t="s">
        <v>135</v>
      </c>
      <c r="C123" s="5"/>
      <c r="D123" s="14">
        <f>$D$138*C123</f>
        <v>0</v>
      </c>
    </row>
    <row r="124" spans="1:4" x14ac:dyDescent="0.2">
      <c r="A124" s="5"/>
      <c r="B124" s="68" t="s">
        <v>136</v>
      </c>
      <c r="C124" s="12">
        <v>0.05</v>
      </c>
      <c r="D124" s="14">
        <f>$D$138*C124</f>
        <v>1419.6945000000001</v>
      </c>
    </row>
    <row r="125" spans="1:4" ht="13.5" customHeight="1" x14ac:dyDescent="0.2">
      <c r="A125" s="239" t="s">
        <v>42</v>
      </c>
      <c r="B125" s="239"/>
      <c r="C125" s="20">
        <f>(1+C120)*(1+C119)/(1-C121)-1</f>
        <v>0.26234679802955685</v>
      </c>
      <c r="D125" s="11">
        <f>SUM(D119:D121)</f>
        <v>5900.9507872709364</v>
      </c>
    </row>
    <row r="128" spans="1:4" x14ac:dyDescent="0.2">
      <c r="A128" s="228" t="s">
        <v>79</v>
      </c>
      <c r="B128" s="228"/>
      <c r="C128" s="228"/>
      <c r="D128" s="228"/>
    </row>
    <row r="130" spans="1:5" ht="12.75" customHeight="1" x14ac:dyDescent="0.2">
      <c r="A130" s="67"/>
      <c r="B130" s="232" t="s">
        <v>80</v>
      </c>
      <c r="C130" s="232"/>
      <c r="D130" s="67" t="s">
        <v>8</v>
      </c>
    </row>
    <row r="131" spans="1:5" ht="12.75" customHeight="1" x14ac:dyDescent="0.2">
      <c r="A131" s="67" t="s">
        <v>9</v>
      </c>
      <c r="B131" s="233" t="s">
        <v>6</v>
      </c>
      <c r="C131" s="233"/>
      <c r="D131" s="21">
        <f>D20</f>
        <v>12422.36</v>
      </c>
    </row>
    <row r="132" spans="1:5" ht="12.75" customHeight="1" x14ac:dyDescent="0.2">
      <c r="A132" s="67" t="s">
        <v>11</v>
      </c>
      <c r="B132" s="233" t="s">
        <v>22</v>
      </c>
      <c r="C132" s="233"/>
      <c r="D132" s="21">
        <f>D62</f>
        <v>7875.72</v>
      </c>
    </row>
    <row r="133" spans="1:5" ht="12.75" customHeight="1" x14ac:dyDescent="0.2">
      <c r="A133" s="67" t="s">
        <v>13</v>
      </c>
      <c r="B133" s="233" t="s">
        <v>50</v>
      </c>
      <c r="C133" s="233"/>
      <c r="D133" s="21">
        <f>D74</f>
        <v>765.18000000000006</v>
      </c>
    </row>
    <row r="134" spans="1:5" ht="12.75" customHeight="1" x14ac:dyDescent="0.2">
      <c r="A134" s="67" t="s">
        <v>15</v>
      </c>
      <c r="B134" s="233" t="s">
        <v>55</v>
      </c>
      <c r="C134" s="233"/>
      <c r="D134" s="21">
        <f>D104</f>
        <v>23.4</v>
      </c>
    </row>
    <row r="135" spans="1:5" ht="12.75" customHeight="1" x14ac:dyDescent="0.2">
      <c r="A135" s="67" t="s">
        <v>17</v>
      </c>
      <c r="B135" s="233" t="s">
        <v>70</v>
      </c>
      <c r="C135" s="233"/>
      <c r="D135" s="21">
        <f>D113</f>
        <v>1406.28</v>
      </c>
    </row>
    <row r="136" spans="1:5" ht="12.75" customHeight="1" x14ac:dyDescent="0.2">
      <c r="A136" s="232" t="s">
        <v>81</v>
      </c>
      <c r="B136" s="232"/>
      <c r="C136" s="232"/>
      <c r="D136" s="22">
        <f>SUM(D131:D135)</f>
        <v>22492.940000000002</v>
      </c>
    </row>
    <row r="137" spans="1:5" ht="12.75" customHeight="1" x14ac:dyDescent="0.2">
      <c r="A137" s="67" t="s">
        <v>37</v>
      </c>
      <c r="B137" s="233" t="s">
        <v>82</v>
      </c>
      <c r="C137" s="233"/>
      <c r="D137" s="23">
        <f>D125</f>
        <v>5900.9507872709364</v>
      </c>
    </row>
    <row r="138" spans="1:5" ht="12.75" customHeight="1" x14ac:dyDescent="0.2">
      <c r="A138" s="232" t="s">
        <v>83</v>
      </c>
      <c r="B138" s="232"/>
      <c r="C138" s="232"/>
      <c r="D138" s="22">
        <f>ROUND(SUM(D136:D137),2)</f>
        <v>28393.89</v>
      </c>
    </row>
    <row r="140" spans="1:5" x14ac:dyDescent="0.2">
      <c r="E140" s="57"/>
    </row>
  </sheetData>
  <mergeCells count="65">
    <mergeCell ref="B16:C16"/>
    <mergeCell ref="A1:D1"/>
    <mergeCell ref="A3:D3"/>
    <mergeCell ref="C5:D5"/>
    <mergeCell ref="C6:D6"/>
    <mergeCell ref="C7:D7"/>
    <mergeCell ref="C8:D8"/>
    <mergeCell ref="A10:D10"/>
    <mergeCell ref="B12:C12"/>
    <mergeCell ref="B13:C13"/>
    <mergeCell ref="B14:C14"/>
    <mergeCell ref="B15:C15"/>
    <mergeCell ref="B49:C49"/>
    <mergeCell ref="B17:C17"/>
    <mergeCell ref="B18:C18"/>
    <mergeCell ref="B19:C19"/>
    <mergeCell ref="A20:C20"/>
    <mergeCell ref="A23:D23"/>
    <mergeCell ref="A25:D25"/>
    <mergeCell ref="B27:C27"/>
    <mergeCell ref="A30:C30"/>
    <mergeCell ref="A33:D33"/>
    <mergeCell ref="A44:B44"/>
    <mergeCell ref="A47:D47"/>
    <mergeCell ref="A62:C62"/>
    <mergeCell ref="B50:C50"/>
    <mergeCell ref="B51:C51"/>
    <mergeCell ref="B52:C52"/>
    <mergeCell ref="A53:C53"/>
    <mergeCell ref="A56:D56"/>
    <mergeCell ref="B58:C58"/>
    <mergeCell ref="B59:C59"/>
    <mergeCell ref="B60:C60"/>
    <mergeCell ref="B61:C61"/>
    <mergeCell ref="A99:D99"/>
    <mergeCell ref="A65:D65"/>
    <mergeCell ref="B67:C67"/>
    <mergeCell ref="A74:C74"/>
    <mergeCell ref="A77:D77"/>
    <mergeCell ref="A80:D80"/>
    <mergeCell ref="B82:C82"/>
    <mergeCell ref="A89:C89"/>
    <mergeCell ref="A92:D92"/>
    <mergeCell ref="B94:C94"/>
    <mergeCell ref="B95:C95"/>
    <mergeCell ref="A96:C96"/>
    <mergeCell ref="B131:C131"/>
    <mergeCell ref="B101:C101"/>
    <mergeCell ref="B102:C102"/>
    <mergeCell ref="B103:C103"/>
    <mergeCell ref="A104:C104"/>
    <mergeCell ref="A107:D107"/>
    <mergeCell ref="B109:C109"/>
    <mergeCell ref="A113:C113"/>
    <mergeCell ref="A116:D116"/>
    <mergeCell ref="A125:B125"/>
    <mergeCell ref="A128:D128"/>
    <mergeCell ref="B130:C130"/>
    <mergeCell ref="A138:C138"/>
    <mergeCell ref="B132:C132"/>
    <mergeCell ref="B133:C133"/>
    <mergeCell ref="B134:C134"/>
    <mergeCell ref="B135:C135"/>
    <mergeCell ref="A136:C136"/>
    <mergeCell ref="B137:C137"/>
  </mergeCells>
  <pageMargins left="0.51180555555555496" right="0.51180555555555496" top="0.78749999999999998" bottom="0.78749999999999998" header="0.51180555555555496" footer="0.51180555555555496"/>
  <pageSetup paperSize="9" scale="88" firstPageNumber="0" fitToHeight="0" orientation="portrait" r:id="rId1"/>
  <rowBreaks count="2" manualBreakCount="2">
    <brk id="62" max="16383" man="1"/>
    <brk id="125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AMD140"/>
  <sheetViews>
    <sheetView topLeftCell="A81" zoomScaleNormal="100" workbookViewId="0">
      <selection activeCell="C87" sqref="C87"/>
    </sheetView>
  </sheetViews>
  <sheetFormatPr defaultColWidth="9.33203125" defaultRowHeight="12.75" x14ac:dyDescent="0.2"/>
  <cols>
    <col min="1" max="1" width="9.33203125" style="1"/>
    <col min="2" max="2" width="70.33203125" style="1" customWidth="1"/>
    <col min="3" max="3" width="21" style="1" customWidth="1"/>
    <col min="4" max="4" width="16.6640625" style="1" customWidth="1"/>
    <col min="5" max="5" width="14.83203125" style="1" customWidth="1"/>
    <col min="6" max="1018" width="9.33203125" style="1"/>
  </cols>
  <sheetData>
    <row r="1" spans="1:4" ht="15.75" x14ac:dyDescent="0.25">
      <c r="A1" s="227" t="s">
        <v>0</v>
      </c>
      <c r="B1" s="227"/>
      <c r="C1" s="227"/>
      <c r="D1" s="227"/>
    </row>
    <row r="3" spans="1:4" x14ac:dyDescent="0.2">
      <c r="A3" s="228" t="s">
        <v>1</v>
      </c>
      <c r="B3" s="228"/>
      <c r="C3" s="228"/>
      <c r="D3" s="228"/>
    </row>
    <row r="4" spans="1:4" x14ac:dyDescent="0.2">
      <c r="A4" s="2"/>
      <c r="B4" s="2"/>
      <c r="C4" s="2"/>
      <c r="D4" s="2"/>
    </row>
    <row r="5" spans="1:4" x14ac:dyDescent="0.2">
      <c r="A5" s="3">
        <v>1</v>
      </c>
      <c r="B5" s="3" t="s">
        <v>2</v>
      </c>
      <c r="C5" s="229" t="s">
        <v>140</v>
      </c>
      <c r="D5" s="229"/>
    </row>
    <row r="6" spans="1:4" x14ac:dyDescent="0.2">
      <c r="A6" s="3">
        <v>2</v>
      </c>
      <c r="B6" s="3" t="s">
        <v>3</v>
      </c>
      <c r="C6" s="230"/>
      <c r="D6" s="230"/>
    </row>
    <row r="7" spans="1:4" x14ac:dyDescent="0.2">
      <c r="A7" s="3">
        <v>3</v>
      </c>
      <c r="B7" s="3" t="s">
        <v>4</v>
      </c>
      <c r="C7" s="229" t="s">
        <v>139</v>
      </c>
      <c r="D7" s="229"/>
    </row>
    <row r="8" spans="1:4" x14ac:dyDescent="0.2">
      <c r="A8" s="3">
        <v>4</v>
      </c>
      <c r="B8" s="3" t="s">
        <v>5</v>
      </c>
      <c r="C8" s="231"/>
      <c r="D8" s="229"/>
    </row>
    <row r="10" spans="1:4" x14ac:dyDescent="0.2">
      <c r="A10" s="228" t="s">
        <v>6</v>
      </c>
      <c r="B10" s="228"/>
      <c r="C10" s="228"/>
      <c r="D10" s="228"/>
    </row>
    <row r="12" spans="1:4" ht="12.75" customHeight="1" x14ac:dyDescent="0.2">
      <c r="A12" s="67">
        <v>1</v>
      </c>
      <c r="B12" s="232" t="s">
        <v>7</v>
      </c>
      <c r="C12" s="232"/>
      <c r="D12" s="67" t="s">
        <v>8</v>
      </c>
    </row>
    <row r="13" spans="1:4" ht="12.75" customHeight="1" x14ac:dyDescent="0.2">
      <c r="A13" s="5" t="s">
        <v>9</v>
      </c>
      <c r="B13" s="233" t="s">
        <v>10</v>
      </c>
      <c r="C13" s="233"/>
      <c r="D13" s="75">
        <v>12422.36</v>
      </c>
    </row>
    <row r="14" spans="1:4" ht="12.75" customHeight="1" x14ac:dyDescent="0.2">
      <c r="A14" s="5" t="s">
        <v>11</v>
      </c>
      <c r="B14" s="233" t="s">
        <v>12</v>
      </c>
      <c r="C14" s="233"/>
      <c r="D14" s="7" t="s">
        <v>134</v>
      </c>
    </row>
    <row r="15" spans="1:4" ht="12.75" customHeight="1" x14ac:dyDescent="0.2">
      <c r="A15" s="5" t="s">
        <v>13</v>
      </c>
      <c r="B15" s="233" t="s">
        <v>14</v>
      </c>
      <c r="C15" s="233"/>
      <c r="D15" s="7" t="s">
        <v>134</v>
      </c>
    </row>
    <row r="16" spans="1:4" ht="12.75" customHeight="1" x14ac:dyDescent="0.2">
      <c r="A16" s="5" t="s">
        <v>15</v>
      </c>
      <c r="B16" s="233" t="s">
        <v>16</v>
      </c>
      <c r="C16" s="233"/>
      <c r="D16" s="7" t="s">
        <v>134</v>
      </c>
    </row>
    <row r="17" spans="1:4" ht="12.75" customHeight="1" x14ac:dyDescent="0.2">
      <c r="A17" s="5" t="s">
        <v>17</v>
      </c>
      <c r="B17" s="233" t="s">
        <v>18</v>
      </c>
      <c r="C17" s="233"/>
      <c r="D17" s="7" t="s">
        <v>134</v>
      </c>
    </row>
    <row r="18" spans="1:4" x14ac:dyDescent="0.2">
      <c r="A18" s="5"/>
      <c r="B18" s="233"/>
      <c r="C18" s="233"/>
      <c r="D18" s="7"/>
    </row>
    <row r="19" spans="1:4" ht="12.75" customHeight="1" x14ac:dyDescent="0.2">
      <c r="A19" s="5" t="s">
        <v>19</v>
      </c>
      <c r="B19" s="233" t="s">
        <v>20</v>
      </c>
      <c r="C19" s="233"/>
      <c r="D19" s="7"/>
    </row>
    <row r="20" spans="1:4" ht="12.75" customHeight="1" x14ac:dyDescent="0.2">
      <c r="A20" s="232" t="s">
        <v>21</v>
      </c>
      <c r="B20" s="232"/>
      <c r="C20" s="232"/>
      <c r="D20" s="8">
        <f>SUM(D13:D19)</f>
        <v>12422.36</v>
      </c>
    </row>
    <row r="23" spans="1:4" x14ac:dyDescent="0.2">
      <c r="A23" s="228" t="s">
        <v>22</v>
      </c>
      <c r="B23" s="228"/>
      <c r="C23" s="228"/>
      <c r="D23" s="228"/>
    </row>
    <row r="24" spans="1:4" x14ac:dyDescent="0.2">
      <c r="A24" s="9"/>
    </row>
    <row r="25" spans="1:4" x14ac:dyDescent="0.2">
      <c r="A25" s="234" t="s">
        <v>23</v>
      </c>
      <c r="B25" s="234"/>
      <c r="C25" s="234"/>
      <c r="D25" s="234"/>
    </row>
    <row r="27" spans="1:4" ht="12.75" customHeight="1" x14ac:dyDescent="0.2">
      <c r="A27" s="67" t="s">
        <v>24</v>
      </c>
      <c r="B27" s="232" t="s">
        <v>25</v>
      </c>
      <c r="C27" s="232"/>
      <c r="D27" s="67" t="s">
        <v>8</v>
      </c>
    </row>
    <row r="28" spans="1:4" x14ac:dyDescent="0.2">
      <c r="A28" s="5" t="s">
        <v>9</v>
      </c>
      <c r="B28" s="68" t="s">
        <v>26</v>
      </c>
      <c r="C28" s="10">
        <f>1/12</f>
        <v>8.3333333333333329E-2</v>
      </c>
      <c r="D28" s="7">
        <f>TRUNC($D$20*C28,2)</f>
        <v>1035.19</v>
      </c>
    </row>
    <row r="29" spans="1:4" x14ac:dyDescent="0.2">
      <c r="A29" s="5" t="s">
        <v>11</v>
      </c>
      <c r="B29" s="68" t="s">
        <v>27</v>
      </c>
      <c r="C29" s="10">
        <f>(1/12)*(4/3)</f>
        <v>0.1111111111111111</v>
      </c>
      <c r="D29" s="7">
        <f>TRUNC($D$20*C29,2)</f>
        <v>1380.26</v>
      </c>
    </row>
    <row r="30" spans="1:4" ht="12.75" customHeight="1" x14ac:dyDescent="0.2">
      <c r="A30" s="232" t="s">
        <v>21</v>
      </c>
      <c r="B30" s="232"/>
      <c r="C30" s="232"/>
      <c r="D30" s="11">
        <f>SUM(D28:D29)</f>
        <v>2415.4499999999998</v>
      </c>
    </row>
    <row r="33" spans="1:4" ht="12.75" customHeight="1" x14ac:dyDescent="0.2">
      <c r="A33" s="235" t="s">
        <v>28</v>
      </c>
      <c r="B33" s="235"/>
      <c r="C33" s="235"/>
      <c r="D33" s="235"/>
    </row>
    <row r="35" spans="1:4" x14ac:dyDescent="0.2">
      <c r="A35" s="67" t="s">
        <v>29</v>
      </c>
      <c r="B35" s="67" t="s">
        <v>30</v>
      </c>
      <c r="C35" s="67" t="s">
        <v>31</v>
      </c>
      <c r="D35" s="67" t="s">
        <v>8</v>
      </c>
    </row>
    <row r="36" spans="1:4" x14ac:dyDescent="0.2">
      <c r="A36" s="5" t="s">
        <v>9</v>
      </c>
      <c r="B36" s="68" t="s">
        <v>32</v>
      </c>
      <c r="C36" s="12">
        <v>0.2</v>
      </c>
      <c r="D36" s="7">
        <f t="shared" ref="D36:D43" si="0">TRUNC(($D$20+$D$30)*C36,2)</f>
        <v>2967.56</v>
      </c>
    </row>
    <row r="37" spans="1:4" x14ac:dyDescent="0.2">
      <c r="A37" s="5" t="s">
        <v>11</v>
      </c>
      <c r="B37" s="68" t="s">
        <v>33</v>
      </c>
      <c r="C37" s="12">
        <v>2.5000000000000001E-2</v>
      </c>
      <c r="D37" s="7">
        <f t="shared" si="0"/>
        <v>370.94</v>
      </c>
    </row>
    <row r="38" spans="1:4" x14ac:dyDescent="0.2">
      <c r="A38" s="5" t="s">
        <v>13</v>
      </c>
      <c r="B38" s="68" t="s">
        <v>34</v>
      </c>
      <c r="C38" s="60">
        <v>0.03</v>
      </c>
      <c r="D38" s="7">
        <f t="shared" si="0"/>
        <v>445.13</v>
      </c>
    </row>
    <row r="39" spans="1:4" x14ac:dyDescent="0.2">
      <c r="A39" s="5" t="s">
        <v>15</v>
      </c>
      <c r="B39" s="68" t="s">
        <v>35</v>
      </c>
      <c r="C39" s="12">
        <v>1.4999999999999999E-2</v>
      </c>
      <c r="D39" s="7">
        <f t="shared" si="0"/>
        <v>222.56</v>
      </c>
    </row>
    <row r="40" spans="1:4" x14ac:dyDescent="0.2">
      <c r="A40" s="5" t="s">
        <v>17</v>
      </c>
      <c r="B40" s="68" t="s">
        <v>36</v>
      </c>
      <c r="C40" s="12">
        <v>0.01</v>
      </c>
      <c r="D40" s="7">
        <f t="shared" si="0"/>
        <v>148.37</v>
      </c>
    </row>
    <row r="41" spans="1:4" x14ac:dyDescent="0.2">
      <c r="A41" s="5" t="s">
        <v>37</v>
      </c>
      <c r="B41" s="68" t="s">
        <v>38</v>
      </c>
      <c r="C41" s="12">
        <v>6.0000000000000001E-3</v>
      </c>
      <c r="D41" s="7">
        <f t="shared" si="0"/>
        <v>89.02</v>
      </c>
    </row>
    <row r="42" spans="1:4" x14ac:dyDescent="0.2">
      <c r="A42" s="5" t="s">
        <v>19</v>
      </c>
      <c r="B42" s="68" t="s">
        <v>39</v>
      </c>
      <c r="C42" s="12">
        <v>2E-3</v>
      </c>
      <c r="D42" s="7">
        <f t="shared" si="0"/>
        <v>29.67</v>
      </c>
    </row>
    <row r="43" spans="1:4" x14ac:dyDescent="0.2">
      <c r="A43" s="5" t="s">
        <v>40</v>
      </c>
      <c r="B43" s="68" t="s">
        <v>41</v>
      </c>
      <c r="C43" s="12">
        <v>0.08</v>
      </c>
      <c r="D43" s="7">
        <f t="shared" si="0"/>
        <v>1187.02</v>
      </c>
    </row>
    <row r="44" spans="1:4" ht="12.75" customHeight="1" x14ac:dyDescent="0.2">
      <c r="A44" s="232" t="s">
        <v>42</v>
      </c>
      <c r="B44" s="232"/>
      <c r="C44" s="13">
        <f>SUM(C36:C43)</f>
        <v>0.36800000000000005</v>
      </c>
      <c r="D44" s="11">
        <f>SUM(D36:D43)</f>
        <v>5460.27</v>
      </c>
    </row>
    <row r="47" spans="1:4" x14ac:dyDescent="0.2">
      <c r="A47" s="234" t="s">
        <v>43</v>
      </c>
      <c r="B47" s="234"/>
      <c r="C47" s="234"/>
      <c r="D47" s="234"/>
    </row>
    <row r="49" spans="1:4" ht="12.75" customHeight="1" x14ac:dyDescent="0.2">
      <c r="A49" s="67" t="s">
        <v>44</v>
      </c>
      <c r="B49" s="236" t="s">
        <v>45</v>
      </c>
      <c r="C49" s="236"/>
      <c r="D49" s="67" t="s">
        <v>8</v>
      </c>
    </row>
    <row r="50" spans="1:4" ht="12.75" customHeight="1" x14ac:dyDescent="0.2">
      <c r="A50" s="5" t="s">
        <v>9</v>
      </c>
      <c r="B50" s="233" t="s">
        <v>46</v>
      </c>
      <c r="C50" s="233"/>
      <c r="D50" s="7"/>
    </row>
    <row r="51" spans="1:4" ht="12.75" customHeight="1" x14ac:dyDescent="0.2">
      <c r="A51" s="5" t="s">
        <v>11</v>
      </c>
      <c r="B51" s="233" t="s">
        <v>47</v>
      </c>
      <c r="C51" s="233"/>
      <c r="D51" s="58">
        <v>0</v>
      </c>
    </row>
    <row r="52" spans="1:4" ht="12.75" customHeight="1" x14ac:dyDescent="0.2">
      <c r="A52" s="5" t="s">
        <v>13</v>
      </c>
      <c r="B52" s="233" t="s">
        <v>166</v>
      </c>
      <c r="C52" s="233"/>
      <c r="D52" s="7"/>
    </row>
    <row r="53" spans="1:4" ht="12.75" customHeight="1" x14ac:dyDescent="0.2">
      <c r="A53" s="232" t="s">
        <v>21</v>
      </c>
      <c r="B53" s="232"/>
      <c r="C53" s="232"/>
      <c r="D53" s="11">
        <f>SUM(D50:D52)</f>
        <v>0</v>
      </c>
    </row>
    <row r="56" spans="1:4" x14ac:dyDescent="0.2">
      <c r="A56" s="234" t="s">
        <v>48</v>
      </c>
      <c r="B56" s="234"/>
      <c r="C56" s="234"/>
      <c r="D56" s="234"/>
    </row>
    <row r="58" spans="1:4" ht="12.75" customHeight="1" x14ac:dyDescent="0.2">
      <c r="A58" s="67">
        <v>2</v>
      </c>
      <c r="B58" s="236" t="s">
        <v>49</v>
      </c>
      <c r="C58" s="236"/>
      <c r="D58" s="67" t="s">
        <v>8</v>
      </c>
    </row>
    <row r="59" spans="1:4" ht="12.75" customHeight="1" x14ac:dyDescent="0.2">
      <c r="A59" s="5" t="s">
        <v>24</v>
      </c>
      <c r="B59" s="233" t="s">
        <v>25</v>
      </c>
      <c r="C59" s="233"/>
      <c r="D59" s="14">
        <f>D30</f>
        <v>2415.4499999999998</v>
      </c>
    </row>
    <row r="60" spans="1:4" ht="12.75" customHeight="1" x14ac:dyDescent="0.2">
      <c r="A60" s="5" t="s">
        <v>29</v>
      </c>
      <c r="B60" s="233" t="s">
        <v>30</v>
      </c>
      <c r="C60" s="233"/>
      <c r="D60" s="14">
        <f>D44</f>
        <v>5460.27</v>
      </c>
    </row>
    <row r="61" spans="1:4" ht="12.75" customHeight="1" x14ac:dyDescent="0.2">
      <c r="A61" s="5" t="s">
        <v>44</v>
      </c>
      <c r="B61" s="233" t="s">
        <v>45</v>
      </c>
      <c r="C61" s="233"/>
      <c r="D61" s="14">
        <f>D53</f>
        <v>0</v>
      </c>
    </row>
    <row r="62" spans="1:4" ht="12.75" customHeight="1" x14ac:dyDescent="0.2">
      <c r="A62" s="232" t="s">
        <v>21</v>
      </c>
      <c r="B62" s="232"/>
      <c r="C62" s="232"/>
      <c r="D62" s="11">
        <f>SUM(D59:D61)</f>
        <v>7875.72</v>
      </c>
    </row>
    <row r="63" spans="1:4" x14ac:dyDescent="0.2">
      <c r="A63" s="15"/>
    </row>
    <row r="65" spans="1:5" x14ac:dyDescent="0.2">
      <c r="A65" s="228" t="s">
        <v>50</v>
      </c>
      <c r="B65" s="228"/>
      <c r="C65" s="228"/>
      <c r="D65" s="228"/>
    </row>
    <row r="67" spans="1:5" ht="12.75" customHeight="1" x14ac:dyDescent="0.2">
      <c r="A67" s="67">
        <v>3</v>
      </c>
      <c r="B67" s="236" t="s">
        <v>51</v>
      </c>
      <c r="C67" s="236"/>
      <c r="D67" s="67" t="s">
        <v>8</v>
      </c>
    </row>
    <row r="68" spans="1:5" x14ac:dyDescent="0.2">
      <c r="A68" s="5" t="s">
        <v>9</v>
      </c>
      <c r="B68" s="158" t="s">
        <v>52</v>
      </c>
      <c r="C68" s="12">
        <f>TRUNC(((1/12)*5%),4)</f>
        <v>4.1000000000000003E-3</v>
      </c>
      <c r="D68" s="7">
        <f>TRUNC($D$20*C68,2)</f>
        <v>50.93</v>
      </c>
    </row>
    <row r="69" spans="1:5" x14ac:dyDescent="0.2">
      <c r="A69" s="5" t="s">
        <v>11</v>
      </c>
      <c r="B69" s="158" t="s">
        <v>53</v>
      </c>
      <c r="C69" s="12">
        <f>C43</f>
        <v>0.08</v>
      </c>
      <c r="D69" s="16">
        <f>TRUNC(D68*C69,2)</f>
        <v>4.07</v>
      </c>
      <c r="E69" s="17"/>
    </row>
    <row r="70" spans="1:5" x14ac:dyDescent="0.2">
      <c r="A70" s="5" t="s">
        <v>13</v>
      </c>
      <c r="B70" s="158" t="s">
        <v>151</v>
      </c>
      <c r="C70" s="12">
        <f>TRUNC(C43*5%*40%,4)</f>
        <v>1.6000000000000001E-3</v>
      </c>
      <c r="D70" s="7">
        <f>TRUNC($D$20*C70,2)</f>
        <v>19.87</v>
      </c>
    </row>
    <row r="71" spans="1:5" x14ac:dyDescent="0.2">
      <c r="A71" s="5" t="s">
        <v>15</v>
      </c>
      <c r="B71" s="158" t="s">
        <v>54</v>
      </c>
      <c r="C71" s="12">
        <f>TRUNC(((7/30)/12)*95%,4)</f>
        <v>1.84E-2</v>
      </c>
      <c r="D71" s="16">
        <f>TRUNC($D$20*C71,2)</f>
        <v>228.57</v>
      </c>
      <c r="E71" s="18"/>
    </row>
    <row r="72" spans="1:5" ht="12.75" customHeight="1" x14ac:dyDescent="0.2">
      <c r="A72" s="5" t="s">
        <v>17</v>
      </c>
      <c r="B72" s="158" t="s">
        <v>150</v>
      </c>
      <c r="C72" s="12">
        <f>C44</f>
        <v>0.36800000000000005</v>
      </c>
      <c r="D72" s="16">
        <f>TRUNC(D71*C72,2)</f>
        <v>84.11</v>
      </c>
      <c r="E72" s="17"/>
    </row>
    <row r="73" spans="1:5" x14ac:dyDescent="0.2">
      <c r="A73" s="5" t="s">
        <v>37</v>
      </c>
      <c r="B73" s="158" t="s">
        <v>152</v>
      </c>
      <c r="C73" s="12">
        <f>TRUNC(C43*95%*40%,4)</f>
        <v>3.04E-2</v>
      </c>
      <c r="D73" s="7">
        <f>TRUNC($D$20*C73,2)</f>
        <v>377.63</v>
      </c>
    </row>
    <row r="74" spans="1:5" ht="12.75" customHeight="1" x14ac:dyDescent="0.2">
      <c r="A74" s="232" t="s">
        <v>21</v>
      </c>
      <c r="B74" s="232"/>
      <c r="C74" s="232"/>
      <c r="D74" s="11">
        <f>SUM(D68:D73)</f>
        <v>765.18000000000006</v>
      </c>
    </row>
    <row r="77" spans="1:5" x14ac:dyDescent="0.2">
      <c r="A77" s="228" t="s">
        <v>55</v>
      </c>
      <c r="B77" s="228"/>
      <c r="C77" s="228"/>
      <c r="D77" s="228"/>
    </row>
    <row r="80" spans="1:5" x14ac:dyDescent="0.2">
      <c r="A80" s="234" t="s">
        <v>56</v>
      </c>
      <c r="B80" s="234"/>
      <c r="C80" s="234"/>
      <c r="D80" s="234"/>
    </row>
    <row r="81" spans="1:5" x14ac:dyDescent="0.2">
      <c r="A81" s="9"/>
    </row>
    <row r="82" spans="1:5" ht="12.75" customHeight="1" x14ac:dyDescent="0.2">
      <c r="A82" s="67" t="s">
        <v>57</v>
      </c>
      <c r="B82" s="236" t="s">
        <v>58</v>
      </c>
      <c r="C82" s="236"/>
      <c r="D82" s="67" t="s">
        <v>8</v>
      </c>
    </row>
    <row r="83" spans="1:5" x14ac:dyDescent="0.2">
      <c r="A83" s="5" t="s">
        <v>9</v>
      </c>
      <c r="B83" s="76" t="s">
        <v>59</v>
      </c>
      <c r="C83" s="12">
        <f>TRUNC(((1+1/3)/12)/12,4)*0</f>
        <v>0</v>
      </c>
      <c r="D83" s="7">
        <f t="shared" ref="D83:D88" si="1">TRUNC(($D$20+$D$62+$D$74)*C83,2)</f>
        <v>0</v>
      </c>
    </row>
    <row r="84" spans="1:5" x14ac:dyDescent="0.2">
      <c r="A84" s="5" t="s">
        <v>11</v>
      </c>
      <c r="B84" s="76" t="s">
        <v>60</v>
      </c>
      <c r="C84" s="12">
        <f>TRUNC(((2/30)/12),4)*0</f>
        <v>0</v>
      </c>
      <c r="D84" s="7">
        <f t="shared" si="1"/>
        <v>0</v>
      </c>
    </row>
    <row r="85" spans="1:5" x14ac:dyDescent="0.2">
      <c r="A85" s="5" t="s">
        <v>13</v>
      </c>
      <c r="B85" s="76" t="s">
        <v>61</v>
      </c>
      <c r="C85" s="12">
        <f>TRUNC(((5/30)/12)*2%,4)*0</f>
        <v>0</v>
      </c>
      <c r="D85" s="7">
        <f t="shared" si="1"/>
        <v>0</v>
      </c>
    </row>
    <row r="86" spans="1:5" x14ac:dyDescent="0.2">
      <c r="A86" s="5" t="s">
        <v>15</v>
      </c>
      <c r="B86" s="76" t="s">
        <v>62</v>
      </c>
      <c r="C86" s="12">
        <f>TRUNC(((15/30)/12)*8%,4)*0</f>
        <v>0</v>
      </c>
      <c r="D86" s="7">
        <f t="shared" si="1"/>
        <v>0</v>
      </c>
    </row>
    <row r="87" spans="1:5" x14ac:dyDescent="0.2">
      <c r="A87" s="5" t="s">
        <v>17</v>
      </c>
      <c r="B87" s="76" t="s">
        <v>63</v>
      </c>
      <c r="C87" s="12">
        <f>((1+1/3)/12)*3%*(4/12)</f>
        <v>1.1111111111111109E-3</v>
      </c>
      <c r="D87" s="7">
        <f t="shared" si="1"/>
        <v>23.4</v>
      </c>
    </row>
    <row r="88" spans="1:5" x14ac:dyDescent="0.2">
      <c r="A88" s="5" t="s">
        <v>37</v>
      </c>
      <c r="B88" s="157" t="s">
        <v>149</v>
      </c>
      <c r="C88" s="12"/>
      <c r="D88" s="7">
        <f t="shared" si="1"/>
        <v>0</v>
      </c>
    </row>
    <row r="89" spans="1:5" ht="12.75" customHeight="1" x14ac:dyDescent="0.2">
      <c r="A89" s="232" t="s">
        <v>42</v>
      </c>
      <c r="B89" s="232"/>
      <c r="C89" s="232"/>
      <c r="D89" s="11">
        <f>SUM(D83:D88)</f>
        <v>23.4</v>
      </c>
    </row>
    <row r="92" spans="1:5" x14ac:dyDescent="0.2">
      <c r="A92" s="234" t="s">
        <v>64</v>
      </c>
      <c r="B92" s="234"/>
      <c r="C92" s="234"/>
      <c r="D92" s="234"/>
    </row>
    <row r="93" spans="1:5" x14ac:dyDescent="0.2">
      <c r="A93" s="9"/>
    </row>
    <row r="94" spans="1:5" ht="12.75" customHeight="1" x14ac:dyDescent="0.2">
      <c r="A94" s="67" t="s">
        <v>65</v>
      </c>
      <c r="B94" s="236" t="s">
        <v>66</v>
      </c>
      <c r="C94" s="236"/>
      <c r="D94" s="67" t="s">
        <v>8</v>
      </c>
    </row>
    <row r="95" spans="1:5" ht="12.75" customHeight="1" x14ac:dyDescent="0.2">
      <c r="A95" s="5" t="s">
        <v>9</v>
      </c>
      <c r="B95" s="233" t="s">
        <v>67</v>
      </c>
      <c r="C95" s="233"/>
      <c r="D95" s="7">
        <f>((D20+D62+D74)/220)*22*0</f>
        <v>0</v>
      </c>
      <c r="E95" s="18"/>
    </row>
    <row r="96" spans="1:5" ht="12.75" customHeight="1" x14ac:dyDescent="0.2">
      <c r="A96" s="232" t="s">
        <v>21</v>
      </c>
      <c r="B96" s="232"/>
      <c r="C96" s="232"/>
      <c r="D96" s="11">
        <f>SUM(D95)</f>
        <v>0</v>
      </c>
    </row>
    <row r="99" spans="1:4" x14ac:dyDescent="0.2">
      <c r="A99" s="234" t="s">
        <v>68</v>
      </c>
      <c r="B99" s="234"/>
      <c r="C99" s="234"/>
      <c r="D99" s="234"/>
    </row>
    <row r="100" spans="1:4" x14ac:dyDescent="0.2">
      <c r="A100" s="9"/>
    </row>
    <row r="101" spans="1:4" ht="12.75" customHeight="1" x14ac:dyDescent="0.2">
      <c r="A101" s="67">
        <v>4</v>
      </c>
      <c r="B101" s="232" t="s">
        <v>69</v>
      </c>
      <c r="C101" s="232"/>
      <c r="D101" s="67" t="s">
        <v>8</v>
      </c>
    </row>
    <row r="102" spans="1:4" ht="12.75" customHeight="1" x14ac:dyDescent="0.2">
      <c r="A102" s="5" t="s">
        <v>57</v>
      </c>
      <c r="B102" s="233" t="s">
        <v>58</v>
      </c>
      <c r="C102" s="233"/>
      <c r="D102" s="14">
        <f>D89</f>
        <v>23.4</v>
      </c>
    </row>
    <row r="103" spans="1:4" ht="12.75" customHeight="1" x14ac:dyDescent="0.2">
      <c r="A103" s="5" t="s">
        <v>65</v>
      </c>
      <c r="B103" s="233" t="s">
        <v>66</v>
      </c>
      <c r="C103" s="233"/>
      <c r="D103" s="14">
        <f>D96</f>
        <v>0</v>
      </c>
    </row>
    <row r="104" spans="1:4" ht="12.75" customHeight="1" x14ac:dyDescent="0.2">
      <c r="A104" s="232" t="s">
        <v>21</v>
      </c>
      <c r="B104" s="232"/>
      <c r="C104" s="232"/>
      <c r="D104" s="11">
        <f>SUM(D102:D103)</f>
        <v>23.4</v>
      </c>
    </row>
    <row r="107" spans="1:4" x14ac:dyDescent="0.2">
      <c r="A107" s="228" t="s">
        <v>70</v>
      </c>
      <c r="B107" s="228"/>
      <c r="C107" s="228"/>
      <c r="D107" s="228"/>
    </row>
    <row r="109" spans="1:4" ht="12.75" customHeight="1" x14ac:dyDescent="0.2">
      <c r="A109" s="67">
        <v>5</v>
      </c>
      <c r="B109" s="237" t="s">
        <v>71</v>
      </c>
      <c r="C109" s="237"/>
      <c r="D109" s="67" t="s">
        <v>8</v>
      </c>
    </row>
    <row r="110" spans="1:4" x14ac:dyDescent="0.2">
      <c r="A110" s="5" t="s">
        <v>9</v>
      </c>
      <c r="B110" s="68" t="s">
        <v>72</v>
      </c>
      <c r="C110" s="68"/>
      <c r="D110" s="173"/>
    </row>
    <row r="111" spans="1:4" x14ac:dyDescent="0.2">
      <c r="A111" s="5" t="s">
        <v>11</v>
      </c>
      <c r="B111" s="172" t="s">
        <v>142</v>
      </c>
      <c r="C111" s="172"/>
      <c r="D111" s="173">
        <v>1386</v>
      </c>
    </row>
    <row r="112" spans="1:4" x14ac:dyDescent="0.2">
      <c r="A112" s="5" t="s">
        <v>13</v>
      </c>
      <c r="B112" s="172" t="s">
        <v>73</v>
      </c>
      <c r="C112" s="172"/>
      <c r="D112" s="173">
        <v>20.28</v>
      </c>
    </row>
    <row r="113" spans="1:4" ht="12.75" customHeight="1" x14ac:dyDescent="0.2">
      <c r="A113" s="232" t="s">
        <v>42</v>
      </c>
      <c r="B113" s="232"/>
      <c r="C113" s="232"/>
      <c r="D113" s="8">
        <f>SUM(D110:D112)</f>
        <v>1406.28</v>
      </c>
    </row>
    <row r="116" spans="1:4" x14ac:dyDescent="0.2">
      <c r="A116" s="228" t="s">
        <v>74</v>
      </c>
      <c r="B116" s="228"/>
      <c r="C116" s="228"/>
      <c r="D116" s="228"/>
    </row>
    <row r="118" spans="1:4" x14ac:dyDescent="0.2">
      <c r="A118" s="67">
        <v>6</v>
      </c>
      <c r="B118" s="69" t="s">
        <v>75</v>
      </c>
      <c r="C118" s="67" t="s">
        <v>31</v>
      </c>
      <c r="D118" s="67" t="s">
        <v>8</v>
      </c>
    </row>
    <row r="119" spans="1:4" x14ac:dyDescent="0.2">
      <c r="A119" s="5" t="s">
        <v>9</v>
      </c>
      <c r="B119" s="68" t="s">
        <v>76</v>
      </c>
      <c r="C119" s="12">
        <v>7.3700000000000002E-2</v>
      </c>
      <c r="D119" s="14">
        <f>D136*C119</f>
        <v>1657.7296780000001</v>
      </c>
    </row>
    <row r="120" spans="1:4" x14ac:dyDescent="0.2">
      <c r="A120" s="5" t="s">
        <v>11</v>
      </c>
      <c r="B120" s="68" t="s">
        <v>77</v>
      </c>
      <c r="C120" s="12">
        <v>7.3999999999999996E-2</v>
      </c>
      <c r="D120" s="7">
        <f>(D136+D119)*C120</f>
        <v>1787.1495561720001</v>
      </c>
    </row>
    <row r="121" spans="1:4" x14ac:dyDescent="0.2">
      <c r="A121" s="5" t="s">
        <v>13</v>
      </c>
      <c r="B121" s="68" t="s">
        <v>78</v>
      </c>
      <c r="C121" s="10">
        <f>SUM(C122:C124)</f>
        <v>8.6499999999999994E-2</v>
      </c>
      <c r="D121" s="7">
        <f>(D136+D119+D120)*C121/(1-C121)</f>
        <v>2456.071553098936</v>
      </c>
    </row>
    <row r="122" spans="1:4" x14ac:dyDescent="0.2">
      <c r="A122" s="5"/>
      <c r="B122" s="68" t="s">
        <v>137</v>
      </c>
      <c r="C122" s="12">
        <v>3.6499999999999998E-2</v>
      </c>
      <c r="D122" s="14">
        <f>$D$138*C122</f>
        <v>1036.3769849999999</v>
      </c>
    </row>
    <row r="123" spans="1:4" x14ac:dyDescent="0.2">
      <c r="A123" s="5"/>
      <c r="B123" s="68" t="s">
        <v>135</v>
      </c>
      <c r="C123" s="5"/>
      <c r="D123" s="14">
        <f>$D$138*C123</f>
        <v>0</v>
      </c>
    </row>
    <row r="124" spans="1:4" x14ac:dyDescent="0.2">
      <c r="A124" s="5"/>
      <c r="B124" s="68" t="s">
        <v>136</v>
      </c>
      <c r="C124" s="12">
        <v>0.05</v>
      </c>
      <c r="D124" s="14">
        <f>$D$138*C124</f>
        <v>1419.6945000000001</v>
      </c>
    </row>
    <row r="125" spans="1:4" ht="13.5" customHeight="1" x14ac:dyDescent="0.2">
      <c r="A125" s="239" t="s">
        <v>42</v>
      </c>
      <c r="B125" s="239"/>
      <c r="C125" s="20">
        <f>(1+C120)*(1+C119)/(1-C121)-1</f>
        <v>0.26234679802955685</v>
      </c>
      <c r="D125" s="11">
        <f>SUM(D119:D121)</f>
        <v>5900.9507872709364</v>
      </c>
    </row>
    <row r="128" spans="1:4" x14ac:dyDescent="0.2">
      <c r="A128" s="228" t="s">
        <v>79</v>
      </c>
      <c r="B128" s="228"/>
      <c r="C128" s="228"/>
      <c r="D128" s="228"/>
    </row>
    <row r="130" spans="1:5" ht="12.75" customHeight="1" x14ac:dyDescent="0.2">
      <c r="A130" s="67"/>
      <c r="B130" s="232" t="s">
        <v>80</v>
      </c>
      <c r="C130" s="232"/>
      <c r="D130" s="67" t="s">
        <v>8</v>
      </c>
    </row>
    <row r="131" spans="1:5" ht="12.75" customHeight="1" x14ac:dyDescent="0.2">
      <c r="A131" s="67" t="s">
        <v>9</v>
      </c>
      <c r="B131" s="233" t="s">
        <v>6</v>
      </c>
      <c r="C131" s="233"/>
      <c r="D131" s="21">
        <f>D20</f>
        <v>12422.36</v>
      </c>
    </row>
    <row r="132" spans="1:5" ht="12.75" customHeight="1" x14ac:dyDescent="0.2">
      <c r="A132" s="67" t="s">
        <v>11</v>
      </c>
      <c r="B132" s="233" t="s">
        <v>22</v>
      </c>
      <c r="C132" s="233"/>
      <c r="D132" s="21">
        <f>D62</f>
        <v>7875.72</v>
      </c>
    </row>
    <row r="133" spans="1:5" ht="12.75" customHeight="1" x14ac:dyDescent="0.2">
      <c r="A133" s="67" t="s">
        <v>13</v>
      </c>
      <c r="B133" s="233" t="s">
        <v>50</v>
      </c>
      <c r="C133" s="233"/>
      <c r="D133" s="21">
        <f>D74</f>
        <v>765.18000000000006</v>
      </c>
    </row>
    <row r="134" spans="1:5" ht="12.75" customHeight="1" x14ac:dyDescent="0.2">
      <c r="A134" s="67" t="s">
        <v>15</v>
      </c>
      <c r="B134" s="233" t="s">
        <v>55</v>
      </c>
      <c r="C134" s="233"/>
      <c r="D134" s="21">
        <f>D104</f>
        <v>23.4</v>
      </c>
    </row>
    <row r="135" spans="1:5" ht="12.75" customHeight="1" x14ac:dyDescent="0.2">
      <c r="A135" s="67" t="s">
        <v>17</v>
      </c>
      <c r="B135" s="233" t="s">
        <v>70</v>
      </c>
      <c r="C135" s="233"/>
      <c r="D135" s="21">
        <f>D113</f>
        <v>1406.28</v>
      </c>
    </row>
    <row r="136" spans="1:5" ht="12.75" customHeight="1" x14ac:dyDescent="0.2">
      <c r="A136" s="232" t="s">
        <v>81</v>
      </c>
      <c r="B136" s="232"/>
      <c r="C136" s="232"/>
      <c r="D136" s="22">
        <f>SUM(D131:D135)</f>
        <v>22492.940000000002</v>
      </c>
    </row>
    <row r="137" spans="1:5" ht="12.75" customHeight="1" x14ac:dyDescent="0.2">
      <c r="A137" s="67" t="s">
        <v>37</v>
      </c>
      <c r="B137" s="233" t="s">
        <v>82</v>
      </c>
      <c r="C137" s="233"/>
      <c r="D137" s="23">
        <f>D125</f>
        <v>5900.9507872709364</v>
      </c>
    </row>
    <row r="138" spans="1:5" ht="12.75" customHeight="1" x14ac:dyDescent="0.2">
      <c r="A138" s="232" t="s">
        <v>83</v>
      </c>
      <c r="B138" s="232"/>
      <c r="C138" s="232"/>
      <c r="D138" s="22">
        <f>ROUND(SUM(D136:D137),2)</f>
        <v>28393.89</v>
      </c>
    </row>
    <row r="140" spans="1:5" x14ac:dyDescent="0.2">
      <c r="E140" s="57"/>
    </row>
  </sheetData>
  <mergeCells count="65">
    <mergeCell ref="B16:C16"/>
    <mergeCell ref="A1:D1"/>
    <mergeCell ref="A3:D3"/>
    <mergeCell ref="C5:D5"/>
    <mergeCell ref="C6:D6"/>
    <mergeCell ref="C7:D7"/>
    <mergeCell ref="C8:D8"/>
    <mergeCell ref="A10:D10"/>
    <mergeCell ref="B12:C12"/>
    <mergeCell ref="B13:C13"/>
    <mergeCell ref="B14:C14"/>
    <mergeCell ref="B15:C15"/>
    <mergeCell ref="B49:C49"/>
    <mergeCell ref="B17:C17"/>
    <mergeCell ref="B18:C18"/>
    <mergeCell ref="B19:C19"/>
    <mergeCell ref="A20:C20"/>
    <mergeCell ref="A23:D23"/>
    <mergeCell ref="A25:D25"/>
    <mergeCell ref="B27:C27"/>
    <mergeCell ref="A30:C30"/>
    <mergeCell ref="A33:D33"/>
    <mergeCell ref="A44:B44"/>
    <mergeCell ref="A47:D47"/>
    <mergeCell ref="A62:C62"/>
    <mergeCell ref="B50:C50"/>
    <mergeCell ref="B51:C51"/>
    <mergeCell ref="B52:C52"/>
    <mergeCell ref="A53:C53"/>
    <mergeCell ref="A56:D56"/>
    <mergeCell ref="B58:C58"/>
    <mergeCell ref="B59:C59"/>
    <mergeCell ref="B60:C60"/>
    <mergeCell ref="B61:C61"/>
    <mergeCell ref="A99:D99"/>
    <mergeCell ref="A65:D65"/>
    <mergeCell ref="B67:C67"/>
    <mergeCell ref="A74:C74"/>
    <mergeCell ref="A77:D77"/>
    <mergeCell ref="A80:D80"/>
    <mergeCell ref="B82:C82"/>
    <mergeCell ref="A89:C89"/>
    <mergeCell ref="A92:D92"/>
    <mergeCell ref="B94:C94"/>
    <mergeCell ref="B95:C95"/>
    <mergeCell ref="A96:C96"/>
    <mergeCell ref="B131:C131"/>
    <mergeCell ref="B101:C101"/>
    <mergeCell ref="B102:C102"/>
    <mergeCell ref="B103:C103"/>
    <mergeCell ref="A104:C104"/>
    <mergeCell ref="A107:D107"/>
    <mergeCell ref="B109:C109"/>
    <mergeCell ref="A113:C113"/>
    <mergeCell ref="A116:D116"/>
    <mergeCell ref="A125:B125"/>
    <mergeCell ref="A128:D128"/>
    <mergeCell ref="B130:C130"/>
    <mergeCell ref="A138:C138"/>
    <mergeCell ref="B132:C132"/>
    <mergeCell ref="B133:C133"/>
    <mergeCell ref="B134:C134"/>
    <mergeCell ref="B135:C135"/>
    <mergeCell ref="A136:C136"/>
    <mergeCell ref="B137:C137"/>
  </mergeCells>
  <pageMargins left="0.51180555555555496" right="0.51180555555555496" top="0.78749999999999998" bottom="0.78749999999999998" header="0.51180555555555496" footer="0.51180555555555496"/>
  <pageSetup paperSize="9" scale="88" firstPageNumber="0" fitToHeight="0" orientation="portrait" r:id="rId1"/>
  <rowBreaks count="2" manualBreakCount="2">
    <brk id="62" max="16383" man="1"/>
    <brk id="125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/>
  </sheetViews>
  <sheetFormatPr defaultRowHeight="15" x14ac:dyDescent="0.25"/>
  <cols>
    <col min="1" max="1" width="30.83203125" style="162" customWidth="1"/>
    <col min="2" max="3" width="20.83203125" style="162" customWidth="1"/>
    <col min="4" max="16384" width="9.33203125" style="162"/>
  </cols>
  <sheetData>
    <row r="1" spans="1:3" x14ac:dyDescent="0.25">
      <c r="A1" s="170" t="s">
        <v>179</v>
      </c>
    </row>
    <row r="3" spans="1:3" x14ac:dyDescent="0.25">
      <c r="A3" s="163" t="s">
        <v>162</v>
      </c>
      <c r="B3" s="164"/>
      <c r="C3" s="166">
        <v>11422.77</v>
      </c>
    </row>
    <row r="4" spans="1:3" x14ac:dyDescent="0.25">
      <c r="A4" s="163" t="s">
        <v>170</v>
      </c>
      <c r="B4" s="165">
        <f>arqeng!C125</f>
        <v>0.26234679802955685</v>
      </c>
      <c r="C4" s="166">
        <f>ROUND(C3*B4,2)</f>
        <v>2996.73</v>
      </c>
    </row>
    <row r="5" spans="1:3" x14ac:dyDescent="0.25">
      <c r="A5" s="167" t="s">
        <v>191</v>
      </c>
      <c r="B5" s="168"/>
      <c r="C5" s="169">
        <f>SUM(C3:C4)</f>
        <v>14419.5</v>
      </c>
    </row>
    <row r="6" spans="1:3" x14ac:dyDescent="0.25">
      <c r="A6" s="174" t="s">
        <v>160</v>
      </c>
    </row>
    <row r="7" spans="1:3" x14ac:dyDescent="0.25">
      <c r="A7" s="174" t="s">
        <v>163</v>
      </c>
    </row>
  </sheetData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C18" sqref="C18"/>
    </sheetView>
  </sheetViews>
  <sheetFormatPr defaultRowHeight="15" x14ac:dyDescent="0.25"/>
  <cols>
    <col min="1" max="1" width="30.83203125" style="162" customWidth="1"/>
    <col min="2" max="2" width="12.83203125" style="162" customWidth="1"/>
    <col min="3" max="3" width="15.83203125" style="201" customWidth="1"/>
    <col min="4" max="16384" width="9.33203125" style="162"/>
  </cols>
  <sheetData>
    <row r="1" spans="1:3" x14ac:dyDescent="0.25">
      <c r="A1" s="170" t="s">
        <v>176</v>
      </c>
    </row>
    <row r="2" spans="1:3" x14ac:dyDescent="0.25">
      <c r="A2" s="162" t="s">
        <v>172</v>
      </c>
    </row>
    <row r="3" spans="1:3" x14ac:dyDescent="0.25">
      <c r="A3" s="163" t="s">
        <v>183</v>
      </c>
      <c r="B3" s="164"/>
      <c r="C3" s="166">
        <f>135.2</f>
        <v>135.19999999999999</v>
      </c>
    </row>
    <row r="4" spans="1:3" x14ac:dyDescent="0.25">
      <c r="A4" s="203" t="s">
        <v>178</v>
      </c>
      <c r="B4" s="204">
        <v>6.7599999999999993E-2</v>
      </c>
      <c r="C4" s="205">
        <f>ROUND(C3*B4,2)</f>
        <v>9.14</v>
      </c>
    </row>
    <row r="5" spans="1:3" x14ac:dyDescent="0.25">
      <c r="A5" s="163" t="s">
        <v>175</v>
      </c>
      <c r="B5" s="202"/>
      <c r="C5" s="166">
        <f>C3-C4</f>
        <v>126.05999999999999</v>
      </c>
    </row>
    <row r="6" spans="1:3" x14ac:dyDescent="0.25">
      <c r="A6" s="163" t="s">
        <v>170</v>
      </c>
      <c r="B6" s="165">
        <f>arqeng!C125</f>
        <v>0.26234679802955685</v>
      </c>
      <c r="C6" s="166">
        <f>ROUND(C5*B6,2)</f>
        <v>33.07</v>
      </c>
    </row>
    <row r="7" spans="1:3" x14ac:dyDescent="0.25">
      <c r="A7" s="163" t="s">
        <v>173</v>
      </c>
      <c r="B7" s="164"/>
      <c r="C7" s="169">
        <f>SUM(C5:C6)</f>
        <v>159.13</v>
      </c>
    </row>
    <row r="8" spans="1:3" x14ac:dyDescent="0.25">
      <c r="A8" s="163" t="s">
        <v>174</v>
      </c>
      <c r="B8" s="164">
        <v>400</v>
      </c>
      <c r="C8" s="169">
        <f>C7*B8</f>
        <v>63652</v>
      </c>
    </row>
    <row r="11" spans="1:3" x14ac:dyDescent="0.25">
      <c r="A11" s="170" t="s">
        <v>177</v>
      </c>
    </row>
    <row r="12" spans="1:3" x14ac:dyDescent="0.25">
      <c r="A12" s="162" t="s">
        <v>172</v>
      </c>
    </row>
    <row r="13" spans="1:3" x14ac:dyDescent="0.25">
      <c r="A13" s="163" t="s">
        <v>183</v>
      </c>
      <c r="B13" s="164"/>
      <c r="C13" s="166">
        <f>135.2</f>
        <v>135.19999999999999</v>
      </c>
    </row>
    <row r="14" spans="1:3" x14ac:dyDescent="0.25">
      <c r="A14" s="203" t="s">
        <v>178</v>
      </c>
      <c r="B14" s="204">
        <v>6.7599999999999993E-2</v>
      </c>
      <c r="C14" s="205">
        <f>ROUND(C13*B14,2)</f>
        <v>9.14</v>
      </c>
    </row>
    <row r="15" spans="1:3" x14ac:dyDescent="0.25">
      <c r="A15" s="163" t="s">
        <v>175</v>
      </c>
      <c r="B15" s="202"/>
      <c r="C15" s="166">
        <f>C13-C14</f>
        <v>126.05999999999999</v>
      </c>
    </row>
    <row r="16" spans="1:3" x14ac:dyDescent="0.25">
      <c r="A16" s="163" t="s">
        <v>170</v>
      </c>
      <c r="B16" s="165">
        <f>arqeng!C125</f>
        <v>0.26234679802955685</v>
      </c>
      <c r="C16" s="166">
        <f>ROUND(C15*B16,2)</f>
        <v>33.07</v>
      </c>
    </row>
    <row r="17" spans="1:3" x14ac:dyDescent="0.25">
      <c r="A17" s="163" t="s">
        <v>173</v>
      </c>
      <c r="B17" s="164"/>
      <c r="C17" s="169">
        <f>SUM(C15:C16)</f>
        <v>159.13</v>
      </c>
    </row>
    <row r="18" spans="1:3" x14ac:dyDescent="0.25">
      <c r="A18" s="163" t="s">
        <v>174</v>
      </c>
      <c r="B18" s="164">
        <v>400</v>
      </c>
      <c r="C18" s="169">
        <f>C17*B18</f>
        <v>63652</v>
      </c>
    </row>
    <row r="20" spans="1:3" x14ac:dyDescent="0.25">
      <c r="A20" s="174" t="s">
        <v>182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zoomScaleNormal="100" workbookViewId="0">
      <selection activeCell="E6" sqref="E6"/>
    </sheetView>
  </sheetViews>
  <sheetFormatPr defaultColWidth="8.6640625" defaultRowHeight="12.75" x14ac:dyDescent="0.2"/>
  <cols>
    <col min="1" max="1" width="13.83203125" customWidth="1"/>
    <col min="2" max="2" width="16.6640625" customWidth="1"/>
    <col min="3" max="3" width="10.6640625" customWidth="1"/>
    <col min="4" max="4" width="10.83203125" customWidth="1"/>
    <col min="5" max="8" width="15.83203125" customWidth="1"/>
  </cols>
  <sheetData>
    <row r="1" spans="1:8" ht="14.25" x14ac:dyDescent="0.2">
      <c r="A1" s="171" t="s">
        <v>180</v>
      </c>
      <c r="B1" s="171"/>
      <c r="C1" s="171"/>
      <c r="D1" s="171"/>
      <c r="E1" s="171"/>
      <c r="F1" s="171"/>
      <c r="G1" s="171"/>
      <c r="H1" s="171"/>
    </row>
    <row r="2" spans="1:8" x14ac:dyDescent="0.2">
      <c r="A2" s="174" t="s">
        <v>160</v>
      </c>
    </row>
    <row r="4" spans="1:8" ht="12.75" customHeight="1" x14ac:dyDescent="0.2">
      <c r="A4" s="243" t="s">
        <v>84</v>
      </c>
      <c r="B4" s="245" t="s">
        <v>85</v>
      </c>
      <c r="C4" s="245" t="s">
        <v>86</v>
      </c>
      <c r="D4" s="245"/>
      <c r="E4" s="246" t="s">
        <v>87</v>
      </c>
      <c r="F4" s="246"/>
      <c r="G4" s="246" t="s">
        <v>88</v>
      </c>
      <c r="H4" s="246"/>
    </row>
    <row r="5" spans="1:8" s="206" customFormat="1" ht="25.5" x14ac:dyDescent="0.2">
      <c r="A5" s="244"/>
      <c r="B5" s="245"/>
      <c r="C5" s="186" t="s">
        <v>89</v>
      </c>
      <c r="D5" s="186" t="s">
        <v>90</v>
      </c>
      <c r="E5" s="24" t="s">
        <v>89</v>
      </c>
      <c r="F5" s="24" t="s">
        <v>90</v>
      </c>
      <c r="G5" s="24" t="s">
        <v>89</v>
      </c>
      <c r="H5" s="24" t="s">
        <v>90</v>
      </c>
    </row>
    <row r="6" spans="1:8" ht="30" customHeight="1" x14ac:dyDescent="0.2">
      <c r="A6" s="25" t="s">
        <v>91</v>
      </c>
      <c r="B6" s="26">
        <f>arqeng!D20</f>
        <v>12422.36</v>
      </c>
      <c r="C6" s="61">
        <v>2</v>
      </c>
      <c r="D6" s="27">
        <v>1</v>
      </c>
      <c r="E6" s="70">
        <f>ROUND(($B$6*(1+arqeng!$C$44)*(1+arqeng!$C$125)/200)*1.5,2)</f>
        <v>160.88999999999999</v>
      </c>
      <c r="F6" s="70">
        <f>ROUND(($B$6*(1+arqeng!$C$44)*(1+arqeng!$C$125)/200)*2,2)</f>
        <v>214.52</v>
      </c>
      <c r="G6" s="71">
        <f>C6*E6</f>
        <v>321.77999999999997</v>
      </c>
      <c r="H6" s="70">
        <f>D6*F6</f>
        <v>214.52</v>
      </c>
    </row>
    <row r="7" spans="1:8" x14ac:dyDescent="0.2">
      <c r="G7" s="28">
        <f>SUM(G6:G6)</f>
        <v>321.77999999999997</v>
      </c>
      <c r="H7" s="28">
        <f>SUM(H6:H6)</f>
        <v>214.52</v>
      </c>
    </row>
    <row r="8" spans="1:8" x14ac:dyDescent="0.2">
      <c r="E8" s="240" t="s">
        <v>92</v>
      </c>
      <c r="F8" s="240"/>
      <c r="G8" s="241">
        <f>(G7+H7)*9</f>
        <v>4826.7</v>
      </c>
      <c r="H8" s="241"/>
    </row>
    <row r="9" spans="1:8" x14ac:dyDescent="0.2">
      <c r="D9" s="246" t="s">
        <v>171</v>
      </c>
      <c r="E9" s="246"/>
      <c r="F9" s="246"/>
      <c r="G9" s="242">
        <f>G8*24</f>
        <v>115840.79999999999</v>
      </c>
      <c r="H9" s="242"/>
    </row>
    <row r="11" spans="1:8" x14ac:dyDescent="0.2">
      <c r="H11" s="59"/>
    </row>
  </sheetData>
  <mergeCells count="9">
    <mergeCell ref="E8:F8"/>
    <mergeCell ref="G8:H8"/>
    <mergeCell ref="G9:H9"/>
    <mergeCell ref="A4:A5"/>
    <mergeCell ref="B4:B5"/>
    <mergeCell ref="C4:D4"/>
    <mergeCell ref="E4:F4"/>
    <mergeCell ref="G4:H4"/>
    <mergeCell ref="D9:F9"/>
  </mergeCells>
  <pageMargins left="0.51180555555555496" right="0.51180555555555496" top="0.78749999999999998" bottom="0.78749999999999998" header="0.51180555555555496" footer="0.51180555555555496"/>
  <pageSetup paperSize="9" scale="90" firstPageNumber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8"/>
  <sheetViews>
    <sheetView zoomScaleNormal="100" workbookViewId="0">
      <selection activeCell="F21" sqref="F21"/>
    </sheetView>
  </sheetViews>
  <sheetFormatPr defaultColWidth="9.33203125" defaultRowHeight="12.75" x14ac:dyDescent="0.2"/>
  <cols>
    <col min="1" max="1" width="40.83203125" style="72" customWidth="1"/>
    <col min="2" max="2" width="30.83203125" style="72" customWidth="1"/>
    <col min="3" max="3" width="11.83203125" style="72" customWidth="1"/>
    <col min="4" max="5" width="9.33203125" style="72"/>
    <col min="6" max="6" width="15.33203125" style="72" customWidth="1"/>
    <col min="7" max="1024" width="9.33203125" style="72"/>
    <col min="1025" max="16384" width="9.33203125" style="73"/>
  </cols>
  <sheetData>
    <row r="1" spans="1:3" ht="24" customHeight="1" x14ac:dyDescent="0.25">
      <c r="A1" s="210" t="s">
        <v>168</v>
      </c>
      <c r="B1" s="209"/>
    </row>
    <row r="2" spans="1:3" ht="18.75" x14ac:dyDescent="0.3">
      <c r="A2" s="180" t="s">
        <v>161</v>
      </c>
      <c r="B2" s="175"/>
    </row>
    <row r="3" spans="1:3" s="178" customFormat="1" ht="18" customHeight="1" x14ac:dyDescent="0.2">
      <c r="A3" s="176" t="s">
        <v>129</v>
      </c>
      <c r="B3" s="177">
        <f>'Deslocamento 1 município'!R39</f>
        <v>1191.8160874758171</v>
      </c>
    </row>
    <row r="4" spans="1:3" s="178" customFormat="1" ht="18" customHeight="1" x14ac:dyDescent="0.2">
      <c r="A4" s="176" t="s">
        <v>130</v>
      </c>
      <c r="B4" s="177">
        <f>'Deslocamento 2 municípios'!R47</f>
        <v>1235.3003025519213</v>
      </c>
    </row>
    <row r="5" spans="1:3" s="178" customFormat="1" ht="18" customHeight="1" x14ac:dyDescent="0.2">
      <c r="A5" s="176" t="s">
        <v>131</v>
      </c>
      <c r="B5" s="177">
        <f>'Deslocamento 3 municípios'!R44</f>
        <v>1221.8373022621058</v>
      </c>
    </row>
    <row r="6" spans="1:3" s="178" customFormat="1" ht="18" customHeight="1" x14ac:dyDescent="0.2">
      <c r="A6" s="176" t="s">
        <v>132</v>
      </c>
      <c r="B6" s="177">
        <f>'Deslocamento 4 municípios'!R40</f>
        <v>1206.2861139406727</v>
      </c>
    </row>
    <row r="7" spans="1:3" s="178" customFormat="1" ht="18" customHeight="1" x14ac:dyDescent="0.2">
      <c r="A7" s="176" t="s">
        <v>133</v>
      </c>
      <c r="B7" s="177">
        <f>'Deslocamento 5 municípios'!R37</f>
        <v>1190.1586443001479</v>
      </c>
    </row>
    <row r="8" spans="1:3" s="178" customFormat="1" ht="48" customHeight="1" x14ac:dyDescent="0.2">
      <c r="A8" s="207" t="s">
        <v>181</v>
      </c>
      <c r="B8" s="208">
        <f>ROUND(AVERAGE(B3:B7),2)</f>
        <v>1209.08</v>
      </c>
      <c r="C8" s="179"/>
    </row>
  </sheetData>
  <pageMargins left="0.51180555555555496" right="0.51180555555555496" top="0.78749999999999998" bottom="0.78749999999999998" header="0.51180555555555496" footer="0.51180555555555496"/>
  <pageSetup paperSize="9" firstPageNumber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R51"/>
  <sheetViews>
    <sheetView zoomScaleNormal="100" workbookViewId="0">
      <selection activeCell="J7" sqref="J7"/>
    </sheetView>
  </sheetViews>
  <sheetFormatPr defaultColWidth="10" defaultRowHeight="12.75" x14ac:dyDescent="0.2"/>
  <cols>
    <col min="1" max="9" width="15.83203125" style="29" customWidth="1"/>
    <col min="10" max="10" width="15.83203125" style="90" customWidth="1"/>
    <col min="11" max="13" width="15.83203125" style="29" customWidth="1"/>
    <col min="14" max="14" width="15.83203125" style="117" customWidth="1"/>
    <col min="15" max="17" width="15.83203125" style="29" customWidth="1"/>
    <col min="18" max="18" width="15.83203125" style="117" customWidth="1"/>
    <col min="19" max="1006" width="10" style="29"/>
  </cols>
  <sheetData>
    <row r="1" spans="1:19" ht="15.75" x14ac:dyDescent="0.25">
      <c r="A1" s="160" t="s">
        <v>165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19"/>
      <c r="S1" s="78"/>
    </row>
    <row r="2" spans="1:19" x14ac:dyDescent="0.2">
      <c r="A2" s="161" t="s">
        <v>143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19"/>
      <c r="S2" s="78"/>
    </row>
    <row r="3" spans="1:19" x14ac:dyDescent="0.2">
      <c r="A3" s="184"/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119"/>
      <c r="O3" s="92"/>
      <c r="P3" s="78"/>
      <c r="Q3" s="78"/>
      <c r="R3" s="73"/>
      <c r="S3" s="78"/>
    </row>
    <row r="4" spans="1:19" s="38" customFormat="1" ht="11.25" x14ac:dyDescent="0.2">
      <c r="A4" s="53" t="s">
        <v>123</v>
      </c>
      <c r="B4" s="77"/>
      <c r="C4" s="77"/>
      <c r="D4" s="77"/>
      <c r="E4" s="77"/>
      <c r="F4" s="77"/>
      <c r="G4" s="93"/>
      <c r="H4" s="93"/>
      <c r="I4" s="93"/>
      <c r="J4" s="93"/>
      <c r="K4" s="93"/>
      <c r="L4" s="94"/>
      <c r="M4" s="94"/>
      <c r="N4" s="121"/>
      <c r="O4" s="94"/>
      <c r="P4" s="91"/>
      <c r="Q4" s="91"/>
      <c r="R4" s="151"/>
      <c r="S4" s="94"/>
    </row>
    <row r="5" spans="1:19" x14ac:dyDescent="0.2">
      <c r="A5" s="80" t="s">
        <v>93</v>
      </c>
      <c r="B5" s="79"/>
      <c r="C5" s="79"/>
      <c r="D5" s="79"/>
      <c r="E5" s="115"/>
      <c r="F5" s="122">
        <v>80</v>
      </c>
      <c r="G5" s="78"/>
      <c r="H5" s="78"/>
      <c r="I5" s="78"/>
      <c r="J5" s="78"/>
      <c r="K5" s="78"/>
      <c r="L5" s="78"/>
      <c r="M5" s="78"/>
      <c r="N5" s="116"/>
      <c r="O5" s="78"/>
      <c r="P5" s="78"/>
      <c r="Q5" s="78"/>
      <c r="R5" s="73"/>
      <c r="S5" s="78"/>
    </row>
    <row r="6" spans="1:19" x14ac:dyDescent="0.2">
      <c r="A6" s="80" t="s">
        <v>94</v>
      </c>
      <c r="B6" s="79"/>
      <c r="C6" s="79"/>
      <c r="D6" s="79"/>
      <c r="E6" s="115"/>
      <c r="F6" s="122">
        <v>4</v>
      </c>
      <c r="G6" s="78"/>
      <c r="H6" s="78"/>
      <c r="I6" s="78"/>
      <c r="J6" s="78"/>
      <c r="K6" s="78"/>
      <c r="L6" s="78"/>
      <c r="M6" s="78"/>
      <c r="N6" s="116"/>
      <c r="O6" s="78"/>
      <c r="P6" s="78"/>
      <c r="Q6" s="78"/>
      <c r="R6" s="73"/>
      <c r="S6" s="78"/>
    </row>
    <row r="7" spans="1:19" x14ac:dyDescent="0.2">
      <c r="A7" s="192" t="s">
        <v>95</v>
      </c>
      <c r="B7" s="193"/>
      <c r="C7" s="193"/>
      <c r="D7" s="193"/>
      <c r="E7" s="194"/>
      <c r="F7" s="187">
        <v>142</v>
      </c>
      <c r="G7" s="78"/>
      <c r="H7" s="78"/>
      <c r="I7" s="78"/>
      <c r="J7" s="78"/>
      <c r="K7" s="78"/>
      <c r="L7" s="78"/>
      <c r="M7" s="78"/>
      <c r="N7" s="116"/>
      <c r="O7" s="78"/>
      <c r="P7" s="78"/>
      <c r="Q7" s="78"/>
      <c r="R7" s="73"/>
      <c r="S7" s="78"/>
    </row>
    <row r="8" spans="1:19" x14ac:dyDescent="0.2">
      <c r="A8" s="195" t="s">
        <v>96</v>
      </c>
      <c r="B8" s="196"/>
      <c r="C8" s="196"/>
      <c r="D8" s="196"/>
      <c r="E8" s="197"/>
      <c r="F8" s="95" t="s">
        <v>97</v>
      </c>
      <c r="G8" s="78"/>
      <c r="H8" s="78"/>
      <c r="I8" s="78"/>
      <c r="J8" s="78"/>
      <c r="K8" s="78"/>
      <c r="L8" s="78"/>
      <c r="M8" s="78"/>
      <c r="N8" s="116"/>
      <c r="O8" s="78"/>
      <c r="P8" s="78"/>
      <c r="Q8" s="78"/>
      <c r="R8" s="73"/>
      <c r="S8" s="78"/>
    </row>
    <row r="9" spans="1:19" x14ac:dyDescent="0.2">
      <c r="A9" s="192" t="s">
        <v>98</v>
      </c>
      <c r="B9" s="193"/>
      <c r="C9" s="193"/>
      <c r="D9" s="193"/>
      <c r="E9" s="194"/>
      <c r="F9" s="189">
        <v>6.13</v>
      </c>
      <c r="G9" s="78"/>
      <c r="H9" s="78"/>
      <c r="I9" s="78"/>
      <c r="J9" s="78"/>
      <c r="K9" s="78"/>
      <c r="L9" s="78"/>
      <c r="M9" s="78"/>
      <c r="N9" s="116"/>
      <c r="O9" s="78"/>
      <c r="P9" s="78"/>
      <c r="Q9" s="78"/>
      <c r="R9" s="73"/>
      <c r="S9" s="78"/>
    </row>
    <row r="10" spans="1:19" x14ac:dyDescent="0.2">
      <c r="A10" s="195" t="s">
        <v>99</v>
      </c>
      <c r="B10" s="196"/>
      <c r="C10" s="196"/>
      <c r="D10" s="196"/>
      <c r="E10" s="197"/>
      <c r="F10" s="122">
        <v>10</v>
      </c>
      <c r="G10" s="78"/>
      <c r="H10" s="78"/>
      <c r="I10" s="78"/>
      <c r="J10" s="78"/>
      <c r="K10" s="78"/>
      <c r="L10" s="78"/>
      <c r="M10" s="78"/>
      <c r="N10" s="116"/>
      <c r="O10" s="78"/>
      <c r="P10" s="78"/>
      <c r="Q10" s="78"/>
      <c r="R10" s="73"/>
      <c r="S10" s="78"/>
    </row>
    <row r="11" spans="1:19" x14ac:dyDescent="0.2">
      <c r="A11" s="192" t="s">
        <v>100</v>
      </c>
      <c r="B11" s="193"/>
      <c r="C11" s="193"/>
      <c r="D11" s="193"/>
      <c r="E11" s="194"/>
      <c r="F11" s="191">
        <v>249</v>
      </c>
      <c r="G11" s="78"/>
      <c r="H11" s="78"/>
      <c r="I11" s="78"/>
      <c r="J11" s="78"/>
      <c r="K11" s="78"/>
      <c r="L11" s="78"/>
      <c r="M11" s="78"/>
      <c r="N11" s="116"/>
      <c r="O11" s="78"/>
      <c r="P11" s="78"/>
      <c r="Q11" s="78"/>
      <c r="R11" s="73"/>
      <c r="S11" s="78"/>
    </row>
    <row r="12" spans="1:19" x14ac:dyDescent="0.2">
      <c r="A12" s="247" t="s">
        <v>164</v>
      </c>
      <c r="B12" s="248"/>
      <c r="C12" s="248"/>
      <c r="D12" s="248"/>
      <c r="E12" s="249"/>
      <c r="F12" s="181">
        <v>21.79</v>
      </c>
      <c r="G12" s="78"/>
      <c r="H12" s="78"/>
      <c r="I12" s="78"/>
      <c r="J12" s="78"/>
      <c r="K12" s="78"/>
      <c r="L12" s="78"/>
      <c r="M12" s="78"/>
      <c r="N12" s="116"/>
      <c r="O12" s="78"/>
      <c r="P12" s="96"/>
      <c r="Q12" s="78"/>
      <c r="R12" s="73"/>
      <c r="S12" s="78"/>
    </row>
    <row r="13" spans="1:19" x14ac:dyDescent="0.2">
      <c r="A13" s="185" t="s">
        <v>167</v>
      </c>
      <c r="B13" s="97"/>
      <c r="C13" s="97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116"/>
      <c r="O13" s="78"/>
      <c r="P13" s="78"/>
      <c r="Q13" s="78"/>
      <c r="R13" s="73"/>
      <c r="S13" s="78"/>
    </row>
    <row r="14" spans="1:19" s="40" customFormat="1" ht="90" x14ac:dyDescent="0.2">
      <c r="A14" s="131" t="s">
        <v>101</v>
      </c>
      <c r="B14" s="131" t="s">
        <v>144</v>
      </c>
      <c r="C14" s="131" t="s">
        <v>102</v>
      </c>
      <c r="D14" s="133" t="s">
        <v>103</v>
      </c>
      <c r="E14" s="145" t="s">
        <v>145</v>
      </c>
      <c r="F14" s="135" t="s">
        <v>104</v>
      </c>
      <c r="G14" s="136" t="s">
        <v>105</v>
      </c>
      <c r="H14" s="136" t="s">
        <v>106</v>
      </c>
      <c r="I14" s="136" t="s">
        <v>107</v>
      </c>
      <c r="J14" s="136" t="s">
        <v>146</v>
      </c>
      <c r="K14" s="131" t="s">
        <v>108</v>
      </c>
      <c r="L14" s="131" t="s">
        <v>109</v>
      </c>
      <c r="M14" s="159" t="s">
        <v>154</v>
      </c>
      <c r="N14" s="131" t="s">
        <v>155</v>
      </c>
      <c r="O14" s="131" t="s">
        <v>110</v>
      </c>
      <c r="P14" s="137" t="s">
        <v>169</v>
      </c>
      <c r="Q14" s="131" t="s">
        <v>147</v>
      </c>
      <c r="R14" s="152" t="s">
        <v>112</v>
      </c>
      <c r="S14" s="98"/>
    </row>
    <row r="15" spans="1:19" s="41" customFormat="1" ht="11.25" x14ac:dyDescent="0.2">
      <c r="A15" s="138" t="s">
        <v>113</v>
      </c>
      <c r="B15" s="138" t="s">
        <v>113</v>
      </c>
      <c r="C15" s="138" t="s">
        <v>114</v>
      </c>
      <c r="D15" s="139" t="s">
        <v>115</v>
      </c>
      <c r="E15" s="140" t="s">
        <v>115</v>
      </c>
      <c r="F15" s="141" t="s">
        <v>115</v>
      </c>
      <c r="G15" s="139" t="s">
        <v>116</v>
      </c>
      <c r="H15" s="139" t="s">
        <v>117</v>
      </c>
      <c r="I15" s="138" t="s">
        <v>117</v>
      </c>
      <c r="J15" s="138"/>
      <c r="K15" s="138" t="s">
        <v>118</v>
      </c>
      <c r="L15" s="138" t="s">
        <v>118</v>
      </c>
      <c r="M15" s="138" t="s">
        <v>118</v>
      </c>
      <c r="N15" s="138" t="s">
        <v>118</v>
      </c>
      <c r="O15" s="138" t="s">
        <v>118</v>
      </c>
      <c r="P15" s="142">
        <f>+arqeng!C125</f>
        <v>0.26234679802955685</v>
      </c>
      <c r="Q15" s="138" t="s">
        <v>118</v>
      </c>
      <c r="R15" s="138" t="s">
        <v>118</v>
      </c>
      <c r="S15" s="99"/>
    </row>
    <row r="16" spans="1:19" s="41" customFormat="1" ht="11.25" x14ac:dyDescent="0.2">
      <c r="A16" s="143">
        <v>100</v>
      </c>
      <c r="B16" s="100">
        <v>20</v>
      </c>
      <c r="C16" s="101">
        <f>(A16+B16)/$F$10</f>
        <v>12</v>
      </c>
      <c r="D16" s="102">
        <f>+(A16+B16)/$F$5</f>
        <v>1.5</v>
      </c>
      <c r="E16" s="103">
        <v>4</v>
      </c>
      <c r="F16" s="104">
        <f>+D16+E16</f>
        <v>5.5</v>
      </c>
      <c r="G16" s="105">
        <f>+F16/9</f>
        <v>0.61111111111111116</v>
      </c>
      <c r="H16" s="106">
        <f>ROUNDUP(G16,0)</f>
        <v>1</v>
      </c>
      <c r="I16" s="123">
        <f>+H16-0.5</f>
        <v>0.5</v>
      </c>
      <c r="J16" s="123">
        <v>2</v>
      </c>
      <c r="K16" s="124">
        <f>+C16*$F$9</f>
        <v>73.56</v>
      </c>
      <c r="L16" s="125">
        <f>+H16*$F$7</f>
        <v>142</v>
      </c>
      <c r="M16" s="125">
        <f>+I16*J16*$F$11</f>
        <v>249</v>
      </c>
      <c r="N16" s="125">
        <f>+(ROUNDUP(F16,0))*$F$12</f>
        <v>130.74</v>
      </c>
      <c r="O16" s="126">
        <f>+K16+L16+M16+N16</f>
        <v>595.29999999999995</v>
      </c>
      <c r="P16" s="124">
        <f>+O16*$P$15</f>
        <v>156.17504886699518</v>
      </c>
      <c r="Q16" s="144">
        <f t="shared" ref="Q16:Q37" si="0">+O16+P16</f>
        <v>751.47504886699517</v>
      </c>
      <c r="R16" s="153">
        <f t="shared" ref="R16:R30" si="1">+Q16/H16</f>
        <v>751.47504886699517</v>
      </c>
      <c r="S16" s="107"/>
    </row>
    <row r="17" spans="1:19" s="41" customFormat="1" ht="11.25" x14ac:dyDescent="0.2">
      <c r="A17" s="143">
        <v>200</v>
      </c>
      <c r="B17" s="100">
        <v>20</v>
      </c>
      <c r="C17" s="101">
        <f t="shared" ref="C17:C37" si="2">(A17+B17)/$F$10</f>
        <v>22</v>
      </c>
      <c r="D17" s="102">
        <f t="shared" ref="D17:D37" si="3">+(A17+B17)/$F$5</f>
        <v>2.75</v>
      </c>
      <c r="E17" s="103">
        <v>4</v>
      </c>
      <c r="F17" s="104">
        <f t="shared" ref="F17:F37" si="4">+D17+E17</f>
        <v>6.75</v>
      </c>
      <c r="G17" s="105">
        <f t="shared" ref="G17:G37" si="5">+F17/9</f>
        <v>0.75</v>
      </c>
      <c r="H17" s="106">
        <f t="shared" ref="H17:H37" si="6">ROUNDUP(G17,0)</f>
        <v>1</v>
      </c>
      <c r="I17" s="123">
        <f t="shared" ref="I17:I37" si="7">+H17-0.5</f>
        <v>0.5</v>
      </c>
      <c r="J17" s="123">
        <v>2</v>
      </c>
      <c r="K17" s="124">
        <f t="shared" ref="K17:K37" si="8">+C17*$F$9</f>
        <v>134.85999999999999</v>
      </c>
      <c r="L17" s="125">
        <f t="shared" ref="L17:L37" si="9">+H17*$F$7</f>
        <v>142</v>
      </c>
      <c r="M17" s="125">
        <f t="shared" ref="M17:M37" si="10">+I17*J17*$F$11</f>
        <v>249</v>
      </c>
      <c r="N17" s="125">
        <f t="shared" ref="N17:N37" si="11">+(ROUNDUP(F17,0))*$F$12</f>
        <v>152.53</v>
      </c>
      <c r="O17" s="126">
        <f t="shared" ref="O17:O37" si="12">+K17+L17+M17+N17</f>
        <v>678.39</v>
      </c>
      <c r="P17" s="124">
        <f t="shared" ref="P17:P37" si="13">+O17*$P$15</f>
        <v>177.97344431527108</v>
      </c>
      <c r="Q17" s="144">
        <f t="shared" si="0"/>
        <v>856.36344431527107</v>
      </c>
      <c r="R17" s="153">
        <f t="shared" si="1"/>
        <v>856.36344431527107</v>
      </c>
      <c r="S17" s="107"/>
    </row>
    <row r="18" spans="1:19" s="40" customFormat="1" ht="11.25" x14ac:dyDescent="0.2">
      <c r="A18" s="143">
        <v>300</v>
      </c>
      <c r="B18" s="100">
        <v>20</v>
      </c>
      <c r="C18" s="101">
        <f t="shared" si="2"/>
        <v>32</v>
      </c>
      <c r="D18" s="102">
        <f t="shared" si="3"/>
        <v>4</v>
      </c>
      <c r="E18" s="103">
        <v>4</v>
      </c>
      <c r="F18" s="104">
        <f t="shared" si="4"/>
        <v>8</v>
      </c>
      <c r="G18" s="105">
        <f t="shared" si="5"/>
        <v>0.88888888888888884</v>
      </c>
      <c r="H18" s="106">
        <f t="shared" si="6"/>
        <v>1</v>
      </c>
      <c r="I18" s="123">
        <f t="shared" si="7"/>
        <v>0.5</v>
      </c>
      <c r="J18" s="123">
        <v>2</v>
      </c>
      <c r="K18" s="124">
        <f t="shared" si="8"/>
        <v>196.16</v>
      </c>
      <c r="L18" s="125">
        <f t="shared" si="9"/>
        <v>142</v>
      </c>
      <c r="M18" s="125">
        <f t="shared" si="10"/>
        <v>249</v>
      </c>
      <c r="N18" s="125">
        <f t="shared" si="11"/>
        <v>174.32</v>
      </c>
      <c r="O18" s="126">
        <f t="shared" si="12"/>
        <v>761.48</v>
      </c>
      <c r="P18" s="124">
        <f t="shared" si="13"/>
        <v>199.77183976354695</v>
      </c>
      <c r="Q18" s="144">
        <f t="shared" si="0"/>
        <v>961.25183976354697</v>
      </c>
      <c r="R18" s="153">
        <f t="shared" si="1"/>
        <v>961.25183976354697</v>
      </c>
      <c r="S18" s="108"/>
    </row>
    <row r="19" spans="1:19" s="40" customFormat="1" ht="11.25" x14ac:dyDescent="0.2">
      <c r="A19" s="143">
        <v>400</v>
      </c>
      <c r="B19" s="100">
        <v>20</v>
      </c>
      <c r="C19" s="101">
        <f t="shared" si="2"/>
        <v>42</v>
      </c>
      <c r="D19" s="102">
        <f t="shared" si="3"/>
        <v>5.25</v>
      </c>
      <c r="E19" s="103">
        <v>4</v>
      </c>
      <c r="F19" s="104">
        <f t="shared" si="4"/>
        <v>9.25</v>
      </c>
      <c r="G19" s="105">
        <f t="shared" si="5"/>
        <v>1.0277777777777777</v>
      </c>
      <c r="H19" s="106">
        <f t="shared" si="6"/>
        <v>2</v>
      </c>
      <c r="I19" s="123">
        <f t="shared" si="7"/>
        <v>1.5</v>
      </c>
      <c r="J19" s="123">
        <v>2</v>
      </c>
      <c r="K19" s="124">
        <f t="shared" si="8"/>
        <v>257.45999999999998</v>
      </c>
      <c r="L19" s="125">
        <f t="shared" si="9"/>
        <v>284</v>
      </c>
      <c r="M19" s="125">
        <f t="shared" si="10"/>
        <v>747</v>
      </c>
      <c r="N19" s="125">
        <f t="shared" si="11"/>
        <v>217.89999999999998</v>
      </c>
      <c r="O19" s="126">
        <f t="shared" si="12"/>
        <v>1506.3600000000001</v>
      </c>
      <c r="P19" s="124">
        <f t="shared" si="13"/>
        <v>395.18872267980328</v>
      </c>
      <c r="Q19" s="144">
        <f t="shared" si="0"/>
        <v>1901.5487226798034</v>
      </c>
      <c r="R19" s="153">
        <f t="shared" si="1"/>
        <v>950.7743613399017</v>
      </c>
      <c r="S19" s="107"/>
    </row>
    <row r="20" spans="1:19" s="40" customFormat="1" ht="11.25" x14ac:dyDescent="0.2">
      <c r="A20" s="143">
        <v>500</v>
      </c>
      <c r="B20" s="100">
        <v>20</v>
      </c>
      <c r="C20" s="101">
        <f t="shared" si="2"/>
        <v>52</v>
      </c>
      <c r="D20" s="102">
        <f t="shared" si="3"/>
        <v>6.5</v>
      </c>
      <c r="E20" s="103">
        <v>4</v>
      </c>
      <c r="F20" s="104">
        <f t="shared" si="4"/>
        <v>10.5</v>
      </c>
      <c r="G20" s="105">
        <f t="shared" si="5"/>
        <v>1.1666666666666667</v>
      </c>
      <c r="H20" s="106">
        <f t="shared" si="6"/>
        <v>2</v>
      </c>
      <c r="I20" s="123">
        <f t="shared" si="7"/>
        <v>1.5</v>
      </c>
      <c r="J20" s="123">
        <v>2</v>
      </c>
      <c r="K20" s="124">
        <f t="shared" si="8"/>
        <v>318.76</v>
      </c>
      <c r="L20" s="125">
        <f t="shared" si="9"/>
        <v>284</v>
      </c>
      <c r="M20" s="125">
        <f t="shared" si="10"/>
        <v>747</v>
      </c>
      <c r="N20" s="125">
        <f t="shared" si="11"/>
        <v>239.69</v>
      </c>
      <c r="O20" s="126">
        <f t="shared" si="12"/>
        <v>1589.45</v>
      </c>
      <c r="P20" s="124">
        <f t="shared" si="13"/>
        <v>416.98711812807915</v>
      </c>
      <c r="Q20" s="144">
        <f t="shared" si="0"/>
        <v>2006.4371181280792</v>
      </c>
      <c r="R20" s="153">
        <f t="shared" si="1"/>
        <v>1003.2185590640396</v>
      </c>
      <c r="S20" s="107"/>
    </row>
    <row r="21" spans="1:19" s="40" customFormat="1" ht="11.25" x14ac:dyDescent="0.2">
      <c r="A21" s="143">
        <v>600</v>
      </c>
      <c r="B21" s="100">
        <v>20</v>
      </c>
      <c r="C21" s="101">
        <f t="shared" si="2"/>
        <v>62</v>
      </c>
      <c r="D21" s="102">
        <f t="shared" si="3"/>
        <v>7.75</v>
      </c>
      <c r="E21" s="103">
        <v>4</v>
      </c>
      <c r="F21" s="104">
        <f t="shared" si="4"/>
        <v>11.75</v>
      </c>
      <c r="G21" s="105">
        <f t="shared" si="5"/>
        <v>1.3055555555555556</v>
      </c>
      <c r="H21" s="106">
        <f t="shared" si="6"/>
        <v>2</v>
      </c>
      <c r="I21" s="123">
        <f t="shared" si="7"/>
        <v>1.5</v>
      </c>
      <c r="J21" s="123">
        <v>2</v>
      </c>
      <c r="K21" s="124">
        <f t="shared" si="8"/>
        <v>380.06</v>
      </c>
      <c r="L21" s="125">
        <f t="shared" si="9"/>
        <v>284</v>
      </c>
      <c r="M21" s="125">
        <f t="shared" si="10"/>
        <v>747</v>
      </c>
      <c r="N21" s="125">
        <f t="shared" si="11"/>
        <v>261.48</v>
      </c>
      <c r="O21" s="126">
        <f t="shared" si="12"/>
        <v>1672.54</v>
      </c>
      <c r="P21" s="124">
        <f t="shared" si="13"/>
        <v>438.78551357635502</v>
      </c>
      <c r="Q21" s="144">
        <f t="shared" si="0"/>
        <v>2111.3255135763548</v>
      </c>
      <c r="R21" s="153">
        <f t="shared" si="1"/>
        <v>1055.6627567881774</v>
      </c>
      <c r="S21" s="107"/>
    </row>
    <row r="22" spans="1:19" s="40" customFormat="1" ht="11.25" x14ac:dyDescent="0.2">
      <c r="A22" s="143">
        <v>700</v>
      </c>
      <c r="B22" s="100">
        <v>20</v>
      </c>
      <c r="C22" s="101">
        <f t="shared" si="2"/>
        <v>72</v>
      </c>
      <c r="D22" s="102">
        <f t="shared" si="3"/>
        <v>9</v>
      </c>
      <c r="E22" s="103">
        <v>4</v>
      </c>
      <c r="F22" s="104">
        <f t="shared" si="4"/>
        <v>13</v>
      </c>
      <c r="G22" s="105">
        <f t="shared" si="5"/>
        <v>1.4444444444444444</v>
      </c>
      <c r="H22" s="106">
        <f t="shared" si="6"/>
        <v>2</v>
      </c>
      <c r="I22" s="123">
        <f t="shared" si="7"/>
        <v>1.5</v>
      </c>
      <c r="J22" s="123">
        <v>2</v>
      </c>
      <c r="K22" s="124">
        <f t="shared" si="8"/>
        <v>441.36</v>
      </c>
      <c r="L22" s="125">
        <f t="shared" si="9"/>
        <v>284</v>
      </c>
      <c r="M22" s="125">
        <f t="shared" si="10"/>
        <v>747</v>
      </c>
      <c r="N22" s="125">
        <f t="shared" si="11"/>
        <v>283.27</v>
      </c>
      <c r="O22" s="126">
        <f t="shared" si="12"/>
        <v>1755.63</v>
      </c>
      <c r="P22" s="124">
        <f t="shared" si="13"/>
        <v>460.58390902463094</v>
      </c>
      <c r="Q22" s="144">
        <f t="shared" si="0"/>
        <v>2216.213909024631</v>
      </c>
      <c r="R22" s="153">
        <f t="shared" si="1"/>
        <v>1108.1069545123155</v>
      </c>
      <c r="S22" s="107"/>
    </row>
    <row r="23" spans="1:19" s="40" customFormat="1" ht="11.25" x14ac:dyDescent="0.2">
      <c r="A23" s="143">
        <v>800</v>
      </c>
      <c r="B23" s="100">
        <v>20</v>
      </c>
      <c r="C23" s="101">
        <f t="shared" si="2"/>
        <v>82</v>
      </c>
      <c r="D23" s="102">
        <f t="shared" si="3"/>
        <v>10.25</v>
      </c>
      <c r="E23" s="103">
        <v>4</v>
      </c>
      <c r="F23" s="104">
        <f t="shared" si="4"/>
        <v>14.25</v>
      </c>
      <c r="G23" s="105">
        <f t="shared" si="5"/>
        <v>1.5833333333333333</v>
      </c>
      <c r="H23" s="106">
        <f t="shared" si="6"/>
        <v>2</v>
      </c>
      <c r="I23" s="123">
        <f t="shared" si="7"/>
        <v>1.5</v>
      </c>
      <c r="J23" s="123">
        <v>2</v>
      </c>
      <c r="K23" s="124">
        <f t="shared" si="8"/>
        <v>502.65999999999997</v>
      </c>
      <c r="L23" s="125">
        <f t="shared" si="9"/>
        <v>284</v>
      </c>
      <c r="M23" s="125">
        <f t="shared" si="10"/>
        <v>747</v>
      </c>
      <c r="N23" s="125">
        <f t="shared" si="11"/>
        <v>326.84999999999997</v>
      </c>
      <c r="O23" s="126">
        <f t="shared" si="12"/>
        <v>1860.5099999999998</v>
      </c>
      <c r="P23" s="124">
        <f t="shared" si="13"/>
        <v>488.09884120197074</v>
      </c>
      <c r="Q23" s="144">
        <f t="shared" si="0"/>
        <v>2348.6088412019703</v>
      </c>
      <c r="R23" s="153">
        <f t="shared" si="1"/>
        <v>1174.3044206009852</v>
      </c>
      <c r="S23" s="107"/>
    </row>
    <row r="24" spans="1:19" s="40" customFormat="1" ht="11.25" x14ac:dyDescent="0.2">
      <c r="A24" s="143">
        <v>900</v>
      </c>
      <c r="B24" s="100">
        <v>20</v>
      </c>
      <c r="C24" s="101">
        <f t="shared" si="2"/>
        <v>92</v>
      </c>
      <c r="D24" s="102">
        <f t="shared" si="3"/>
        <v>11.5</v>
      </c>
      <c r="E24" s="103">
        <v>4</v>
      </c>
      <c r="F24" s="104">
        <f t="shared" si="4"/>
        <v>15.5</v>
      </c>
      <c r="G24" s="105">
        <f t="shared" si="5"/>
        <v>1.7222222222222223</v>
      </c>
      <c r="H24" s="106">
        <f t="shared" si="6"/>
        <v>2</v>
      </c>
      <c r="I24" s="123">
        <f t="shared" si="7"/>
        <v>1.5</v>
      </c>
      <c r="J24" s="123">
        <v>2</v>
      </c>
      <c r="K24" s="124">
        <f t="shared" si="8"/>
        <v>563.96</v>
      </c>
      <c r="L24" s="125">
        <f t="shared" si="9"/>
        <v>284</v>
      </c>
      <c r="M24" s="125">
        <f t="shared" si="10"/>
        <v>747</v>
      </c>
      <c r="N24" s="125">
        <f t="shared" si="11"/>
        <v>348.64</v>
      </c>
      <c r="O24" s="126">
        <f t="shared" si="12"/>
        <v>1943.6</v>
      </c>
      <c r="P24" s="124">
        <f t="shared" si="13"/>
        <v>509.89723665024667</v>
      </c>
      <c r="Q24" s="144">
        <f t="shared" si="0"/>
        <v>2453.4972366502466</v>
      </c>
      <c r="R24" s="153">
        <f t="shared" si="1"/>
        <v>1226.7486183251233</v>
      </c>
      <c r="S24" s="107"/>
    </row>
    <row r="25" spans="1:19" s="40" customFormat="1" ht="11.25" x14ac:dyDescent="0.2">
      <c r="A25" s="143">
        <v>1000</v>
      </c>
      <c r="B25" s="100">
        <v>20</v>
      </c>
      <c r="C25" s="101">
        <f t="shared" si="2"/>
        <v>102</v>
      </c>
      <c r="D25" s="102">
        <f t="shared" si="3"/>
        <v>12.75</v>
      </c>
      <c r="E25" s="103">
        <v>4</v>
      </c>
      <c r="F25" s="104">
        <f t="shared" si="4"/>
        <v>16.75</v>
      </c>
      <c r="G25" s="105">
        <f t="shared" si="5"/>
        <v>1.8611111111111112</v>
      </c>
      <c r="H25" s="106">
        <f t="shared" si="6"/>
        <v>2</v>
      </c>
      <c r="I25" s="123">
        <f t="shared" si="7"/>
        <v>1.5</v>
      </c>
      <c r="J25" s="123">
        <v>2</v>
      </c>
      <c r="K25" s="124">
        <f t="shared" si="8"/>
        <v>625.26</v>
      </c>
      <c r="L25" s="125">
        <f t="shared" si="9"/>
        <v>284</v>
      </c>
      <c r="M25" s="125">
        <f t="shared" si="10"/>
        <v>747</v>
      </c>
      <c r="N25" s="125">
        <f t="shared" si="11"/>
        <v>370.43</v>
      </c>
      <c r="O25" s="126">
        <f t="shared" si="12"/>
        <v>2026.69</v>
      </c>
      <c r="P25" s="124">
        <f t="shared" si="13"/>
        <v>531.69563209852254</v>
      </c>
      <c r="Q25" s="144">
        <f t="shared" si="0"/>
        <v>2558.3856320985224</v>
      </c>
      <c r="R25" s="153">
        <f t="shared" si="1"/>
        <v>1279.1928160492612</v>
      </c>
      <c r="S25" s="107"/>
    </row>
    <row r="26" spans="1:19" s="40" customFormat="1" ht="11.25" x14ac:dyDescent="0.2">
      <c r="A26" s="143">
        <v>1100</v>
      </c>
      <c r="B26" s="100">
        <v>20</v>
      </c>
      <c r="C26" s="101">
        <f t="shared" si="2"/>
        <v>112</v>
      </c>
      <c r="D26" s="102">
        <f t="shared" si="3"/>
        <v>14</v>
      </c>
      <c r="E26" s="103">
        <v>4</v>
      </c>
      <c r="F26" s="104">
        <f t="shared" si="4"/>
        <v>18</v>
      </c>
      <c r="G26" s="105">
        <f t="shared" si="5"/>
        <v>2</v>
      </c>
      <c r="H26" s="106">
        <f t="shared" si="6"/>
        <v>2</v>
      </c>
      <c r="I26" s="123">
        <f t="shared" si="7"/>
        <v>1.5</v>
      </c>
      <c r="J26" s="123">
        <v>2</v>
      </c>
      <c r="K26" s="124">
        <f t="shared" si="8"/>
        <v>686.56</v>
      </c>
      <c r="L26" s="125">
        <f t="shared" si="9"/>
        <v>284</v>
      </c>
      <c r="M26" s="125">
        <f t="shared" si="10"/>
        <v>747</v>
      </c>
      <c r="N26" s="125">
        <f t="shared" si="11"/>
        <v>392.21999999999997</v>
      </c>
      <c r="O26" s="126">
        <f t="shared" si="12"/>
        <v>2109.7799999999997</v>
      </c>
      <c r="P26" s="124">
        <f t="shared" si="13"/>
        <v>553.49402754679841</v>
      </c>
      <c r="Q26" s="144">
        <f t="shared" si="0"/>
        <v>2663.2740275467982</v>
      </c>
      <c r="R26" s="153">
        <f t="shared" si="1"/>
        <v>1331.6370137733991</v>
      </c>
      <c r="S26" s="107"/>
    </row>
    <row r="27" spans="1:19" s="40" customFormat="1" ht="11.25" x14ac:dyDescent="0.2">
      <c r="A27" s="143">
        <v>1200</v>
      </c>
      <c r="B27" s="100">
        <v>20</v>
      </c>
      <c r="C27" s="101">
        <f t="shared" si="2"/>
        <v>122</v>
      </c>
      <c r="D27" s="102">
        <f t="shared" si="3"/>
        <v>15.25</v>
      </c>
      <c r="E27" s="103">
        <v>4</v>
      </c>
      <c r="F27" s="104">
        <f t="shared" si="4"/>
        <v>19.25</v>
      </c>
      <c r="G27" s="105">
        <f t="shared" si="5"/>
        <v>2.1388888888888888</v>
      </c>
      <c r="H27" s="106">
        <f t="shared" si="6"/>
        <v>3</v>
      </c>
      <c r="I27" s="123">
        <f t="shared" si="7"/>
        <v>2.5</v>
      </c>
      <c r="J27" s="123">
        <v>2</v>
      </c>
      <c r="K27" s="124">
        <f t="shared" si="8"/>
        <v>747.86</v>
      </c>
      <c r="L27" s="125">
        <f t="shared" si="9"/>
        <v>426</v>
      </c>
      <c r="M27" s="125">
        <f t="shared" si="10"/>
        <v>1245</v>
      </c>
      <c r="N27" s="125">
        <f t="shared" si="11"/>
        <v>435.79999999999995</v>
      </c>
      <c r="O27" s="126">
        <f t="shared" si="12"/>
        <v>2854.66</v>
      </c>
      <c r="P27" s="124">
        <f t="shared" si="13"/>
        <v>748.91091046305473</v>
      </c>
      <c r="Q27" s="144">
        <f t="shared" si="0"/>
        <v>3603.5709104630546</v>
      </c>
      <c r="R27" s="153">
        <f t="shared" si="1"/>
        <v>1201.1903034876848</v>
      </c>
      <c r="S27" s="107"/>
    </row>
    <row r="28" spans="1:19" s="40" customFormat="1" ht="11.25" x14ac:dyDescent="0.2">
      <c r="A28" s="143">
        <v>1300</v>
      </c>
      <c r="B28" s="100">
        <v>20</v>
      </c>
      <c r="C28" s="101">
        <f t="shared" si="2"/>
        <v>132</v>
      </c>
      <c r="D28" s="102">
        <f t="shared" si="3"/>
        <v>16.5</v>
      </c>
      <c r="E28" s="103">
        <v>4</v>
      </c>
      <c r="F28" s="104">
        <f t="shared" si="4"/>
        <v>20.5</v>
      </c>
      <c r="G28" s="105">
        <f t="shared" si="5"/>
        <v>2.2777777777777777</v>
      </c>
      <c r="H28" s="106">
        <f t="shared" si="6"/>
        <v>3</v>
      </c>
      <c r="I28" s="123">
        <f t="shared" si="7"/>
        <v>2.5</v>
      </c>
      <c r="J28" s="123">
        <v>2</v>
      </c>
      <c r="K28" s="124">
        <f t="shared" si="8"/>
        <v>809.16</v>
      </c>
      <c r="L28" s="125">
        <f t="shared" si="9"/>
        <v>426</v>
      </c>
      <c r="M28" s="125">
        <f t="shared" si="10"/>
        <v>1245</v>
      </c>
      <c r="N28" s="125">
        <f t="shared" si="11"/>
        <v>457.59</v>
      </c>
      <c r="O28" s="126">
        <f t="shared" si="12"/>
        <v>2937.75</v>
      </c>
      <c r="P28" s="124">
        <f t="shared" si="13"/>
        <v>770.7093059113306</v>
      </c>
      <c r="Q28" s="144">
        <f t="shared" si="0"/>
        <v>3708.4593059113304</v>
      </c>
      <c r="R28" s="153">
        <f t="shared" si="1"/>
        <v>1236.1531019704435</v>
      </c>
      <c r="S28" s="107"/>
    </row>
    <row r="29" spans="1:19" s="40" customFormat="1" ht="11.25" x14ac:dyDescent="0.2">
      <c r="A29" s="143">
        <v>1400</v>
      </c>
      <c r="B29" s="100">
        <v>20</v>
      </c>
      <c r="C29" s="101">
        <f t="shared" si="2"/>
        <v>142</v>
      </c>
      <c r="D29" s="102">
        <f t="shared" si="3"/>
        <v>17.75</v>
      </c>
      <c r="E29" s="103">
        <v>4</v>
      </c>
      <c r="F29" s="104">
        <f t="shared" si="4"/>
        <v>21.75</v>
      </c>
      <c r="G29" s="105">
        <f t="shared" si="5"/>
        <v>2.4166666666666665</v>
      </c>
      <c r="H29" s="106">
        <f t="shared" si="6"/>
        <v>3</v>
      </c>
      <c r="I29" s="123">
        <f t="shared" si="7"/>
        <v>2.5</v>
      </c>
      <c r="J29" s="123">
        <v>2</v>
      </c>
      <c r="K29" s="124">
        <f t="shared" si="8"/>
        <v>870.46</v>
      </c>
      <c r="L29" s="125">
        <f t="shared" si="9"/>
        <v>426</v>
      </c>
      <c r="M29" s="125">
        <f t="shared" si="10"/>
        <v>1245</v>
      </c>
      <c r="N29" s="125">
        <f t="shared" si="11"/>
        <v>479.38</v>
      </c>
      <c r="O29" s="126">
        <f t="shared" si="12"/>
        <v>3020.84</v>
      </c>
      <c r="P29" s="124">
        <f t="shared" si="13"/>
        <v>792.50770135960659</v>
      </c>
      <c r="Q29" s="144">
        <f t="shared" si="0"/>
        <v>3813.3477013596066</v>
      </c>
      <c r="R29" s="153">
        <f t="shared" si="1"/>
        <v>1271.1159004532021</v>
      </c>
      <c r="S29" s="107"/>
    </row>
    <row r="30" spans="1:19" s="40" customFormat="1" ht="11.25" x14ac:dyDescent="0.2">
      <c r="A30" s="143">
        <v>1500</v>
      </c>
      <c r="B30" s="100">
        <v>20</v>
      </c>
      <c r="C30" s="101">
        <f t="shared" si="2"/>
        <v>152</v>
      </c>
      <c r="D30" s="102">
        <f t="shared" si="3"/>
        <v>19</v>
      </c>
      <c r="E30" s="103">
        <v>4</v>
      </c>
      <c r="F30" s="104">
        <f t="shared" si="4"/>
        <v>23</v>
      </c>
      <c r="G30" s="105">
        <f t="shared" si="5"/>
        <v>2.5555555555555554</v>
      </c>
      <c r="H30" s="106">
        <f t="shared" si="6"/>
        <v>3</v>
      </c>
      <c r="I30" s="123">
        <f t="shared" si="7"/>
        <v>2.5</v>
      </c>
      <c r="J30" s="123">
        <v>2</v>
      </c>
      <c r="K30" s="124">
        <f t="shared" si="8"/>
        <v>931.76</v>
      </c>
      <c r="L30" s="125">
        <f t="shared" si="9"/>
        <v>426</v>
      </c>
      <c r="M30" s="125">
        <f t="shared" si="10"/>
        <v>1245</v>
      </c>
      <c r="N30" s="125">
        <f t="shared" si="11"/>
        <v>501.16999999999996</v>
      </c>
      <c r="O30" s="126">
        <f t="shared" si="12"/>
        <v>3103.9300000000003</v>
      </c>
      <c r="P30" s="124">
        <f t="shared" si="13"/>
        <v>814.30609680788245</v>
      </c>
      <c r="Q30" s="144">
        <f t="shared" si="0"/>
        <v>3918.2360968078829</v>
      </c>
      <c r="R30" s="153">
        <f t="shared" si="1"/>
        <v>1306.078698935961</v>
      </c>
      <c r="S30" s="107"/>
    </row>
    <row r="31" spans="1:19" s="40" customFormat="1" ht="11.25" x14ac:dyDescent="0.2">
      <c r="A31" s="143">
        <v>1600</v>
      </c>
      <c r="B31" s="100">
        <v>20</v>
      </c>
      <c r="C31" s="101">
        <f t="shared" si="2"/>
        <v>162</v>
      </c>
      <c r="D31" s="102">
        <f t="shared" si="3"/>
        <v>20.25</v>
      </c>
      <c r="E31" s="103">
        <v>4</v>
      </c>
      <c r="F31" s="104">
        <f t="shared" si="4"/>
        <v>24.25</v>
      </c>
      <c r="G31" s="105">
        <f t="shared" si="5"/>
        <v>2.6944444444444446</v>
      </c>
      <c r="H31" s="106">
        <f t="shared" si="6"/>
        <v>3</v>
      </c>
      <c r="I31" s="123">
        <f t="shared" si="7"/>
        <v>2.5</v>
      </c>
      <c r="J31" s="123">
        <v>2</v>
      </c>
      <c r="K31" s="124">
        <f t="shared" si="8"/>
        <v>993.06</v>
      </c>
      <c r="L31" s="125">
        <f t="shared" si="9"/>
        <v>426</v>
      </c>
      <c r="M31" s="125">
        <f t="shared" si="10"/>
        <v>1245</v>
      </c>
      <c r="N31" s="125">
        <f t="shared" si="11"/>
        <v>544.75</v>
      </c>
      <c r="O31" s="126">
        <f t="shared" si="12"/>
        <v>3208.81</v>
      </c>
      <c r="P31" s="124">
        <f t="shared" si="13"/>
        <v>841.82102898522226</v>
      </c>
      <c r="Q31" s="144">
        <f t="shared" si="0"/>
        <v>4050.6310289852222</v>
      </c>
      <c r="R31" s="153">
        <f t="shared" ref="R31:R37" si="14">+Q31/H31</f>
        <v>1350.2103429950741</v>
      </c>
      <c r="S31" s="107"/>
    </row>
    <row r="32" spans="1:19" s="40" customFormat="1" ht="11.25" x14ac:dyDescent="0.2">
      <c r="A32" s="143">
        <v>1700</v>
      </c>
      <c r="B32" s="100">
        <v>20</v>
      </c>
      <c r="C32" s="101">
        <f t="shared" si="2"/>
        <v>172</v>
      </c>
      <c r="D32" s="102">
        <f t="shared" si="3"/>
        <v>21.5</v>
      </c>
      <c r="E32" s="103">
        <v>4</v>
      </c>
      <c r="F32" s="104">
        <f t="shared" si="4"/>
        <v>25.5</v>
      </c>
      <c r="G32" s="105">
        <f t="shared" si="5"/>
        <v>2.8333333333333335</v>
      </c>
      <c r="H32" s="106">
        <f t="shared" si="6"/>
        <v>3</v>
      </c>
      <c r="I32" s="123">
        <f t="shared" si="7"/>
        <v>2.5</v>
      </c>
      <c r="J32" s="123">
        <v>2</v>
      </c>
      <c r="K32" s="124">
        <f t="shared" si="8"/>
        <v>1054.3599999999999</v>
      </c>
      <c r="L32" s="125">
        <f t="shared" si="9"/>
        <v>426</v>
      </c>
      <c r="M32" s="125">
        <f t="shared" si="10"/>
        <v>1245</v>
      </c>
      <c r="N32" s="125">
        <f t="shared" si="11"/>
        <v>566.54</v>
      </c>
      <c r="O32" s="126">
        <f t="shared" si="12"/>
        <v>3291.8999999999996</v>
      </c>
      <c r="P32" s="124">
        <f t="shared" si="13"/>
        <v>863.61942443349812</v>
      </c>
      <c r="Q32" s="144">
        <f t="shared" si="0"/>
        <v>4155.519424433498</v>
      </c>
      <c r="R32" s="153">
        <f t="shared" si="14"/>
        <v>1385.1731414778326</v>
      </c>
      <c r="S32" s="107"/>
    </row>
    <row r="33" spans="1:19" s="40" customFormat="1" ht="11.25" x14ac:dyDescent="0.2">
      <c r="A33" s="143">
        <v>1800</v>
      </c>
      <c r="B33" s="100">
        <v>20</v>
      </c>
      <c r="C33" s="101">
        <f t="shared" si="2"/>
        <v>182</v>
      </c>
      <c r="D33" s="102">
        <f t="shared" si="3"/>
        <v>22.75</v>
      </c>
      <c r="E33" s="103">
        <v>4</v>
      </c>
      <c r="F33" s="104">
        <f t="shared" si="4"/>
        <v>26.75</v>
      </c>
      <c r="G33" s="105">
        <f t="shared" si="5"/>
        <v>2.9722222222222223</v>
      </c>
      <c r="H33" s="106">
        <f t="shared" si="6"/>
        <v>3</v>
      </c>
      <c r="I33" s="123">
        <f t="shared" si="7"/>
        <v>2.5</v>
      </c>
      <c r="J33" s="123">
        <v>2</v>
      </c>
      <c r="K33" s="124">
        <f t="shared" si="8"/>
        <v>1115.6600000000001</v>
      </c>
      <c r="L33" s="125">
        <f t="shared" si="9"/>
        <v>426</v>
      </c>
      <c r="M33" s="125">
        <f t="shared" si="10"/>
        <v>1245</v>
      </c>
      <c r="N33" s="125">
        <f t="shared" si="11"/>
        <v>588.32999999999993</v>
      </c>
      <c r="O33" s="126">
        <f t="shared" si="12"/>
        <v>3374.99</v>
      </c>
      <c r="P33" s="124">
        <f t="shared" si="13"/>
        <v>885.41781988177399</v>
      </c>
      <c r="Q33" s="144">
        <f t="shared" si="0"/>
        <v>4260.4078198817733</v>
      </c>
      <c r="R33" s="153">
        <f t="shared" si="14"/>
        <v>1420.135939960591</v>
      </c>
      <c r="S33" s="107"/>
    </row>
    <row r="34" spans="1:19" s="40" customFormat="1" ht="11.25" x14ac:dyDescent="0.2">
      <c r="A34" s="143">
        <v>1900</v>
      </c>
      <c r="B34" s="100">
        <v>20</v>
      </c>
      <c r="C34" s="101">
        <f t="shared" si="2"/>
        <v>192</v>
      </c>
      <c r="D34" s="102">
        <f t="shared" si="3"/>
        <v>24</v>
      </c>
      <c r="E34" s="103">
        <v>4</v>
      </c>
      <c r="F34" s="104">
        <f t="shared" si="4"/>
        <v>28</v>
      </c>
      <c r="G34" s="105">
        <f t="shared" si="5"/>
        <v>3.1111111111111112</v>
      </c>
      <c r="H34" s="106">
        <f t="shared" si="6"/>
        <v>4</v>
      </c>
      <c r="I34" s="123">
        <f t="shared" si="7"/>
        <v>3.5</v>
      </c>
      <c r="J34" s="123">
        <v>2</v>
      </c>
      <c r="K34" s="124">
        <f t="shared" si="8"/>
        <v>1176.96</v>
      </c>
      <c r="L34" s="125">
        <f t="shared" si="9"/>
        <v>568</v>
      </c>
      <c r="M34" s="125">
        <f t="shared" si="10"/>
        <v>1743</v>
      </c>
      <c r="N34" s="125">
        <f t="shared" si="11"/>
        <v>610.12</v>
      </c>
      <c r="O34" s="126">
        <f t="shared" si="12"/>
        <v>4098.08</v>
      </c>
      <c r="P34" s="124">
        <f t="shared" si="13"/>
        <v>1075.1181660689663</v>
      </c>
      <c r="Q34" s="144">
        <f t="shared" si="0"/>
        <v>5173.1981660689662</v>
      </c>
      <c r="R34" s="153">
        <f t="shared" si="14"/>
        <v>1293.2995415172416</v>
      </c>
      <c r="S34" s="107"/>
    </row>
    <row r="35" spans="1:19" s="40" customFormat="1" ht="11.25" x14ac:dyDescent="0.2">
      <c r="A35" s="143">
        <v>2000</v>
      </c>
      <c r="B35" s="100">
        <v>20</v>
      </c>
      <c r="C35" s="101">
        <f t="shared" si="2"/>
        <v>202</v>
      </c>
      <c r="D35" s="102">
        <f t="shared" si="3"/>
        <v>25.25</v>
      </c>
      <c r="E35" s="103">
        <v>4</v>
      </c>
      <c r="F35" s="104">
        <f t="shared" si="4"/>
        <v>29.25</v>
      </c>
      <c r="G35" s="105">
        <f t="shared" si="5"/>
        <v>3.25</v>
      </c>
      <c r="H35" s="106">
        <f t="shared" si="6"/>
        <v>4</v>
      </c>
      <c r="I35" s="123">
        <f t="shared" si="7"/>
        <v>3.5</v>
      </c>
      <c r="J35" s="123">
        <v>2</v>
      </c>
      <c r="K35" s="124">
        <f t="shared" si="8"/>
        <v>1238.26</v>
      </c>
      <c r="L35" s="125">
        <f t="shared" si="9"/>
        <v>568</v>
      </c>
      <c r="M35" s="125">
        <f t="shared" si="10"/>
        <v>1743</v>
      </c>
      <c r="N35" s="125">
        <f t="shared" si="11"/>
        <v>653.69999999999993</v>
      </c>
      <c r="O35" s="126">
        <f t="shared" si="12"/>
        <v>4202.96</v>
      </c>
      <c r="P35" s="124">
        <f t="shared" si="13"/>
        <v>1102.6330982463062</v>
      </c>
      <c r="Q35" s="144">
        <f t="shared" si="0"/>
        <v>5305.593098246306</v>
      </c>
      <c r="R35" s="153">
        <f t="shared" si="14"/>
        <v>1326.3982745615765</v>
      </c>
      <c r="S35" s="107"/>
    </row>
    <row r="36" spans="1:19" s="40" customFormat="1" ht="11.25" x14ac:dyDescent="0.2">
      <c r="A36" s="143">
        <v>2100</v>
      </c>
      <c r="B36" s="100">
        <v>20</v>
      </c>
      <c r="C36" s="101">
        <f t="shared" si="2"/>
        <v>212</v>
      </c>
      <c r="D36" s="102">
        <f t="shared" si="3"/>
        <v>26.5</v>
      </c>
      <c r="E36" s="103">
        <v>4</v>
      </c>
      <c r="F36" s="104">
        <f t="shared" si="4"/>
        <v>30.5</v>
      </c>
      <c r="G36" s="105">
        <f t="shared" si="5"/>
        <v>3.3888888888888888</v>
      </c>
      <c r="H36" s="106">
        <f t="shared" si="6"/>
        <v>4</v>
      </c>
      <c r="I36" s="123">
        <f t="shared" si="7"/>
        <v>3.5</v>
      </c>
      <c r="J36" s="123">
        <v>2</v>
      </c>
      <c r="K36" s="124">
        <f t="shared" si="8"/>
        <v>1299.56</v>
      </c>
      <c r="L36" s="125">
        <f t="shared" si="9"/>
        <v>568</v>
      </c>
      <c r="M36" s="125">
        <f t="shared" si="10"/>
        <v>1743</v>
      </c>
      <c r="N36" s="125">
        <f t="shared" si="11"/>
        <v>675.49</v>
      </c>
      <c r="O36" s="126">
        <f t="shared" si="12"/>
        <v>4286.05</v>
      </c>
      <c r="P36" s="124">
        <f t="shared" si="13"/>
        <v>1124.4314936945823</v>
      </c>
      <c r="Q36" s="144">
        <f t="shared" si="0"/>
        <v>5410.4814936945822</v>
      </c>
      <c r="R36" s="153">
        <f t="shared" si="14"/>
        <v>1352.6203734236456</v>
      </c>
      <c r="S36" s="107"/>
    </row>
    <row r="37" spans="1:19" s="40" customFormat="1" ht="11.25" x14ac:dyDescent="0.2">
      <c r="A37" s="143">
        <v>2200</v>
      </c>
      <c r="B37" s="100">
        <v>20</v>
      </c>
      <c r="C37" s="101">
        <f t="shared" si="2"/>
        <v>222</v>
      </c>
      <c r="D37" s="102">
        <f t="shared" si="3"/>
        <v>27.75</v>
      </c>
      <c r="E37" s="103">
        <v>4</v>
      </c>
      <c r="F37" s="104">
        <f t="shared" si="4"/>
        <v>31.75</v>
      </c>
      <c r="G37" s="105">
        <f t="shared" si="5"/>
        <v>3.5277777777777777</v>
      </c>
      <c r="H37" s="106">
        <f t="shared" si="6"/>
        <v>4</v>
      </c>
      <c r="I37" s="123">
        <f t="shared" si="7"/>
        <v>3.5</v>
      </c>
      <c r="J37" s="123">
        <v>2</v>
      </c>
      <c r="K37" s="124">
        <f t="shared" si="8"/>
        <v>1360.86</v>
      </c>
      <c r="L37" s="125">
        <f t="shared" si="9"/>
        <v>568</v>
      </c>
      <c r="M37" s="125">
        <f t="shared" si="10"/>
        <v>1743</v>
      </c>
      <c r="N37" s="125">
        <f t="shared" si="11"/>
        <v>697.28</v>
      </c>
      <c r="O37" s="126">
        <f t="shared" si="12"/>
        <v>4369.1399999999994</v>
      </c>
      <c r="P37" s="124">
        <f t="shared" si="13"/>
        <v>1146.2298891428579</v>
      </c>
      <c r="Q37" s="144">
        <f t="shared" si="0"/>
        <v>5515.3698891428576</v>
      </c>
      <c r="R37" s="153">
        <f t="shared" si="14"/>
        <v>1378.8424722857144</v>
      </c>
      <c r="S37" s="107"/>
    </row>
    <row r="38" spans="1:19" s="44" customFormat="1" ht="11.25" x14ac:dyDescent="0.2">
      <c r="A38" s="109"/>
      <c r="B38" s="109"/>
      <c r="C38" s="109"/>
      <c r="D38" s="110"/>
      <c r="E38" s="111"/>
      <c r="F38" s="112"/>
      <c r="G38" s="113"/>
      <c r="H38" s="113"/>
      <c r="I38" s="113"/>
      <c r="J38" s="113"/>
      <c r="K38" s="113"/>
      <c r="L38" s="109"/>
      <c r="M38" s="109"/>
      <c r="N38" s="127"/>
      <c r="O38" s="109"/>
      <c r="P38" s="98"/>
      <c r="Q38" s="114"/>
      <c r="R38" s="154"/>
      <c r="S38" s="109"/>
    </row>
    <row r="39" spans="1:19" x14ac:dyDescent="0.2">
      <c r="A39" s="78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116"/>
      <c r="O39" s="78"/>
      <c r="P39" s="78"/>
      <c r="Q39" s="155" t="s">
        <v>148</v>
      </c>
      <c r="R39" s="156">
        <f>AVERAGE(R16:R37)</f>
        <v>1191.8160874758171</v>
      </c>
      <c r="S39" s="78"/>
    </row>
    <row r="40" spans="1:19" x14ac:dyDescent="0.2">
      <c r="A40" s="89"/>
      <c r="B40" s="89"/>
      <c r="C40" s="89"/>
      <c r="D40" s="89"/>
      <c r="E40" s="89"/>
      <c r="F40" s="89"/>
      <c r="G40" s="89"/>
      <c r="H40" s="89"/>
      <c r="I40" s="89"/>
      <c r="K40" s="89"/>
      <c r="L40" s="89"/>
      <c r="M40" s="89"/>
      <c r="O40" s="89"/>
      <c r="P40" s="89"/>
      <c r="Q40" s="89"/>
      <c r="R40" s="129"/>
      <c r="S40" s="89"/>
    </row>
    <row r="44" spans="1:19" s="29" customFormat="1" ht="11.25" x14ac:dyDescent="0.2">
      <c r="J44" s="90"/>
      <c r="N44" s="117"/>
      <c r="R44" s="117"/>
    </row>
    <row r="45" spans="1:19" s="29" customFormat="1" ht="11.25" x14ac:dyDescent="0.2">
      <c r="J45" s="90"/>
      <c r="N45" s="117"/>
      <c r="R45" s="117"/>
    </row>
    <row r="46" spans="1:19" s="29" customFormat="1" ht="11.25" x14ac:dyDescent="0.2">
      <c r="J46" s="90"/>
      <c r="N46" s="117"/>
      <c r="R46" s="117"/>
    </row>
    <row r="47" spans="1:19" s="29" customFormat="1" ht="11.25" x14ac:dyDescent="0.2">
      <c r="J47" s="90"/>
      <c r="N47" s="117"/>
      <c r="R47" s="117"/>
    </row>
    <row r="48" spans="1:19" s="29" customFormat="1" ht="11.25" x14ac:dyDescent="0.2">
      <c r="J48" s="90"/>
      <c r="N48" s="117"/>
      <c r="R48" s="117"/>
    </row>
    <row r="49" spans="10:18" s="29" customFormat="1" ht="11.25" x14ac:dyDescent="0.2">
      <c r="J49" s="90"/>
      <c r="N49" s="117"/>
      <c r="R49" s="117"/>
    </row>
    <row r="51" spans="10:18" s="29" customFormat="1" ht="11.25" x14ac:dyDescent="0.2">
      <c r="J51" s="90"/>
      <c r="N51" s="117"/>
      <c r="R51" s="117"/>
    </row>
  </sheetData>
  <mergeCells count="1">
    <mergeCell ref="A12:E12"/>
  </mergeCells>
  <pageMargins left="0.78740157480314965" right="0.78740157480314965" top="0.98425196850393704" bottom="0.98425196850393704" header="0.51181102362204722" footer="0.51181102362204722"/>
  <pageSetup paperSize="9" scale="50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92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8</vt:i4>
      </vt:variant>
    </vt:vector>
  </HeadingPairs>
  <TitlesOfParts>
    <vt:vector size="21" baseType="lpstr">
      <vt:lpstr>totalestimado</vt:lpstr>
      <vt:lpstr>arqeng</vt:lpstr>
      <vt:lpstr>engmec</vt:lpstr>
      <vt:lpstr>engeletr</vt:lpstr>
      <vt:lpstr>ART-RRT</vt:lpstr>
      <vt:lpstr>eventuais-consultoria</vt:lpstr>
      <vt:lpstr>Hora extra</vt:lpstr>
      <vt:lpstr>DESLOC.MÉDIO</vt:lpstr>
      <vt:lpstr>Deslocamento 1 município</vt:lpstr>
      <vt:lpstr>Deslocamento 2 municípios</vt:lpstr>
      <vt:lpstr>Deslocamento 3 municípios</vt:lpstr>
      <vt:lpstr>Deslocamento 4 municípios</vt:lpstr>
      <vt:lpstr>Deslocamento 5 municípios</vt:lpstr>
      <vt:lpstr>arqeng!Area_de_impressao</vt:lpstr>
      <vt:lpstr>DESLOC.MÉDIO!Area_de_impressao</vt:lpstr>
      <vt:lpstr>'Deslocamento 2 municípios'!Area_de_impressao</vt:lpstr>
      <vt:lpstr>'Deslocamento 3 municípios'!Area_de_impressao</vt:lpstr>
      <vt:lpstr>'Deslocamento 4 municípios'!Area_de_impressao</vt:lpstr>
      <vt:lpstr>'Deslocamento 5 municípios'!Area_de_impressao</vt:lpstr>
      <vt:lpstr>engeletr!Area_de_impressao</vt:lpstr>
      <vt:lpstr>engmec!Area_de_impressao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Pregão Eletrônico 087-2014 - Contratação de empresa para prestação de serviços de engenharia e arquitetura.Repetição</dc:title>
  <dc:creator>092449090531</dc:creator>
  <cp:keywords>() () ()</cp:keywords>
  <cp:lastModifiedBy>Marconni Rodrigues de Alcantara Santos</cp:lastModifiedBy>
  <cp:revision>7</cp:revision>
  <cp:lastPrinted>2024-06-06T13:34:54Z</cp:lastPrinted>
  <dcterms:created xsi:type="dcterms:W3CDTF">2014-12-17T07:16:52Z</dcterms:created>
  <dcterms:modified xsi:type="dcterms:W3CDTF">2024-07-23T18:28:48Z</dcterms:modified>
  <dc:language>pt-BR</dc:language>
</cp:coreProperties>
</file>