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firstSheet="5" activeTab="27"/>
  </bookViews>
  <sheets>
    <sheet name="Item1" sheetId="1" r:id="rId1"/>
    <sheet name="Item2" sheetId="4" r:id="rId2"/>
    <sheet name="Item3" sheetId="5" r:id="rId3"/>
    <sheet name="Item4" sheetId="6" r:id="rId4"/>
    <sheet name="Item5" sheetId="7" r:id="rId5"/>
    <sheet name="Item6" sheetId="8" r:id="rId6"/>
    <sheet name="Item7" sheetId="9" r:id="rId7"/>
    <sheet name="Item8" sheetId="10" r:id="rId8"/>
    <sheet name="Item9" sheetId="11" r:id="rId9"/>
    <sheet name="Item10" sheetId="12" r:id="rId10"/>
    <sheet name="Item11" sheetId="13" r:id="rId11"/>
    <sheet name="Item12" sheetId="14" r:id="rId12"/>
    <sheet name="Item13" sheetId="15" r:id="rId13"/>
    <sheet name="Item14" sheetId="16" r:id="rId14"/>
    <sheet name="Item15" sheetId="17" r:id="rId15"/>
    <sheet name="Item16" sheetId="18" r:id="rId16"/>
    <sheet name="Item17" sheetId="19"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total!$A$1:$G$23</definedName>
    <definedName name="_xlnm.Print_Titles" localSheetId="27">total!$1:$2</definedName>
  </definedNames>
  <calcPr calcId="145621"/>
</workbook>
</file>

<file path=xl/calcChain.xml><?xml version="1.0" encoding="utf-8"?>
<calcChain xmlns="http://schemas.openxmlformats.org/spreadsheetml/2006/main">
  <c r="F29" i="23" l="1"/>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E24" i="23"/>
  <c r="C4" i="23"/>
  <c r="D4" i="23"/>
  <c r="E4" i="23"/>
  <c r="C5" i="23"/>
  <c r="D5" i="23"/>
  <c r="E5" i="23"/>
  <c r="C6" i="23"/>
  <c r="D6" i="23"/>
  <c r="E6" i="23"/>
  <c r="C7" i="23"/>
  <c r="D7" i="23"/>
  <c r="E7" i="23"/>
  <c r="C8" i="23"/>
  <c r="D8" i="23"/>
  <c r="E8" i="23"/>
  <c r="C9" i="23"/>
  <c r="D9" i="23"/>
  <c r="E9" i="23"/>
  <c r="C10" i="23"/>
  <c r="D10" i="23"/>
  <c r="E10" i="23"/>
  <c r="C11" i="23"/>
  <c r="D11" i="23"/>
  <c r="E11" i="23"/>
  <c r="C12" i="23"/>
  <c r="D12" i="23"/>
  <c r="E12" i="23"/>
  <c r="C13" i="23"/>
  <c r="D13" i="23"/>
  <c r="E13" i="23"/>
  <c r="C14" i="23"/>
  <c r="D14" i="23"/>
  <c r="E14" i="23"/>
  <c r="C15" i="23"/>
  <c r="D15" i="23"/>
  <c r="E15" i="23"/>
  <c r="C16" i="23"/>
  <c r="D16" i="23"/>
  <c r="E16" i="23"/>
  <c r="C17" i="23"/>
  <c r="D17" i="23"/>
  <c r="E17" i="23"/>
  <c r="C18" i="23"/>
  <c r="D18" i="23"/>
  <c r="E18" i="23"/>
  <c r="C19" i="23"/>
  <c r="D19" i="23"/>
  <c r="E19" i="23"/>
  <c r="B19" i="23"/>
  <c r="B18" i="23"/>
  <c r="B17" i="23"/>
  <c r="B16" i="23"/>
  <c r="B15" i="23"/>
  <c r="B14" i="23"/>
  <c r="B13" i="23"/>
  <c r="B12" i="23"/>
  <c r="B11" i="23"/>
  <c r="B10" i="23"/>
  <c r="B9" i="23"/>
  <c r="B8" i="23"/>
  <c r="B7" i="23"/>
  <c r="B6" i="23"/>
  <c r="B5" i="23"/>
  <c r="B4" i="23"/>
  <c r="C3" i="23"/>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s="1"/>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s="1"/>
  <c r="F3" i="6"/>
  <c r="H20" i="6" s="1"/>
  <c r="G20" i="6" s="1"/>
  <c r="F20" i="5"/>
  <c r="D20" i="5"/>
  <c r="B20" i="5"/>
  <c r="A20" i="5" s="1"/>
  <c r="F3" i="5"/>
  <c r="H20" i="5" s="1"/>
  <c r="G20" i="5" s="1"/>
  <c r="F20" i="4"/>
  <c r="D20" i="4"/>
  <c r="B20" i="4"/>
  <c r="F3" i="4"/>
  <c r="H20" i="4" s="1"/>
  <c r="G20" i="4" s="1"/>
  <c r="F20" i="1"/>
  <c r="D20" i="1"/>
  <c r="B20" i="1"/>
  <c r="A20" i="1" s="1"/>
  <c r="F3" i="1"/>
  <c r="H20" i="1" s="1"/>
  <c r="G20" i="1" s="1"/>
  <c r="E20" i="28" l="1"/>
  <c r="H22" i="28" s="1"/>
  <c r="H23" i="28" s="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17" i="16"/>
  <c r="I11" i="16"/>
  <c r="I10" i="16"/>
  <c r="I15" i="14"/>
  <c r="I9" i="14"/>
  <c r="I3" i="14"/>
  <c r="I16" i="14"/>
  <c r="I14" i="14"/>
  <c r="I8" i="14"/>
  <c r="I10" i="14"/>
  <c r="I13" i="14"/>
  <c r="I7" i="14"/>
  <c r="I12" i="14"/>
  <c r="I6" i="14"/>
  <c r="I17" i="14"/>
  <c r="I11" i="14"/>
  <c r="I5" i="14"/>
  <c r="I4" i="14"/>
  <c r="I15" i="18"/>
  <c r="I9" i="18"/>
  <c r="I3" i="18"/>
  <c r="I14" i="18"/>
  <c r="I8" i="18"/>
  <c r="I10" i="18"/>
  <c r="I13" i="18"/>
  <c r="I7" i="18"/>
  <c r="I16" i="18"/>
  <c r="I12" i="18"/>
  <c r="I17" i="18"/>
  <c r="I11" i="18"/>
  <c r="C20" i="11"/>
  <c r="C20" i="13"/>
  <c r="C20" i="15"/>
  <c r="C20" i="17"/>
  <c r="I15" i="8"/>
  <c r="I14" i="8"/>
  <c r="I12" i="8"/>
  <c r="I13" i="8"/>
  <c r="I17" i="8"/>
  <c r="I11" i="8"/>
  <c r="I16" i="8"/>
  <c r="I10" i="8"/>
  <c r="I16" i="9"/>
  <c r="C20" i="10"/>
  <c r="I13" i="9"/>
  <c r="I9" i="9"/>
  <c r="I15" i="9"/>
  <c r="I15" i="7"/>
  <c r="I10" i="9"/>
  <c r="I17" i="7"/>
  <c r="I3" i="9"/>
  <c r="I11" i="9"/>
  <c r="I17" i="9"/>
  <c r="I15" i="6"/>
  <c r="I14" i="6"/>
  <c r="I17" i="6"/>
  <c r="I16" i="6"/>
  <c r="I12" i="6"/>
  <c r="I6" i="6"/>
  <c r="I5" i="6"/>
  <c r="I12" i="5"/>
  <c r="I17" i="5"/>
  <c r="I11" i="5"/>
  <c r="I16" i="5"/>
  <c r="I8" i="5"/>
  <c r="I13" i="5"/>
  <c r="I15" i="5"/>
  <c r="I14" i="5"/>
  <c r="A20" i="4"/>
  <c r="C20" i="4" s="1"/>
  <c r="C20" i="1"/>
  <c r="I5" i="18" l="1"/>
  <c r="I7" i="9"/>
  <c r="I5" i="9"/>
  <c r="I9" i="8"/>
  <c r="I7" i="8"/>
  <c r="I8" i="8"/>
  <c r="I7" i="6"/>
  <c r="I3" i="6"/>
  <c r="I6" i="16"/>
  <c r="E20" i="14"/>
  <c r="E3" i="14" s="1"/>
  <c r="F14" i="23" s="1"/>
  <c r="G14" i="23" s="1"/>
  <c r="I6" i="9"/>
  <c r="E20" i="24"/>
  <c r="E3" i="24" s="1"/>
  <c r="I8" i="20"/>
  <c r="I3" i="20"/>
  <c r="I7" i="20"/>
  <c r="I6" i="20"/>
  <c r="I4" i="20"/>
  <c r="I10" i="20"/>
  <c r="I9" i="20"/>
  <c r="I4" i="18"/>
  <c r="E20" i="18" s="1"/>
  <c r="H22" i="18" s="1"/>
  <c r="H23" i="18" s="1"/>
  <c r="I4" i="16"/>
  <c r="I3" i="16"/>
  <c r="I5" i="16"/>
  <c r="I7" i="16"/>
  <c r="I10" i="12"/>
  <c r="I12" i="12"/>
  <c r="I4" i="12"/>
  <c r="I8" i="12"/>
  <c r="I6" i="12"/>
  <c r="I7" i="12"/>
  <c r="I3" i="12"/>
  <c r="I5" i="12"/>
  <c r="I6" i="8"/>
  <c r="I5" i="8"/>
  <c r="I3" i="8"/>
  <c r="I11" i="6"/>
  <c r="I9" i="6"/>
  <c r="I4" i="6"/>
  <c r="I13" i="6"/>
  <c r="I10" i="6"/>
  <c r="I3" i="5"/>
  <c r="I10" i="5"/>
  <c r="I4" i="5"/>
  <c r="I9" i="5"/>
  <c r="I7" i="5"/>
  <c r="I5" i="5"/>
  <c r="E20" i="30"/>
  <c r="E3" i="30" s="1"/>
  <c r="E20" i="29"/>
  <c r="H22" i="29" s="1"/>
  <c r="H23" i="29" s="1"/>
  <c r="E3" i="26"/>
  <c r="E20" i="25"/>
  <c r="H22" i="25" s="1"/>
  <c r="H23" i="25" s="1"/>
  <c r="I11" i="22"/>
  <c r="I12" i="22"/>
  <c r="I9" i="22"/>
  <c r="I6" i="22"/>
  <c r="I5" i="22"/>
  <c r="I8" i="22"/>
  <c r="I4" i="22"/>
  <c r="E20" i="22" s="1"/>
  <c r="H22" i="22" s="1"/>
  <c r="H23" i="22" s="1"/>
  <c r="I7" i="22"/>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E20" i="16" l="1"/>
  <c r="H22" i="16" s="1"/>
  <c r="H23" i="16" s="1"/>
  <c r="E20" i="12"/>
  <c r="H22" i="12" s="1"/>
  <c r="H23" i="12" s="1"/>
  <c r="E20" i="8"/>
  <c r="H22" i="8" s="1"/>
  <c r="H23" i="8" s="1"/>
  <c r="E20" i="6"/>
  <c r="H22" i="6" s="1"/>
  <c r="H23" i="6" s="1"/>
  <c r="H22" i="24"/>
  <c r="H23" i="24" s="1"/>
  <c r="E20" i="20"/>
  <c r="H22" i="20" s="1"/>
  <c r="H23" i="20" s="1"/>
  <c r="E3" i="12"/>
  <c r="F12" i="23" s="1"/>
  <c r="G12" i="23" s="1"/>
  <c r="E20" i="5"/>
  <c r="E3" i="5" s="1"/>
  <c r="F5" i="23" s="1"/>
  <c r="G5" i="23" s="1"/>
  <c r="H22" i="30"/>
  <c r="H23" i="30" s="1"/>
  <c r="E3" i="29"/>
  <c r="E3" i="25"/>
  <c r="E3" i="22"/>
  <c r="E20" i="21"/>
  <c r="H22" i="21" s="1"/>
  <c r="H23" i="21" s="1"/>
  <c r="E20" i="19"/>
  <c r="H22" i="19" s="1"/>
  <c r="H23" i="19" s="1"/>
  <c r="E3" i="18"/>
  <c r="F18" i="23" s="1"/>
  <c r="G18" i="23" s="1"/>
  <c r="E20" i="15"/>
  <c r="H22" i="15" s="1"/>
  <c r="H23" i="15" s="1"/>
  <c r="E20" i="13"/>
  <c r="E3" i="13" s="1"/>
  <c r="F13" i="23" s="1"/>
  <c r="G13" i="23" s="1"/>
  <c r="E20" i="11"/>
  <c r="H22" i="11" s="1"/>
  <c r="H23" i="11" s="1"/>
  <c r="E20" i="10"/>
  <c r="H22" i="10" s="1"/>
  <c r="H23" i="10" s="1"/>
  <c r="E3" i="9"/>
  <c r="F9" i="23" s="1"/>
  <c r="G9" i="23" s="1"/>
  <c r="E20" i="7"/>
  <c r="E20" i="4"/>
  <c r="E3" i="4" s="1"/>
  <c r="F4" i="23" s="1"/>
  <c r="G4" i="23" s="1"/>
  <c r="E20" i="17"/>
  <c r="E20" i="1"/>
  <c r="E3" i="16" l="1"/>
  <c r="F16" i="23" s="1"/>
  <c r="G16" i="23" s="1"/>
  <c r="E3" i="6"/>
  <c r="F6" i="23" s="1"/>
  <c r="G6" i="23" s="1"/>
  <c r="E3" i="20"/>
  <c r="E3" i="8"/>
  <c r="F8" i="23" s="1"/>
  <c r="G8" i="23" s="1"/>
  <c r="F28" i="23"/>
  <c r="E3" i="21"/>
  <c r="E3" i="19"/>
  <c r="F19" i="23" s="1"/>
  <c r="G19" i="23" s="1"/>
  <c r="E3" i="15"/>
  <c r="F15" i="23" s="1"/>
  <c r="G15" i="23" s="1"/>
  <c r="H22" i="13"/>
  <c r="H23" i="13" s="1"/>
  <c r="E3" i="10"/>
  <c r="F10" i="23" s="1"/>
  <c r="G10" i="23" s="1"/>
  <c r="H22" i="5"/>
  <c r="H23" i="5" s="1"/>
  <c r="H22" i="4"/>
  <c r="H23" i="4" s="1"/>
  <c r="E3" i="11"/>
  <c r="F11" i="23" s="1"/>
  <c r="G11" i="23" s="1"/>
  <c r="H22" i="7"/>
  <c r="H23" i="7" s="1"/>
  <c r="E3" i="7"/>
  <c r="F7" i="23" s="1"/>
  <c r="G7" i="23" s="1"/>
  <c r="H22" i="17"/>
  <c r="H23" i="17" s="1"/>
  <c r="E3" i="17"/>
  <c r="F17" i="23" s="1"/>
  <c r="G17" i="23" s="1"/>
  <c r="E3" i="1"/>
  <c r="F3" i="23" s="1"/>
  <c r="G3" i="23" s="1"/>
  <c r="H22" i="1"/>
  <c r="H23" i="1" s="1"/>
  <c r="F27" i="23" l="1"/>
  <c r="F26" i="23"/>
  <c r="F22" i="23"/>
</calcChain>
</file>

<file path=xl/sharedStrings.xml><?xml version="1.0" encoding="utf-8"?>
<sst xmlns="http://schemas.openxmlformats.org/spreadsheetml/2006/main" count="934" uniqueCount="191">
  <si>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</si>
  <si>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</si>
  <si>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</si>
  <si>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</si>
  <si>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</si>
  <si>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</si>
  <si>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</si>
  <si>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</si>
  <si>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</si>
  <si>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</si>
  <si>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</si>
  <si>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</si>
  <si>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</si>
  <si>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</si>
  <si>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</si>
  <si>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</si>
  <si>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</si>
  <si>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</si>
  <si>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</si>
  <si>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</si>
  <si>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</si>
  <si>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</si>
  <si>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</si>
  <si>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</si>
  <si>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</si>
  <si>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</si>
  <si>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</si>
  <si>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</si>
  <si>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</si>
  <si>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</si>
  <si>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</si>
  <si>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lote</t>
  </si>
  <si>
    <t>qtde lotes</t>
  </si>
  <si>
    <t>total estimado</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</si>
  <si>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</si>
  <si>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</si>
  <si>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</si>
  <si>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CLAVES E NOTAS COMERCIO DE INSTRUMENTOS MUSICAIS LTDA</t>
  </si>
  <si>
    <t>CR3 COMERCIO ELETRONICO LTDA</t>
  </si>
  <si>
    <t>PEDRO G.FERNANDES</t>
  </si>
  <si>
    <t>17.410.769 VALNEIDES ARAUJO DA COSTA</t>
  </si>
  <si>
    <t>32.661.461 ROBSON SALVADOR PAIM</t>
  </si>
  <si>
    <t>ISALTEC COMERCIO DE INSTRUMENTOS DE MEDICAO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</si>
  <si>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</si>
  <si>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</si>
  <si>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</si>
  <si>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</si>
  <si>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</si>
  <si>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</si>
  <si>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</si>
  <si>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</si>
  <si>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MAGAZINE LUIZA</t>
  </si>
  <si>
    <t>AKG</t>
  </si>
  <si>
    <t>X5 MUSIC</t>
  </si>
  <si>
    <t>CASAS BAHIA</t>
  </si>
  <si>
    <t>KALIFA</t>
  </si>
  <si>
    <t>gl</t>
  </si>
  <si>
    <t>Solvente para limpeza .</t>
  </si>
  <si>
    <t>5l</t>
  </si>
  <si>
    <t>18l</t>
  </si>
  <si>
    <t>Solvente Poliuretano (Thinner PU)- embalagem 5 litros.</t>
  </si>
  <si>
    <t>Tinta acrílica fosca, cor branco neve, sem cheiro.</t>
  </si>
  <si>
    <t>Tinta acrílica para concreto, cor cinza .</t>
  </si>
  <si>
    <t>Tinta acrílica para piso, cor amarelo</t>
  </si>
  <si>
    <t>FERRAMENTAS KENNEDY</t>
  </si>
  <si>
    <t>LOJA DO MECANICO</t>
  </si>
  <si>
    <t>LED MAIS COMERCIO ( PAINEL DE PREÇOS)</t>
  </si>
  <si>
    <t>JANINE RAMOS DA SILVA ( PAINEL DE PREÇOS)</t>
  </si>
  <si>
    <t>AEROQUALITY COMERCIO (PAINEL DE PREÇOS)</t>
  </si>
  <si>
    <t>BIANCA TEIXEIRA</t>
  </si>
  <si>
    <t>ELETROFEST IMPORTAÇÃO</t>
  </si>
  <si>
    <t>CASTRO ARANTES</t>
  </si>
  <si>
    <t>NOVA POMPEIA COMERCIO VAREJISTA E</t>
  </si>
  <si>
    <t xml:space="preserve">S VASCONCELOS ROSAS </t>
  </si>
  <si>
    <t>A. DONIZETE DA SILVA</t>
  </si>
  <si>
    <t>FERREIRA COSTA</t>
  </si>
  <si>
    <t xml:space="preserve">WOLVES GROUP AND </t>
  </si>
  <si>
    <t>NEDA LOPES DUARTE</t>
  </si>
  <si>
    <t>SOMARK DISTRIBUIDORA DE PEÇAS</t>
  </si>
  <si>
    <t>AMAZON PRIME</t>
  </si>
  <si>
    <t>PRIME COMERCIO DE MATERIAIS</t>
  </si>
  <si>
    <t>THS BEZERRA LTDA</t>
  </si>
  <si>
    <t>ACAL HOME CENTER TINTAS</t>
  </si>
  <si>
    <t xml:space="preserve">FERREIRA COSTA </t>
  </si>
  <si>
    <t>Açucar Branco Granulado
Derivado da cana-de-açúcar 
Embalagem de 1 kg,
Com impressão do nome do fabricante, registro no Ministério da Saúde e validade do produto não inferior a 11 meses, contados da data do recebimento definitivo.
Acondicionado em caixas com até 30 unidades.</t>
  </si>
  <si>
    <t>quilograma</t>
  </si>
  <si>
    <t>Leite em pó Integral 
Derivado da vaca, Lata com 400g, 
Com impressão do nome do fabricante, registro no Ministério da Agricultura e validade do produto não inferior a 9 meses, contados da data do recebimento definitivo. 
Acondicionados em caixas com até 24 unidades.</t>
  </si>
  <si>
    <t>lata</t>
  </si>
  <si>
    <t>Água mineral
Acondicionada em copos de 200ml.
Com impressão do nome do fabricante, registro no Ministério da Saúde e validade do produto não inferior a 6 meses, contados da data do recebimento definitivo.
Embalagem: caixa contendo 48 copos.</t>
  </si>
  <si>
    <t>copo</t>
  </si>
  <si>
    <t>Água mineral 
Sem gás, 
Acondicionada em garrafão plástico transparente, de 20 litros (vasilhame + líquido), 
Com impressão do nome do fabricante, registro no Ministério da Saúde e validade do produto não inferior a 03 meses, contados da data do recebimento definitivo.
Fornecimento em vasilhames com validade de 3 anos a partir da data da entrega.</t>
  </si>
  <si>
    <t>Polpa de Acerola
Acondicionada em embalagens plásticas com 100g.
Com impressão do nome do fabricante, registro no Ministério da Saúde e validade do produto não inferior a 3 meses, contados da data do recebimento definitivo.</t>
  </si>
  <si>
    <t xml:space="preserve">Polpa de Goiaba 
Acondicionada em embalagens plásticas com 100g.
Com impressão do nome do fabricante, registro no Ministério da Saúde e validade do produto não inferior a 3 meses, contados da data do recebimento definitivo. </t>
  </si>
  <si>
    <t xml:space="preserve">Polpa de Maracujá 
Acondicionada em embalagens plásticas com 100g.
Com impressão do nome do fabricante, registro no Ministério da Saúde e validade do produto não inferior a 3 meses, contados da data do recebimento definitivo. </t>
  </si>
  <si>
    <t>Polpa de Morango 
Acondicionada em embalagens plásticas com 100g.
Com impressão do nome do fabricante, registro no Ministério da Saúde e validade do produto não inferior a 3 meses, contados da data do recebimento definitivo.</t>
  </si>
  <si>
    <t>Polpa de Cacau
Acondicionada em embalagens plásticas com 100g.
Com impressão do nome do fabricante, registro no Ministério da Saúde e validade do produto não inferior a 3 meses, contados da data do recebimento definitivo.</t>
  </si>
  <si>
    <t>Polpa de Abacaxi
Acondicionada em embalagens plásticas com 100g.
Com impressão do nome do fabricante, registro no Ministério da Saúde e validade do produto não inferior a 3 meses, contados da data do recebimento definitivo.</t>
  </si>
  <si>
    <t>Suco/ néctar em Caixa – Sabor Uva 200 ml</t>
  </si>
  <si>
    <t>caixa</t>
  </si>
  <si>
    <t>Suco/ néctar em Caixa – Sabor laranja 200 ml</t>
  </si>
  <si>
    <t>Biscoito Rosquinha – Sabor leite/nata – Embalagem com 360g (podendo variar em até 15g para mais ou para menos).</t>
  </si>
  <si>
    <t>pacote</t>
  </si>
  <si>
    <t>Biscoito Salgado – Pacotes de 24g cada (podendo variar 2g para mais ou para menos), acondicionados em embalagens com até 6 pacotes.</t>
  </si>
  <si>
    <t>Biscoito Rosquinha - Sabor chocolate/cacau – Embalagem com 360g (podendo variar em até 15g para mais ou para menos).</t>
  </si>
  <si>
    <t>Biscoito com recheio de Chocolate - Embalagem com 100g (podendo variar em até 10g para mais ou para menos)</t>
  </si>
  <si>
    <t>Adoçante Líquido Dietético, 
À base de Stevia, Sucralose ou Aspartame
Em embalagem plástica com 100 ml,  bico tipo conta gotas.
Rótulo com impressão do nome do fabricante, registro no Ministério da Saúde, data de fabricação e prazo de  validade do produto não inferior a 12 meses, contados da data do recebimento definitivo.
Acondicionados em caixas com até 30 unidades.</t>
  </si>
  <si>
    <t>frasco</t>
  </si>
  <si>
    <t>M A DE P SILVA LTDA</t>
  </si>
  <si>
    <t>ATUAL DISTRIBUIDORA DE PRODUTOS SANEANTES DOMISSANITARIOS LTDA</t>
  </si>
  <si>
    <t>T M M MURITIBA ALIMENTOS LTDA</t>
  </si>
  <si>
    <t>SUKOI ALIMENTOS LTDA</t>
  </si>
  <si>
    <t>J. C. VIEIRA LTDA</t>
  </si>
  <si>
    <t>51.423.189 MARIA EDUARDA NASCIMENTO DAMASCENO</t>
  </si>
  <si>
    <t>CASA D CARNE LTDA</t>
  </si>
  <si>
    <t>PARRADO COMERCIO E DISTRIBUIDORA DE PRODUTOS ALIMENTICIOS LTDA</t>
  </si>
  <si>
    <t>VIVIANI ANELISE MONTEIRO DE SOUZA</t>
  </si>
  <si>
    <t>47.380.199 NATHALIA MICHAELLE COSTA PERFEITO</t>
  </si>
  <si>
    <t>YOUC DISTRIBUIDORA LTDA</t>
  </si>
  <si>
    <t>MARCILENE PEREIRA NUNES</t>
  </si>
  <si>
    <t>DMS COMERCIO E DISTRIBUICAO DE CAFE LTDA</t>
  </si>
  <si>
    <t>CEABA DISTRIBUIDORA DE ALIMENTOS LTDA</t>
  </si>
  <si>
    <t>LUX COMERCIO E SERVICOS LTDA</t>
  </si>
  <si>
    <t>THIAGO GOMES BARBOSA COMERCIO</t>
  </si>
  <si>
    <t>NS BARROS EMPREENDIMENTOS LTDA</t>
  </si>
  <si>
    <t>MOB COMERCIO UTILIDADES LTDA</t>
  </si>
  <si>
    <t>51.504.444 ANDREIA DIAS SOARES DE SOUSA</t>
  </si>
  <si>
    <t>TARCISIO PAULO SOARES SILVA</t>
  </si>
  <si>
    <t>HORTOFLA COMERCIO LTDA</t>
  </si>
  <si>
    <t>COMSABOR COMERCIO DE ALIMENTOS LTDA</t>
  </si>
  <si>
    <t>BAHIA CESTAS LTDA</t>
  </si>
  <si>
    <t>ALFREDO AGLE SANTANA BARACAT HABIB LTDA</t>
  </si>
  <si>
    <t>M M X EMPREENDIMENTOS E SERVICOS LTDA</t>
  </si>
  <si>
    <t>PEDRO AYRTON JACOBINA MOTA ALMEIDA LTDA</t>
  </si>
  <si>
    <t>MEL DISTRIBUIDORA LTDA</t>
  </si>
  <si>
    <t>ROBSON DA SILVA ANDRADE COMERCIO E SERVICO LTDA</t>
  </si>
  <si>
    <t>52.174.592 LUCAS PEIXOTO LEONES</t>
  </si>
  <si>
    <t>VANESSA DOS SANTOS SILVA</t>
  </si>
  <si>
    <t>MC COMERCIO DE AGUA MINERAL E PRODUTOS ALIMENTICIOS LTDA</t>
  </si>
  <si>
    <t>NELSON DA SILVA</t>
  </si>
  <si>
    <t>J.C.M MARQUES</t>
  </si>
  <si>
    <t>DAVID RODRIGUES FERNANDES</t>
  </si>
  <si>
    <t>J R DE JESUS ASSIS LTDA</t>
  </si>
  <si>
    <t>ASSOCIACAO DOS PEQUENOS PRODUTORES FAMILIARES DE NOVO ACORDO-MUNICIPIO DE ALCOBA</t>
  </si>
  <si>
    <t>53.725.372 ALPHONSO ERNESTO EDWARDS</t>
  </si>
  <si>
    <t>LKB COMERCIO LTDA</t>
  </si>
  <si>
    <t>CLODOALDO SOUZA BOMFIM DE CAMAMU</t>
  </si>
  <si>
    <t>COMERCIAL VALOIS LTDA</t>
  </si>
  <si>
    <t>LEONARDO DA CRUZ DANTAS</t>
  </si>
  <si>
    <t>MVR NOVIDADES LTDA</t>
  </si>
  <si>
    <t>SULIMAR LEITE DE SIQUEIRA</t>
  </si>
  <si>
    <t>OSMAF ALIMENTOS LTDA</t>
  </si>
  <si>
    <t>COOPERATIVA DOS AGRICULTORES FAMILIARES DE UBERLANDIA E REGIAO</t>
  </si>
  <si>
    <t>TILIM COMERCIO DE ALIMENTOS LTDA</t>
  </si>
  <si>
    <t>D. DA SILVA DUARTE TRANSPORTE LTDA</t>
  </si>
  <si>
    <t>DISTRIBUIDORA TIO IVO LTDA</t>
  </si>
  <si>
    <t>COOPERATIVA DE PRODUCAO AGROINDUSTRIAL FAMILIAR DE QUILOMBO - COPERAQUI</t>
  </si>
  <si>
    <t>CRF ALIMENTOS LTDA</t>
  </si>
  <si>
    <t>L P MENDONCA SOBRINHO</t>
  </si>
  <si>
    <t>POLPA NORDESTE INDUSTRIA E COMERCIO LTDA</t>
  </si>
  <si>
    <t>51.260.770 CAIAN CARDOSO DA SILVA</t>
  </si>
  <si>
    <t>RAK - INDUSTRIA E COMERCIO DE PRODUTOS ALIMENTICIOS LTDA</t>
  </si>
  <si>
    <t>KENNEDY ALIMENTOS LTDA</t>
  </si>
  <si>
    <t>ARCANJOS COMERCIAL DE ALIMENTOS LTDA</t>
  </si>
  <si>
    <t>ADRIANO C. BRANDAO LTDA</t>
  </si>
  <si>
    <t>NARA COMERCIAL DE ALIMENTOS LTDA</t>
  </si>
  <si>
    <t>DISTRIBUIDORA DE ALIMENTOS ATM LTDA</t>
  </si>
  <si>
    <t>C. M. BARBALHO</t>
  </si>
  <si>
    <t>C TEIXEIRA 110 COMERCIO DE ALIMENTOS LTDA</t>
  </si>
  <si>
    <t>ATLANTICA SOLUCOES INTEGRADAS LTDA</t>
  </si>
  <si>
    <t>R DA SILVA BRISIO COMERCIAL DE ALIMENTOS</t>
  </si>
  <si>
    <t>KROMO DISTRIBUIDORA LTDA</t>
  </si>
  <si>
    <t>SILVA &amp; OLIVEIRA LTDA</t>
  </si>
  <si>
    <t>W SILVA COMERCIO E SERVICOS LTDA</t>
  </si>
  <si>
    <t>NPE COMERCIO E SERVICOS LTDA</t>
  </si>
  <si>
    <t>PLANALTO COMERCIO E TRANSPORTES DE ALIMENTOS LTDA</t>
  </si>
  <si>
    <t>JBF DISTRIBUIDORA DE ALIMENTOS LTDA</t>
  </si>
  <si>
    <t>R &amp; M ALIMENTOS LTDA</t>
  </si>
  <si>
    <t>MEGADEC DISTRIBUIDORA LTDA</t>
  </si>
  <si>
    <t>STS COMERCIO E DISTRIBUICAO LTDA</t>
  </si>
  <si>
    <t>SUPPLY VITAL LTDA</t>
  </si>
  <si>
    <t>MARIA CLARICE VILAS BOAS RIBEIRO E CIA LTDA</t>
  </si>
  <si>
    <t>L J DA SILVA NASCIMENTO</t>
  </si>
  <si>
    <t>JC TEIXEIRA &amp; CIA LTDA</t>
  </si>
  <si>
    <t>GRAN DISTRIBUIDORA LTDA</t>
  </si>
  <si>
    <t>D DOS S VASQUES LTDA</t>
  </si>
  <si>
    <t>OMEGA DISTRIBUIDORA DE PRODUTOS ALIMENTICIOS LTDA</t>
  </si>
  <si>
    <t>INFORSHOP SUPRIMENTOS LTDA</t>
  </si>
  <si>
    <t>SUPRICORP SUPRIMENTOS LTDA</t>
  </si>
  <si>
    <t>MANOEL TADEU GONCALVES DE OLIVEIRA JUNIOR</t>
  </si>
  <si>
    <t>R L A MOREIRA DISTRIBUIDORA</t>
  </si>
  <si>
    <t>PH COMERCIAL LTDA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</si>
</sst>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0">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applyAlignment="1">
      <alignment horizontal="right"/>
    </xf>
    <xf numFmtId="0" fontId="8" fillId="2" borderId="3" xfId="0" applyFont="1" applyFill="1" applyBorder="1" applyAlignment="1">
      <alignment horizontal="center"/>
    </xf>
    <xf numFmtId="44" fontId="8" fillId="2" borderId="1" xfId="1" applyFont="1" applyFill="1" applyBorder="1" applyAlignment="1">
      <alignment horizontal="center"/>
    </xf>
    <xf numFmtId="0" fontId="8" fillId="2" borderId="1" xfId="0" applyFont="1" applyFill="1" applyBorder="1" applyAlignment="1">
      <alignment horizontal="right"/>
    </xf>
    <xf numFmtId="0" fontId="8" fillId="2" borderId="4" xfId="0" applyFont="1" applyFill="1" applyBorder="1"/>
    <xf numFmtId="0" fontId="8" fillId="2" borderId="5" xfId="0" applyFont="1" applyFill="1" applyBorder="1" applyAlignment="1">
      <alignment horizontal="right"/>
    </xf>
    <xf numFmtId="44" fontId="8" fillId="2" borderId="6"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7"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5" sqref="G15"/>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v>
      </c>
      <c r="B3" s="34" t="s">
        <v>84</v>
      </c>
      <c r="C3" s="36" t="s">
        <v>85</v>
      </c>
      <c r="D3" s="36">
        <v>4800</v>
      </c>
      <c r="E3" s="37">
        <f>IF(C20&lt;=25%,D20,MIN(E20:F20))</f>
        <v>4.26</v>
      </c>
      <c r="F3" s="37">
        <f>MIN(H3:H17)</f>
        <v>2.82</v>
      </c>
      <c r="G3" s="5" t="s">
        <v>107</v>
      </c>
      <c r="H3" s="16">
        <v>3.75</v>
      </c>
      <c r="I3" s="17" t="str">
        <f>IF(H3="","",(IF($C$20&lt;25%,"n/a",IF(H3&lt;=($D$20+$A$20),H3,"Descartado"))))</f>
        <v>n/a</v>
      </c>
    </row>
    <row r="4" spans="1:9" x14ac:dyDescent="0.25">
      <c r="A4" s="38"/>
      <c r="B4" s="35"/>
      <c r="C4" s="36"/>
      <c r="D4" s="36"/>
      <c r="E4" s="37"/>
      <c r="F4" s="37"/>
      <c r="G4" s="5" t="s">
        <v>108</v>
      </c>
      <c r="H4" s="16">
        <v>4.88</v>
      </c>
      <c r="I4" s="17" t="str">
        <f t="shared" ref="I4:I17" si="0">IF(H4="","",(IF($C$20&lt;25%,"n/a",IF(H4&lt;=($D$20+$A$20),H4,"Descartado"))))</f>
        <v>n/a</v>
      </c>
    </row>
    <row r="5" spans="1:9" x14ac:dyDescent="0.25">
      <c r="A5" s="38"/>
      <c r="B5" s="35"/>
      <c r="C5" s="36"/>
      <c r="D5" s="36"/>
      <c r="E5" s="37"/>
      <c r="F5" s="37"/>
      <c r="G5" s="5" t="s">
        <v>109</v>
      </c>
      <c r="H5" s="16">
        <v>4.0199999999999996</v>
      </c>
      <c r="I5" s="17" t="str">
        <f t="shared" si="0"/>
        <v>n/a</v>
      </c>
    </row>
    <row r="6" spans="1:9" x14ac:dyDescent="0.25">
      <c r="A6" s="38"/>
      <c r="B6" s="35"/>
      <c r="C6" s="36"/>
      <c r="D6" s="36"/>
      <c r="E6" s="37"/>
      <c r="F6" s="37"/>
      <c r="G6" s="5" t="s">
        <v>110</v>
      </c>
      <c r="H6" s="16">
        <v>3.5</v>
      </c>
      <c r="I6" s="17" t="str">
        <f t="shared" si="0"/>
        <v>n/a</v>
      </c>
    </row>
    <row r="7" spans="1:9" x14ac:dyDescent="0.25">
      <c r="A7" s="38"/>
      <c r="B7" s="35"/>
      <c r="C7" s="36"/>
      <c r="D7" s="36"/>
      <c r="E7" s="37"/>
      <c r="F7" s="37"/>
      <c r="G7" s="5" t="s">
        <v>111</v>
      </c>
      <c r="H7" s="16">
        <v>4.07</v>
      </c>
      <c r="I7" s="17" t="str">
        <f t="shared" si="0"/>
        <v>n/a</v>
      </c>
    </row>
    <row r="8" spans="1:9" x14ac:dyDescent="0.25">
      <c r="A8" s="38"/>
      <c r="B8" s="35"/>
      <c r="C8" s="36"/>
      <c r="D8" s="36"/>
      <c r="E8" s="37"/>
      <c r="F8" s="37"/>
      <c r="G8" s="5" t="s">
        <v>112</v>
      </c>
      <c r="H8" s="16">
        <v>4.1900000000000004</v>
      </c>
      <c r="I8" s="17" t="str">
        <f t="shared" si="0"/>
        <v>n/a</v>
      </c>
    </row>
    <row r="9" spans="1:9" x14ac:dyDescent="0.25">
      <c r="A9" s="38"/>
      <c r="B9" s="35"/>
      <c r="C9" s="36"/>
      <c r="D9" s="36"/>
      <c r="E9" s="37"/>
      <c r="F9" s="37"/>
      <c r="G9" s="5" t="s">
        <v>113</v>
      </c>
      <c r="H9" s="16">
        <v>3.49</v>
      </c>
      <c r="I9" s="17" t="str">
        <f t="shared" si="0"/>
        <v>n/a</v>
      </c>
    </row>
    <row r="10" spans="1:9" x14ac:dyDescent="0.25">
      <c r="A10" s="38"/>
      <c r="B10" s="35"/>
      <c r="C10" s="36"/>
      <c r="D10" s="36"/>
      <c r="E10" s="37"/>
      <c r="F10" s="37"/>
      <c r="G10" s="5" t="s">
        <v>114</v>
      </c>
      <c r="H10" s="16">
        <v>3.57</v>
      </c>
      <c r="I10" s="17" t="str">
        <f t="shared" si="0"/>
        <v>n/a</v>
      </c>
    </row>
    <row r="11" spans="1:9" x14ac:dyDescent="0.25">
      <c r="A11" s="38"/>
      <c r="B11" s="35"/>
      <c r="C11" s="36"/>
      <c r="D11" s="36"/>
      <c r="E11" s="37"/>
      <c r="F11" s="37"/>
      <c r="G11" s="5" t="s">
        <v>115</v>
      </c>
      <c r="H11" s="16">
        <v>5.65</v>
      </c>
      <c r="I11" s="17" t="str">
        <f t="shared" si="0"/>
        <v>n/a</v>
      </c>
    </row>
    <row r="12" spans="1:9" x14ac:dyDescent="0.25">
      <c r="A12" s="38"/>
      <c r="B12" s="35"/>
      <c r="C12" s="36"/>
      <c r="D12" s="36"/>
      <c r="E12" s="37"/>
      <c r="F12" s="37"/>
      <c r="G12" s="5" t="s">
        <v>116</v>
      </c>
      <c r="H12" s="16">
        <v>4.72</v>
      </c>
      <c r="I12" s="17" t="str">
        <f t="shared" si="0"/>
        <v>n/a</v>
      </c>
    </row>
    <row r="13" spans="1:9" x14ac:dyDescent="0.25">
      <c r="A13" s="38"/>
      <c r="B13" s="35"/>
      <c r="C13" s="36"/>
      <c r="D13" s="36"/>
      <c r="E13" s="37"/>
      <c r="F13" s="37"/>
      <c r="G13" s="5" t="s">
        <v>117</v>
      </c>
      <c r="H13" s="16">
        <v>2.82</v>
      </c>
      <c r="I13" s="17" t="str">
        <f t="shared" si="0"/>
        <v>n/a</v>
      </c>
    </row>
    <row r="14" spans="1:9" x14ac:dyDescent="0.25">
      <c r="A14" s="38"/>
      <c r="B14" s="35"/>
      <c r="C14" s="36"/>
      <c r="D14" s="36"/>
      <c r="E14" s="37"/>
      <c r="F14" s="37"/>
      <c r="G14" s="5" t="s">
        <v>118</v>
      </c>
      <c r="H14" s="16">
        <v>6.5</v>
      </c>
      <c r="I14" s="17" t="str">
        <f t="shared" si="0"/>
        <v>n/a</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1.0279930432496616</v>
      </c>
      <c r="B20" s="8">
        <f>COUNT(H3:H17)</f>
        <v>12</v>
      </c>
      <c r="C20" s="9">
        <f>IF(B20&lt;2,"n/a",(A20/D20))</f>
        <v>0.24131292095062479</v>
      </c>
      <c r="D20" s="10">
        <f>IFERROR(ROUND(AVERAGE(H3:H17),2),"")</f>
        <v>4.26</v>
      </c>
      <c r="E20" s="15" t="str">
        <f>IFERROR(ROUND(IF(B20&lt;2,"n/a",(IF(C20&lt;=25%,"n/a",AVERAGE(I3:I17)))),2),"n/a")</f>
        <v>n/a</v>
      </c>
      <c r="F20" s="10">
        <f>IFERROR(ROUND(MEDIAN(H3:H17),2),"")</f>
        <v>4.05</v>
      </c>
      <c r="G20" s="11" t="str">
        <f>IFERROR(INDEX(G3:G17,MATCH(H20,H3:H17,0)),"")</f>
        <v>YOUC DISTRIBUIDORA LTDA</v>
      </c>
      <c r="H20" s="12">
        <f>F3</f>
        <v>2.82</v>
      </c>
    </row>
    <row r="22" spans="1:9" x14ac:dyDescent="0.25">
      <c r="G22" s="13" t="s">
        <v>20</v>
      </c>
      <c r="H22" s="14">
        <f>IF(C20&lt;=25%,D20,MIN(E20:F20))</f>
        <v>4.26</v>
      </c>
    </row>
    <row r="23" spans="1:9" x14ac:dyDescent="0.25">
      <c r="G23" s="13" t="s">
        <v>6</v>
      </c>
      <c r="H23" s="14">
        <f>ROUND(H22,2)*D3</f>
        <v>20448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7" sqref="G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10</v>
      </c>
      <c r="B3" s="34" t="s">
        <v>96</v>
      </c>
      <c r="C3" s="36" t="s">
        <v>85</v>
      </c>
      <c r="D3" s="36">
        <v>40</v>
      </c>
      <c r="E3" s="37">
        <f>IF(C20&lt;=25%,D20,MIN(E20:F20))</f>
        <v>7.16</v>
      </c>
      <c r="F3" s="37">
        <f>MIN(H3:H17)</f>
        <v>4.93</v>
      </c>
      <c r="G3" s="5" t="s">
        <v>141</v>
      </c>
      <c r="H3" s="16">
        <v>5.8</v>
      </c>
      <c r="I3" s="17">
        <f>IF(H3="","",(IF($C$20&lt;25%,"n/a",IF(H3&lt;=($D$20+$A$20),H3,"Descartado"))))</f>
        <v>5.8</v>
      </c>
    </row>
    <row r="4" spans="1:9" x14ac:dyDescent="0.25">
      <c r="A4" s="38"/>
      <c r="B4" s="35"/>
      <c r="C4" s="36"/>
      <c r="D4" s="36"/>
      <c r="E4" s="37"/>
      <c r="F4" s="37"/>
      <c r="G4" s="5" t="s">
        <v>150</v>
      </c>
      <c r="H4" s="16">
        <v>4.93</v>
      </c>
      <c r="I4" s="17">
        <f t="shared" ref="I4:I17" si="0">IF(H4="","",(IF($C$20&lt;25%,"n/a",IF(H4&lt;=($D$20+$A$20),H4,"Descartado"))))</f>
        <v>4.93</v>
      </c>
    </row>
    <row r="5" spans="1:9" x14ac:dyDescent="0.25">
      <c r="A5" s="38"/>
      <c r="B5" s="35"/>
      <c r="C5" s="36"/>
      <c r="D5" s="36"/>
      <c r="E5" s="37"/>
      <c r="F5" s="37"/>
      <c r="G5" s="5" t="s">
        <v>145</v>
      </c>
      <c r="H5" s="16">
        <v>16</v>
      </c>
      <c r="I5" s="17" t="str">
        <f t="shared" si="0"/>
        <v>Descartado</v>
      </c>
    </row>
    <row r="6" spans="1:9" x14ac:dyDescent="0.25">
      <c r="A6" s="38"/>
      <c r="B6" s="35"/>
      <c r="C6" s="36"/>
      <c r="D6" s="36"/>
      <c r="E6" s="37"/>
      <c r="F6" s="37"/>
      <c r="G6" s="5" t="s">
        <v>160</v>
      </c>
      <c r="H6" s="16">
        <v>10.75</v>
      </c>
      <c r="I6" s="17">
        <f t="shared" si="0"/>
        <v>10.75</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5.1094618111891172</v>
      </c>
      <c r="B20" s="8">
        <f>COUNT(H3:H17)</f>
        <v>4</v>
      </c>
      <c r="C20" s="9">
        <f>IF(B20&lt;2,"n/a",(A20/D20))</f>
        <v>0.54530008657301154</v>
      </c>
      <c r="D20" s="10">
        <f>IFERROR(ROUND(AVERAGE(H3:H17),2),"")</f>
        <v>9.3699999999999992</v>
      </c>
      <c r="E20" s="15">
        <f>IFERROR(ROUND(IF(B20&lt;2,"n/a",(IF(C20&lt;=25%,"n/a",AVERAGE(I3:I17)))),2),"n/a")</f>
        <v>7.16</v>
      </c>
      <c r="F20" s="10">
        <f>IFERROR(ROUND(MEDIAN(H3:H17),2),"")</f>
        <v>8.2799999999999994</v>
      </c>
      <c r="G20" s="11" t="str">
        <f>IFERROR(INDEX(G3:G17,MATCH(H20,H3:H17,0)),"")</f>
        <v>OSMAF ALIMENTOS LTDA</v>
      </c>
      <c r="H20" s="12">
        <f>F3</f>
        <v>4.93</v>
      </c>
    </row>
    <row r="22" spans="1:9" x14ac:dyDescent="0.25">
      <c r="G22" s="13" t="s">
        <v>20</v>
      </c>
      <c r="H22" s="14">
        <f>IF(C20&lt;=25%,D20,MIN(E20:F20))</f>
        <v>7.16</v>
      </c>
    </row>
    <row r="23" spans="1:9" x14ac:dyDescent="0.25">
      <c r="G23" s="13" t="s">
        <v>6</v>
      </c>
      <c r="H23" s="14">
        <f>ROUND(H22,2)*D3</f>
        <v>286.39999999999998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7" sqref="G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11</v>
      </c>
      <c r="B3" s="34" t="s">
        <v>97</v>
      </c>
      <c r="C3" s="36" t="s">
        <v>98</v>
      </c>
      <c r="D3" s="36">
        <v>300</v>
      </c>
      <c r="E3" s="37">
        <f>IF(C20&lt;=25%,D20,MIN(E20:F20))</f>
        <v>1.1499999999999999</v>
      </c>
      <c r="F3" s="37">
        <f>MIN(H3:H17)</f>
        <v>0.8</v>
      </c>
      <c r="G3" s="5" t="s">
        <v>161</v>
      </c>
      <c r="H3" s="16">
        <v>1.32</v>
      </c>
      <c r="I3" s="17" t="str">
        <f>IF(H3="","",(IF($C$20&lt;25%,"n/a",IF(H3&lt;=($D$20+$A$20),H3,"Descartado"))))</f>
        <v>n/a</v>
      </c>
    </row>
    <row r="4" spans="1:9" x14ac:dyDescent="0.25">
      <c r="A4" s="38"/>
      <c r="B4" s="35"/>
      <c r="C4" s="36"/>
      <c r="D4" s="36"/>
      <c r="E4" s="37"/>
      <c r="F4" s="37"/>
      <c r="G4" s="5" t="s">
        <v>152</v>
      </c>
      <c r="H4" s="16">
        <v>1.25</v>
      </c>
      <c r="I4" s="17" t="str">
        <f t="shared" ref="I4:I17" si="0">IF(H4="","",(IF($C$20&lt;25%,"n/a",IF(H4&lt;=($D$20+$A$20),H4,"Descartado"))))</f>
        <v>n/a</v>
      </c>
    </row>
    <row r="5" spans="1:9" x14ac:dyDescent="0.25">
      <c r="A5" s="38"/>
      <c r="B5" s="35"/>
      <c r="C5" s="36"/>
      <c r="D5" s="36"/>
      <c r="E5" s="37"/>
      <c r="F5" s="37"/>
      <c r="G5" s="5" t="s">
        <v>162</v>
      </c>
      <c r="H5" s="16">
        <v>0.8</v>
      </c>
      <c r="I5" s="17" t="str">
        <f t="shared" si="0"/>
        <v>n/a</v>
      </c>
    </row>
    <row r="6" spans="1:9" x14ac:dyDescent="0.25">
      <c r="A6" s="38"/>
      <c r="B6" s="35"/>
      <c r="C6" s="36"/>
      <c r="D6" s="36"/>
      <c r="E6" s="37"/>
      <c r="F6" s="37"/>
      <c r="G6" s="5" t="s">
        <v>112</v>
      </c>
      <c r="H6" s="16">
        <v>1.22</v>
      </c>
      <c r="I6" s="17" t="str">
        <f t="shared" si="0"/>
        <v>n/a</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0.23542514733987149</v>
      </c>
      <c r="B20" s="8">
        <f>COUNT(H3:H17)</f>
        <v>4</v>
      </c>
      <c r="C20" s="9">
        <f>IF(B20&lt;2,"n/a",(A20/D20))</f>
        <v>0.20471751942597521</v>
      </c>
      <c r="D20" s="10">
        <f>IFERROR(ROUND(AVERAGE(H3:H17),2),"")</f>
        <v>1.1499999999999999</v>
      </c>
      <c r="E20" s="15" t="str">
        <f>IFERROR(ROUND(IF(B20&lt;2,"n/a",(IF(C20&lt;=25%,"n/a",AVERAGE(I3:I17)))),2),"n/a")</f>
        <v>n/a</v>
      </c>
      <c r="F20" s="10">
        <f>IFERROR(ROUND(MEDIAN(H3:H17),2),"")</f>
        <v>1.24</v>
      </c>
      <c r="G20" s="11" t="str">
        <f>IFERROR(INDEX(G3:G17,MATCH(H20,H3:H17,0)),"")</f>
        <v>ARCANJOS COMERCIAL DE ALIMENTOS LTDA</v>
      </c>
      <c r="H20" s="12">
        <f>F3</f>
        <v>0.8</v>
      </c>
    </row>
    <row r="22" spans="1:9" x14ac:dyDescent="0.25">
      <c r="G22" s="13" t="s">
        <v>20</v>
      </c>
      <c r="H22" s="14">
        <f>IF(C20&lt;=25%,D20,MIN(E20:F20))</f>
        <v>1.1499999999999999</v>
      </c>
    </row>
    <row r="23" spans="1:9" x14ac:dyDescent="0.25">
      <c r="G23" s="13" t="s">
        <v>6</v>
      </c>
      <c r="H23" s="14">
        <f>ROUND(H22,2)*D3</f>
        <v>345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6" sqref="G6"/>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12</v>
      </c>
      <c r="B3" s="34" t="s">
        <v>99</v>
      </c>
      <c r="C3" s="36" t="s">
        <v>98</v>
      </c>
      <c r="D3" s="36">
        <v>300</v>
      </c>
      <c r="E3" s="37">
        <f>IF(C20&lt;=25%,D20,MIN(E20:F20))</f>
        <v>1.22</v>
      </c>
      <c r="F3" s="37">
        <f>MIN(H3:H17)</f>
        <v>0.9506</v>
      </c>
      <c r="G3" s="5" t="s">
        <v>163</v>
      </c>
      <c r="H3" s="16">
        <v>0.9506</v>
      </c>
      <c r="I3" s="17" t="str">
        <f>IF(H3="","",(IF($C$20&lt;25%,"n/a",IF(H3&lt;=($D$20+$A$20),H3,"Descartado"))))</f>
        <v>n/a</v>
      </c>
    </row>
    <row r="4" spans="1:9" x14ac:dyDescent="0.25">
      <c r="A4" s="38"/>
      <c r="B4" s="35"/>
      <c r="C4" s="36"/>
      <c r="D4" s="36"/>
      <c r="E4" s="37"/>
      <c r="F4" s="37"/>
      <c r="G4" s="5" t="s">
        <v>164</v>
      </c>
      <c r="H4" s="16">
        <v>1.5</v>
      </c>
      <c r="I4" s="17" t="str">
        <f t="shared" ref="I4:I17" si="0">IF(H4="","",(IF($C$20&lt;25%,"n/a",IF(H4&lt;=($D$20+$A$20),H4,"Descartado"))))</f>
        <v>n/a</v>
      </c>
    </row>
    <row r="5" spans="1:9" x14ac:dyDescent="0.25">
      <c r="A5" s="38"/>
      <c r="B5" s="35"/>
      <c r="C5" s="36"/>
      <c r="D5" s="36"/>
      <c r="E5" s="37"/>
      <c r="F5" s="37"/>
      <c r="G5" s="5" t="s">
        <v>112</v>
      </c>
      <c r="H5" s="16">
        <v>1.2</v>
      </c>
      <c r="I5" s="17" t="str">
        <f t="shared" si="0"/>
        <v>n/a</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0.27508808286316883</v>
      </c>
      <c r="B20" s="8">
        <f>COUNT(H3:H17)</f>
        <v>3</v>
      </c>
      <c r="C20" s="9">
        <f>IF(B20&lt;2,"n/a",(A20/D20))</f>
        <v>0.22548203513374496</v>
      </c>
      <c r="D20" s="10">
        <f>IFERROR(ROUND(AVERAGE(H3:H17),2),"")</f>
        <v>1.22</v>
      </c>
      <c r="E20" s="15" t="str">
        <f>IFERROR(ROUND(IF(B20&lt;2,"n/a",(IF(C20&lt;=25%,"n/a",AVERAGE(I3:I17)))),2),"n/a")</f>
        <v>n/a</v>
      </c>
      <c r="F20" s="10">
        <f>IFERROR(ROUND(MEDIAN(H3:H17),2),"")</f>
        <v>1.2</v>
      </c>
      <c r="G20" s="11" t="str">
        <f>IFERROR(INDEX(G3:G17,MATCH(H20,H3:H17,0)),"")</f>
        <v>ADRIANO C. BRANDAO LTDA</v>
      </c>
      <c r="H20" s="12">
        <f>F3</f>
        <v>0.9506</v>
      </c>
    </row>
    <row r="22" spans="1:9" x14ac:dyDescent="0.25">
      <c r="G22" s="13" t="s">
        <v>20</v>
      </c>
      <c r="H22" s="14">
        <f>IF(C20&lt;=25%,D20,MIN(E20:F20))</f>
        <v>1.22</v>
      </c>
    </row>
    <row r="23" spans="1:9" x14ac:dyDescent="0.25">
      <c r="G23" s="13" t="s">
        <v>6</v>
      </c>
      <c r="H23" s="14">
        <f>ROUND(H22,2)*D3</f>
        <v>366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8" sqref="G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13</v>
      </c>
      <c r="B3" s="34" t="s">
        <v>100</v>
      </c>
      <c r="C3" s="36" t="s">
        <v>101</v>
      </c>
      <c r="D3" s="36">
        <v>300</v>
      </c>
      <c r="E3" s="37">
        <f>IF(C20&lt;=25%,D20,MIN(E20:F20))</f>
        <v>5.93</v>
      </c>
      <c r="F3" s="37">
        <f>MIN(H3:H17)</f>
        <v>3.89</v>
      </c>
      <c r="G3" s="5" t="s">
        <v>165</v>
      </c>
      <c r="H3" s="16">
        <v>4.5</v>
      </c>
      <c r="I3" s="17">
        <f>IF(H3="","",(IF($C$20&lt;25%,"n/a",IF(H3&lt;=($D$20+$A$20),H3,"Descartado"))))</f>
        <v>4.5</v>
      </c>
    </row>
    <row r="4" spans="1:9" x14ac:dyDescent="0.25">
      <c r="A4" s="38"/>
      <c r="B4" s="35"/>
      <c r="C4" s="36"/>
      <c r="D4" s="36"/>
      <c r="E4" s="37"/>
      <c r="F4" s="37"/>
      <c r="G4" s="5" t="s">
        <v>166</v>
      </c>
      <c r="H4" s="16">
        <v>7</v>
      </c>
      <c r="I4" s="17">
        <f t="shared" ref="I4:I17" si="0">IF(H4="","",(IF($C$20&lt;25%,"n/a",IF(H4&lt;=($D$20+$A$20),H4,"Descartado"))))</f>
        <v>7</v>
      </c>
    </row>
    <row r="5" spans="1:9" x14ac:dyDescent="0.25">
      <c r="A5" s="38"/>
      <c r="B5" s="35"/>
      <c r="C5" s="36"/>
      <c r="D5" s="36"/>
      <c r="E5" s="37"/>
      <c r="F5" s="37"/>
      <c r="G5" s="5" t="s">
        <v>154</v>
      </c>
      <c r="H5" s="16">
        <v>3.89</v>
      </c>
      <c r="I5" s="17">
        <f t="shared" si="0"/>
        <v>3.89</v>
      </c>
    </row>
    <row r="6" spans="1:9" x14ac:dyDescent="0.25">
      <c r="A6" s="38"/>
      <c r="B6" s="35"/>
      <c r="C6" s="36"/>
      <c r="D6" s="36"/>
      <c r="E6" s="37"/>
      <c r="F6" s="37"/>
      <c r="G6" s="5" t="s">
        <v>167</v>
      </c>
      <c r="H6" s="16">
        <v>7.5</v>
      </c>
      <c r="I6" s="17">
        <f t="shared" si="0"/>
        <v>7.5</v>
      </c>
    </row>
    <row r="7" spans="1:9" x14ac:dyDescent="0.25">
      <c r="A7" s="38"/>
      <c r="B7" s="35"/>
      <c r="C7" s="36"/>
      <c r="D7" s="36"/>
      <c r="E7" s="37"/>
      <c r="F7" s="37"/>
      <c r="G7" s="5" t="s">
        <v>168</v>
      </c>
      <c r="H7" s="16">
        <v>6.78</v>
      </c>
      <c r="I7" s="17">
        <f t="shared" si="0"/>
        <v>6.78</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1.6231697385054946</v>
      </c>
      <c r="B20" s="8">
        <f>COUNT(H3:H17)</f>
        <v>5</v>
      </c>
      <c r="C20" s="9">
        <f>IF(B20&lt;2,"n/a",(A20/D20))</f>
        <v>0.2737217096973853</v>
      </c>
      <c r="D20" s="10">
        <f>IFERROR(ROUND(AVERAGE(H3:H17),2),"")</f>
        <v>5.93</v>
      </c>
      <c r="E20" s="15">
        <f>IFERROR(ROUND(IF(B20&lt;2,"n/a",(IF(C20&lt;=25%,"n/a",AVERAGE(I3:I17)))),2),"n/a")</f>
        <v>5.93</v>
      </c>
      <c r="F20" s="10">
        <f>IFERROR(ROUND(MEDIAN(H3:H17),2),"")</f>
        <v>6.78</v>
      </c>
      <c r="G20" s="11" t="str">
        <f>IFERROR(INDEX(G3:G17,MATCH(H20,H3:H17,0)),"")</f>
        <v>DISTRIBUIDORA TIO IVO LTDA</v>
      </c>
      <c r="H20" s="12">
        <f>F3</f>
        <v>3.89</v>
      </c>
    </row>
    <row r="22" spans="1:9" x14ac:dyDescent="0.25">
      <c r="G22" s="13" t="s">
        <v>20</v>
      </c>
      <c r="H22" s="14">
        <f>IF(C20&lt;=25%,D20,MIN(E20:F20))</f>
        <v>5.93</v>
      </c>
    </row>
    <row r="23" spans="1:9" x14ac:dyDescent="0.25">
      <c r="G23" s="13" t="s">
        <v>6</v>
      </c>
      <c r="H23" s="14">
        <f>ROUND(H22,2)*D3</f>
        <v>1779</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8" sqref="G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14</v>
      </c>
      <c r="B3" s="34" t="s">
        <v>102</v>
      </c>
      <c r="C3" s="36" t="s">
        <v>101</v>
      </c>
      <c r="D3" s="36">
        <v>500</v>
      </c>
      <c r="E3" s="37">
        <f>IF(C20&lt;=25%,D20,MIN(E20:F20))</f>
        <v>3.58</v>
      </c>
      <c r="F3" s="37">
        <f>MIN(H3:H17)</f>
        <v>0.87</v>
      </c>
      <c r="G3" s="5" t="s">
        <v>169</v>
      </c>
      <c r="H3" s="16">
        <v>5.94</v>
      </c>
      <c r="I3" s="17">
        <f>IF(H3="","",(IF($C$20&lt;25%,"n/a",IF(H3&lt;=($D$20+$A$20),H3,"Descartado"))))</f>
        <v>5.94</v>
      </c>
    </row>
    <row r="4" spans="1:9" x14ac:dyDescent="0.25">
      <c r="A4" s="38"/>
      <c r="B4" s="35"/>
      <c r="C4" s="36"/>
      <c r="D4" s="36"/>
      <c r="E4" s="37"/>
      <c r="F4" s="37"/>
      <c r="G4" s="5" t="s">
        <v>170</v>
      </c>
      <c r="H4" s="16">
        <v>3.07</v>
      </c>
      <c r="I4" s="17">
        <f t="shared" ref="I4:I17" si="0">IF(H4="","",(IF($C$20&lt;25%,"n/a",IF(H4&lt;=($D$20+$A$20),H4,"Descartado"))))</f>
        <v>3.07</v>
      </c>
    </row>
    <row r="5" spans="1:9" x14ac:dyDescent="0.25">
      <c r="A5" s="38"/>
      <c r="B5" s="35"/>
      <c r="C5" s="36"/>
      <c r="D5" s="36"/>
      <c r="E5" s="37"/>
      <c r="F5" s="37"/>
      <c r="G5" s="5" t="s">
        <v>128</v>
      </c>
      <c r="H5" s="16">
        <v>3.58</v>
      </c>
      <c r="I5" s="17">
        <f t="shared" si="0"/>
        <v>3.58</v>
      </c>
    </row>
    <row r="6" spans="1:9" x14ac:dyDescent="0.25">
      <c r="A6" s="38"/>
      <c r="B6" s="35"/>
      <c r="C6" s="36"/>
      <c r="D6" s="36"/>
      <c r="E6" s="37"/>
      <c r="F6" s="37"/>
      <c r="G6" s="5" t="s">
        <v>171</v>
      </c>
      <c r="H6" s="16">
        <v>5.94</v>
      </c>
      <c r="I6" s="17">
        <f t="shared" si="0"/>
        <v>5.94</v>
      </c>
    </row>
    <row r="7" spans="1:9" x14ac:dyDescent="0.25">
      <c r="A7" s="38"/>
      <c r="B7" s="35"/>
      <c r="C7" s="36"/>
      <c r="D7" s="36"/>
      <c r="E7" s="37"/>
      <c r="F7" s="37"/>
      <c r="G7" s="5" t="s">
        <v>120</v>
      </c>
      <c r="H7" s="16">
        <v>0.87</v>
      </c>
      <c r="I7" s="17">
        <f t="shared" si="0"/>
        <v>0.87</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2.1385392210572145</v>
      </c>
      <c r="B20" s="8">
        <f>COUNT(H3:H17)</f>
        <v>5</v>
      </c>
      <c r="C20" s="9">
        <f>IF(B20&lt;2,"n/a",(A20/D20))</f>
        <v>0.55116990233433361</v>
      </c>
      <c r="D20" s="10">
        <f>IFERROR(ROUND(AVERAGE(H3:H17),2),"")</f>
        <v>3.88</v>
      </c>
      <c r="E20" s="15">
        <f>IFERROR(ROUND(IF(B20&lt;2,"n/a",(IF(C20&lt;=25%,"n/a",AVERAGE(I3:I17)))),2),"n/a")</f>
        <v>3.88</v>
      </c>
      <c r="F20" s="10">
        <f>IFERROR(ROUND(MEDIAN(H3:H17),2),"")</f>
        <v>3.58</v>
      </c>
      <c r="G20" s="11" t="str">
        <f>IFERROR(INDEX(G3:G17,MATCH(H20,H3:H17,0)),"")</f>
        <v>CEABA DISTRIBUIDORA DE ALIMENTOS LTDA</v>
      </c>
      <c r="H20" s="12">
        <f>F3</f>
        <v>0.87</v>
      </c>
    </row>
    <row r="22" spans="1:9" x14ac:dyDescent="0.25">
      <c r="G22" s="13" t="s">
        <v>20</v>
      </c>
      <c r="H22" s="14">
        <f>IF(C20&lt;=25%,D20,MIN(E20:F20))</f>
        <v>3.58</v>
      </c>
    </row>
    <row r="23" spans="1:9" x14ac:dyDescent="0.25">
      <c r="G23" s="13" t="s">
        <v>6</v>
      </c>
      <c r="H23" s="14">
        <f>ROUND(H22,2)*D3</f>
        <v>1790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15</v>
      </c>
      <c r="B3" s="34" t="s">
        <v>103</v>
      </c>
      <c r="C3" s="36" t="s">
        <v>101</v>
      </c>
      <c r="D3" s="36">
        <v>300</v>
      </c>
      <c r="E3" s="37">
        <f>IF(C20&lt;=25%,D20,MIN(E20:F20))</f>
        <v>4.16</v>
      </c>
      <c r="F3" s="37">
        <f>MIN(H3:H17)</f>
        <v>2.88</v>
      </c>
      <c r="G3" s="5" t="s">
        <v>113</v>
      </c>
      <c r="H3" s="16">
        <v>3.6</v>
      </c>
      <c r="I3" s="17" t="str">
        <f>IF(H3="","",(IF($C$20&lt;25%,"n/a",IF(H3&lt;=($D$20+$A$20),H3,"Descartado"))))</f>
        <v>n/a</v>
      </c>
    </row>
    <row r="4" spans="1:9" x14ac:dyDescent="0.25">
      <c r="A4" s="38"/>
      <c r="B4" s="35"/>
      <c r="C4" s="36"/>
      <c r="D4" s="36"/>
      <c r="E4" s="37"/>
      <c r="F4" s="37"/>
      <c r="G4" s="5" t="s">
        <v>172</v>
      </c>
      <c r="H4" s="16">
        <v>4.13</v>
      </c>
      <c r="I4" s="17" t="str">
        <f t="shared" ref="I4:I17" si="0">IF(H4="","",(IF($C$20&lt;25%,"n/a",IF(H4&lt;=($D$20+$A$20),H4,"Descartado"))))</f>
        <v>n/a</v>
      </c>
    </row>
    <row r="5" spans="1:9" x14ac:dyDescent="0.25">
      <c r="A5" s="38"/>
      <c r="B5" s="35"/>
      <c r="C5" s="36"/>
      <c r="D5" s="36"/>
      <c r="E5" s="37"/>
      <c r="F5" s="37"/>
      <c r="G5" s="5" t="s">
        <v>173</v>
      </c>
      <c r="H5" s="16">
        <v>5.65</v>
      </c>
      <c r="I5" s="17" t="str">
        <f t="shared" si="0"/>
        <v>n/a</v>
      </c>
    </row>
    <row r="6" spans="1:9" x14ac:dyDescent="0.25">
      <c r="A6" s="38"/>
      <c r="B6" s="35"/>
      <c r="C6" s="36"/>
      <c r="D6" s="36"/>
      <c r="E6" s="37"/>
      <c r="F6" s="37"/>
      <c r="G6" s="5" t="s">
        <v>165</v>
      </c>
      <c r="H6" s="16">
        <v>4.1900000000000004</v>
      </c>
      <c r="I6" s="17" t="str">
        <f t="shared" si="0"/>
        <v>n/a</v>
      </c>
    </row>
    <row r="7" spans="1:9" x14ac:dyDescent="0.25">
      <c r="A7" s="38"/>
      <c r="B7" s="35"/>
      <c r="C7" s="36"/>
      <c r="D7" s="36"/>
      <c r="E7" s="37"/>
      <c r="F7" s="37"/>
      <c r="G7" s="5" t="s">
        <v>174</v>
      </c>
      <c r="H7" s="16">
        <v>3.59</v>
      </c>
      <c r="I7" s="17" t="str">
        <f t="shared" si="0"/>
        <v>n/a</v>
      </c>
    </row>
    <row r="8" spans="1:9" x14ac:dyDescent="0.25">
      <c r="A8" s="38"/>
      <c r="B8" s="35"/>
      <c r="C8" s="36"/>
      <c r="D8" s="36"/>
      <c r="E8" s="37"/>
      <c r="F8" s="37"/>
      <c r="G8" s="5" t="s">
        <v>175</v>
      </c>
      <c r="H8" s="16">
        <v>3.9</v>
      </c>
      <c r="I8" s="17" t="str">
        <f t="shared" si="0"/>
        <v>n/a</v>
      </c>
    </row>
    <row r="9" spans="1:9" x14ac:dyDescent="0.25">
      <c r="A9" s="38"/>
      <c r="B9" s="35"/>
      <c r="C9" s="36"/>
      <c r="D9" s="36"/>
      <c r="E9" s="37"/>
      <c r="F9" s="37"/>
      <c r="G9" s="5" t="s">
        <v>176</v>
      </c>
      <c r="H9" s="16">
        <v>2.88</v>
      </c>
      <c r="I9" s="17" t="str">
        <f t="shared" si="0"/>
        <v>n/a</v>
      </c>
    </row>
    <row r="10" spans="1:9" x14ac:dyDescent="0.25">
      <c r="A10" s="38"/>
      <c r="B10" s="35"/>
      <c r="C10" s="36"/>
      <c r="D10" s="36"/>
      <c r="E10" s="37"/>
      <c r="F10" s="37"/>
      <c r="G10" s="5" t="s">
        <v>177</v>
      </c>
      <c r="H10" s="16">
        <v>4.4800000000000004</v>
      </c>
      <c r="I10" s="17" t="str">
        <f t="shared" si="0"/>
        <v>n/a</v>
      </c>
    </row>
    <row r="11" spans="1:9" x14ac:dyDescent="0.25">
      <c r="A11" s="38"/>
      <c r="B11" s="35"/>
      <c r="C11" s="36"/>
      <c r="D11" s="36"/>
      <c r="E11" s="37"/>
      <c r="F11" s="37"/>
      <c r="G11" s="5" t="s">
        <v>168</v>
      </c>
      <c r="H11" s="16">
        <v>4.99</v>
      </c>
      <c r="I11" s="17" t="str">
        <f t="shared" si="0"/>
        <v>n/a</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0.81835200250258766</v>
      </c>
      <c r="B20" s="8">
        <f>COUNT(H3:H17)</f>
        <v>9</v>
      </c>
      <c r="C20" s="9">
        <f>IF(B20&lt;2,"n/a",(A20/D20))</f>
        <v>0.19671923137081435</v>
      </c>
      <c r="D20" s="10">
        <f>IFERROR(ROUND(AVERAGE(H3:H17),2),"")</f>
        <v>4.16</v>
      </c>
      <c r="E20" s="15" t="str">
        <f>IFERROR(ROUND(IF(B20&lt;2,"n/a",(IF(C20&lt;=25%,"n/a",AVERAGE(I3:I17)))),2),"n/a")</f>
        <v>n/a</v>
      </c>
      <c r="F20" s="10">
        <f>IFERROR(ROUND(MEDIAN(H3:H17),2),"")</f>
        <v>4.13</v>
      </c>
      <c r="G20" s="11" t="str">
        <f>IFERROR(INDEX(G3:G17,MATCH(H20,H3:H17,0)),"")</f>
        <v>R &amp; M ALIMENTOS LTDA</v>
      </c>
      <c r="H20" s="12">
        <f>F3</f>
        <v>2.88</v>
      </c>
    </row>
    <row r="22" spans="1:9" x14ac:dyDescent="0.25">
      <c r="G22" s="13" t="s">
        <v>20</v>
      </c>
      <c r="H22" s="14">
        <f>IF(C20&lt;=25%,D20,MIN(E20:F20))</f>
        <v>4.16</v>
      </c>
    </row>
    <row r="23" spans="1:9" x14ac:dyDescent="0.25">
      <c r="G23" s="13" t="s">
        <v>6</v>
      </c>
      <c r="H23" s="14">
        <f>ROUND(H22,2)*D3</f>
        <v>1248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H7" sqref="H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16</v>
      </c>
      <c r="B3" s="34" t="s">
        <v>104</v>
      </c>
      <c r="C3" s="36" t="s">
        <v>101</v>
      </c>
      <c r="D3" s="36">
        <v>300</v>
      </c>
      <c r="E3" s="37">
        <f>IF(C20&lt;=25%,D20,MIN(E20:F20))</f>
        <v>1.99</v>
      </c>
      <c r="F3" s="37">
        <f>MIN(H3:H17)</f>
        <v>1.45</v>
      </c>
      <c r="G3" s="5" t="s">
        <v>112</v>
      </c>
      <c r="H3" s="16">
        <v>1.97</v>
      </c>
      <c r="I3" s="17">
        <f>IF(H3="","",(IF($C$20&lt;25%,"n/a",IF(H3&lt;=($D$20+$A$20),H3,"Descartado"))))</f>
        <v>1.97</v>
      </c>
    </row>
    <row r="4" spans="1:9" x14ac:dyDescent="0.25">
      <c r="A4" s="38"/>
      <c r="B4" s="35"/>
      <c r="C4" s="36"/>
      <c r="D4" s="36"/>
      <c r="E4" s="37"/>
      <c r="F4" s="37"/>
      <c r="G4" s="5" t="s">
        <v>178</v>
      </c>
      <c r="H4" s="16">
        <v>1.99</v>
      </c>
      <c r="I4" s="17">
        <f t="shared" ref="I4:I17" si="0">IF(H4="","",(IF($C$20&lt;25%,"n/a",IF(H4&lt;=($D$20+$A$20),H4,"Descartado"))))</f>
        <v>1.99</v>
      </c>
    </row>
    <row r="5" spans="1:9" x14ac:dyDescent="0.25">
      <c r="A5" s="38"/>
      <c r="B5" s="35"/>
      <c r="C5" s="36"/>
      <c r="D5" s="36"/>
      <c r="E5" s="37"/>
      <c r="F5" s="37"/>
      <c r="G5" s="5" t="s">
        <v>179</v>
      </c>
      <c r="H5" s="16">
        <v>1.45</v>
      </c>
      <c r="I5" s="17">
        <f t="shared" si="0"/>
        <v>1.45</v>
      </c>
    </row>
    <row r="6" spans="1:9" x14ac:dyDescent="0.25">
      <c r="A6" s="38"/>
      <c r="B6" s="35"/>
      <c r="C6" s="36"/>
      <c r="D6" s="36"/>
      <c r="E6" s="37"/>
      <c r="F6" s="37"/>
      <c r="G6" s="5" t="s">
        <v>180</v>
      </c>
      <c r="H6" s="16">
        <v>3.82</v>
      </c>
      <c r="I6" s="17" t="str">
        <f t="shared" si="0"/>
        <v>Descartado</v>
      </c>
    </row>
    <row r="7" spans="1:9" x14ac:dyDescent="0.25">
      <c r="A7" s="38"/>
      <c r="B7" s="35"/>
      <c r="C7" s="36"/>
      <c r="D7" s="36"/>
      <c r="E7" s="37"/>
      <c r="F7" s="37"/>
      <c r="G7" s="5" t="s">
        <v>128</v>
      </c>
      <c r="H7" s="16">
        <v>3.34</v>
      </c>
      <c r="I7" s="17">
        <f t="shared" si="0"/>
        <v>3.34</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1.0112516996277428</v>
      </c>
      <c r="B20" s="8">
        <f>COUNT(H3:H17)</f>
        <v>5</v>
      </c>
      <c r="C20" s="9">
        <f>IF(B20&lt;2,"n/a",(A20/D20))</f>
        <v>0.40288912335766647</v>
      </c>
      <c r="D20" s="10">
        <f>IFERROR(ROUND(AVERAGE(H3:H17),2),"")</f>
        <v>2.5099999999999998</v>
      </c>
      <c r="E20" s="15">
        <f>IFERROR(ROUND(IF(B20&lt;2,"n/a",(IF(C20&lt;=25%,"n/a",AVERAGE(I3:I17)))),2),"n/a")</f>
        <v>2.19</v>
      </c>
      <c r="F20" s="10">
        <f>IFERROR(ROUND(MEDIAN(H3:H17),2),"")</f>
        <v>1.99</v>
      </c>
      <c r="G20" s="11" t="str">
        <f>IFERROR(INDEX(G3:G17,MATCH(H20,H3:H17,0)),"")</f>
        <v>SUPPLY VITAL LTDA</v>
      </c>
      <c r="H20" s="12">
        <f>F3</f>
        <v>1.45</v>
      </c>
    </row>
    <row r="22" spans="1:9" x14ac:dyDescent="0.25">
      <c r="G22" s="13" t="s">
        <v>20</v>
      </c>
      <c r="H22" s="14">
        <f>IF(C20&lt;=25%,D20,MIN(E20:F20))</f>
        <v>1.99</v>
      </c>
    </row>
    <row r="23" spans="1:9" x14ac:dyDescent="0.25">
      <c r="G23" s="13" t="s">
        <v>6</v>
      </c>
      <c r="H23" s="14">
        <f>ROUND(H22,2)*D3</f>
        <v>597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3" sqref="G13"/>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17</v>
      </c>
      <c r="B3" s="34" t="s">
        <v>105</v>
      </c>
      <c r="C3" s="36" t="s">
        <v>106</v>
      </c>
      <c r="D3" s="36">
        <v>100</v>
      </c>
      <c r="E3" s="37">
        <f>IF(C20&lt;=25%,D20,MIN(E20:F20))</f>
        <v>10</v>
      </c>
      <c r="F3" s="37">
        <f>MIN(H3:H17)</f>
        <v>3.5</v>
      </c>
      <c r="G3" s="5" t="s">
        <v>181</v>
      </c>
      <c r="H3" s="16">
        <v>4.8499999999999996</v>
      </c>
      <c r="I3" s="17">
        <f>IF(H3="","",(IF($C$20&lt;25%,"n/a",IF(H3&lt;=($D$20+$A$20),H3,"Descartado"))))</f>
        <v>4.8499999999999996</v>
      </c>
    </row>
    <row r="4" spans="1:9" x14ac:dyDescent="0.25">
      <c r="A4" s="38"/>
      <c r="B4" s="35"/>
      <c r="C4" s="36"/>
      <c r="D4" s="36"/>
      <c r="E4" s="37"/>
      <c r="F4" s="37"/>
      <c r="G4" s="5" t="s">
        <v>182</v>
      </c>
      <c r="H4" s="16">
        <v>18.809999999999999</v>
      </c>
      <c r="I4" s="17" t="str">
        <f t="shared" ref="I4:I17" si="0">IF(H4="","",(IF($C$20&lt;25%,"n/a",IF(H4&lt;=($D$20+$A$20),H4,"Descartado"))))</f>
        <v>Descartado</v>
      </c>
    </row>
    <row r="5" spans="1:9" x14ac:dyDescent="0.25">
      <c r="A5" s="38"/>
      <c r="B5" s="35"/>
      <c r="C5" s="36"/>
      <c r="D5" s="36"/>
      <c r="E5" s="37"/>
      <c r="F5" s="37"/>
      <c r="G5" s="5" t="s">
        <v>183</v>
      </c>
      <c r="H5" s="16">
        <v>6.83</v>
      </c>
      <c r="I5" s="17">
        <f t="shared" si="0"/>
        <v>6.83</v>
      </c>
    </row>
    <row r="6" spans="1:9" x14ac:dyDescent="0.25">
      <c r="A6" s="38"/>
      <c r="B6" s="35"/>
      <c r="C6" s="36"/>
      <c r="D6" s="36"/>
      <c r="E6" s="37"/>
      <c r="F6" s="37"/>
      <c r="G6" s="5" t="s">
        <v>184</v>
      </c>
      <c r="H6" s="16">
        <v>7.8</v>
      </c>
      <c r="I6" s="17">
        <f t="shared" si="0"/>
        <v>7.8</v>
      </c>
    </row>
    <row r="7" spans="1:9" x14ac:dyDescent="0.25">
      <c r="A7" s="38"/>
      <c r="B7" s="35"/>
      <c r="C7" s="36"/>
      <c r="D7" s="36"/>
      <c r="E7" s="37"/>
      <c r="F7" s="37"/>
      <c r="G7" s="5" t="s">
        <v>185</v>
      </c>
      <c r="H7" s="16">
        <v>11</v>
      </c>
      <c r="I7" s="17">
        <f t="shared" si="0"/>
        <v>11</v>
      </c>
    </row>
    <row r="8" spans="1:9" x14ac:dyDescent="0.25">
      <c r="A8" s="38"/>
      <c r="B8" s="35"/>
      <c r="C8" s="36"/>
      <c r="D8" s="36"/>
      <c r="E8" s="37"/>
      <c r="F8" s="37"/>
      <c r="G8" s="5" t="s">
        <v>186</v>
      </c>
      <c r="H8" s="16">
        <v>15.65</v>
      </c>
      <c r="I8" s="17">
        <f t="shared" si="0"/>
        <v>15.65</v>
      </c>
    </row>
    <row r="9" spans="1:9" x14ac:dyDescent="0.25">
      <c r="A9" s="38"/>
      <c r="B9" s="35"/>
      <c r="C9" s="36"/>
      <c r="D9" s="36"/>
      <c r="E9" s="37"/>
      <c r="F9" s="37"/>
      <c r="G9" s="5" t="s">
        <v>187</v>
      </c>
      <c r="H9" s="16">
        <v>15.09</v>
      </c>
      <c r="I9" s="17">
        <f t="shared" si="0"/>
        <v>15.09</v>
      </c>
    </row>
    <row r="10" spans="1:9" x14ac:dyDescent="0.25">
      <c r="A10" s="38"/>
      <c r="B10" s="35"/>
      <c r="C10" s="36"/>
      <c r="D10" s="36"/>
      <c r="E10" s="37"/>
      <c r="F10" s="37"/>
      <c r="G10" s="5" t="s">
        <v>188</v>
      </c>
      <c r="H10" s="16">
        <v>9.9499999999999993</v>
      </c>
      <c r="I10" s="17">
        <f t="shared" si="0"/>
        <v>9.9499999999999993</v>
      </c>
    </row>
    <row r="11" spans="1:9" x14ac:dyDescent="0.25">
      <c r="A11" s="38"/>
      <c r="B11" s="35"/>
      <c r="C11" s="36"/>
      <c r="D11" s="36"/>
      <c r="E11" s="37"/>
      <c r="F11" s="37"/>
      <c r="G11" s="5" t="s">
        <v>189</v>
      </c>
      <c r="H11" s="16">
        <v>3.5</v>
      </c>
      <c r="I11" s="17">
        <f t="shared" si="0"/>
        <v>3.5</v>
      </c>
    </row>
    <row r="12" spans="1:9" x14ac:dyDescent="0.25">
      <c r="A12" s="38"/>
      <c r="B12" s="35"/>
      <c r="C12" s="36"/>
      <c r="D12" s="36"/>
      <c r="E12" s="37"/>
      <c r="F12" s="37"/>
      <c r="G12" s="5" t="s">
        <v>190</v>
      </c>
      <c r="H12" s="16">
        <v>15.29</v>
      </c>
      <c r="I12" s="17">
        <f t="shared" si="0"/>
        <v>15.29</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5.1683159733127715</v>
      </c>
      <c r="B20" s="8">
        <f>COUNT(H3:H17)</f>
        <v>10</v>
      </c>
      <c r="C20" s="9">
        <f>IF(B20&lt;2,"n/a",(A20/D20))</f>
        <v>0.47502904166477677</v>
      </c>
      <c r="D20" s="10">
        <f>IFERROR(ROUND(AVERAGE(H3:H17),2),"")</f>
        <v>10.88</v>
      </c>
      <c r="E20" s="15">
        <f>IFERROR(ROUND(IF(B20&lt;2,"n/a",(IF(C20&lt;=25%,"n/a",AVERAGE(I3:I17)))),2),"n/a")</f>
        <v>10</v>
      </c>
      <c r="F20" s="10">
        <f>IFERROR(ROUND(MEDIAN(H3:H17),2),"")</f>
        <v>10.48</v>
      </c>
      <c r="G20" s="11" t="str">
        <f>IFERROR(INDEX(G3:G17,MATCH(H20,H3:H17,0)),"")</f>
        <v>R L A MOREIRA DISTRIBUIDORA</v>
      </c>
      <c r="H20" s="12">
        <f>F3</f>
        <v>3.5</v>
      </c>
    </row>
    <row r="22" spans="1:9" x14ac:dyDescent="0.25">
      <c r="G22" s="13" t="s">
        <v>20</v>
      </c>
      <c r="H22" s="14">
        <f>IF(C20&lt;=25%,D20,MIN(E20:F20))</f>
        <v>10</v>
      </c>
    </row>
    <row r="23" spans="1:9" x14ac:dyDescent="0.25">
      <c r="G23" s="13" t="s">
        <v>6</v>
      </c>
      <c r="H23" s="14">
        <f>ROUND(H22,2)*D3</f>
        <v>1000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18</v>
      </c>
      <c r="B3" s="34" t="s">
        <v>57</v>
      </c>
      <c r="C3" s="36" t="s">
        <v>58</v>
      </c>
      <c r="D3" s="36">
        <v>100</v>
      </c>
      <c r="E3" s="37">
        <f>IF(C20&lt;=25%,D20,MIN(E20:F20))</f>
        <v>83.03</v>
      </c>
      <c r="F3" s="37">
        <f>MIN(H3:H17)</f>
        <v>45</v>
      </c>
      <c r="G3" s="5" t="s">
        <v>64</v>
      </c>
      <c r="H3" s="16">
        <v>103.19</v>
      </c>
      <c r="I3" s="17">
        <f>IF(H3="","",(IF($C$20&lt;25%,"n/a",IF(H3&lt;=($D$20+$A$20),H3,"Descartado"))))</f>
        <v>103.19</v>
      </c>
    </row>
    <row r="4" spans="1:9" x14ac:dyDescent="0.25">
      <c r="A4" s="38"/>
      <c r="B4" s="35"/>
      <c r="C4" s="36"/>
      <c r="D4" s="36"/>
      <c r="E4" s="37"/>
      <c r="F4" s="37"/>
      <c r="G4" s="5" t="s">
        <v>65</v>
      </c>
      <c r="H4" s="16">
        <v>107.9</v>
      </c>
      <c r="I4" s="17">
        <f t="shared" ref="I4:I17" si="0">IF(H4="","",(IF($C$20&lt;25%,"n/a",IF(H4&lt;=($D$20+$A$20),H4,"Descartado"))))</f>
        <v>107.9</v>
      </c>
    </row>
    <row r="5" spans="1:9" x14ac:dyDescent="0.25">
      <c r="A5" s="38"/>
      <c r="B5" s="35"/>
      <c r="C5" s="36"/>
      <c r="D5" s="36"/>
      <c r="E5" s="37"/>
      <c r="F5" s="37"/>
      <c r="G5" s="5" t="s">
        <v>66</v>
      </c>
      <c r="H5" s="16">
        <v>45</v>
      </c>
      <c r="I5" s="17">
        <f t="shared" si="0"/>
        <v>45</v>
      </c>
    </row>
    <row r="6" spans="1:9" x14ac:dyDescent="0.25">
      <c r="A6" s="38"/>
      <c r="B6" s="35"/>
      <c r="C6" s="36"/>
      <c r="D6" s="36"/>
      <c r="E6" s="37"/>
      <c r="F6" s="37"/>
      <c r="G6" s="5" t="s">
        <v>67</v>
      </c>
      <c r="H6" s="16">
        <v>67.25</v>
      </c>
      <c r="I6" s="17">
        <f t="shared" si="0"/>
        <v>67.25</v>
      </c>
    </row>
    <row r="7" spans="1:9" x14ac:dyDescent="0.25">
      <c r="A7" s="38"/>
      <c r="B7" s="35"/>
      <c r="C7" s="36"/>
      <c r="D7" s="36"/>
      <c r="E7" s="37"/>
      <c r="F7" s="37"/>
      <c r="G7" s="5" t="s">
        <v>68</v>
      </c>
      <c r="H7" s="16">
        <v>91.8</v>
      </c>
      <c r="I7" s="17">
        <f t="shared" si="0"/>
        <v>91.8</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26.44401955074148</v>
      </c>
      <c r="B20" s="8">
        <f>COUNT(H3:H17)</f>
        <v>5</v>
      </c>
      <c r="C20" s="9">
        <f>IF(B20&lt;2,"n/a",(A20/D20))</f>
        <v>0.31848752921524121</v>
      </c>
      <c r="D20" s="10">
        <f>IFERROR(ROUND(AVERAGE(H3:H17),2),"")</f>
        <v>83.03</v>
      </c>
      <c r="E20" s="15">
        <f>IFERROR(ROUND(IF(B20&lt;2,"n/a",(IF(C20&lt;=25%,"n/a",AVERAGE(I3:I17)))),2),"n/a")</f>
        <v>83.03</v>
      </c>
      <c r="F20" s="10">
        <f>IFERROR(ROUND(MEDIAN(H3:H17),2),"")</f>
        <v>91.8</v>
      </c>
      <c r="G20" s="11" t="str">
        <f>IFERROR(INDEX(G3:G17,MATCH(H20,H3:H17,0)),"")</f>
        <v>LED MAIS COMERCIO ( PAINEL DE PREÇOS)</v>
      </c>
      <c r="H20" s="12">
        <f>F3</f>
        <v>45</v>
      </c>
    </row>
    <row r="22" spans="1:9" x14ac:dyDescent="0.25">
      <c r="G22" s="13" t="s">
        <v>20</v>
      </c>
      <c r="H22" s="14">
        <f>IF(C20&lt;=25%,D20,MIN(E20:F20))</f>
        <v>83.03</v>
      </c>
    </row>
    <row r="23" spans="1:9" x14ac:dyDescent="0.25">
      <c r="G23" s="13" t="s">
        <v>6</v>
      </c>
      <c r="H23" s="14">
        <f>ROUND(H22,2)*D3</f>
        <v>8303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19</v>
      </c>
      <c r="B3" s="34" t="s">
        <v>60</v>
      </c>
      <c r="C3" s="36" t="s">
        <v>7</v>
      </c>
      <c r="D3" s="36">
        <v>50</v>
      </c>
      <c r="E3" s="37">
        <f>IF(C20&lt;=25%,D20,MIN(E20:F20))</f>
        <v>68.7</v>
      </c>
      <c r="F3" s="37">
        <f>MIN(H3:H17)</f>
        <v>58.5</v>
      </c>
      <c r="G3" s="5" t="s">
        <v>69</v>
      </c>
      <c r="H3" s="16">
        <v>58.5</v>
      </c>
      <c r="I3" s="17" t="str">
        <f>IF(H3="","",(IF($C$20&lt;25%,"n/a",IF(H3&lt;=($D$20+$A$20),H3,"Descartado"))))</f>
        <v>n/a</v>
      </c>
    </row>
    <row r="4" spans="1:9" x14ac:dyDescent="0.25">
      <c r="A4" s="38"/>
      <c r="B4" s="35"/>
      <c r="C4" s="36"/>
      <c r="D4" s="36"/>
      <c r="E4" s="37"/>
      <c r="F4" s="37"/>
      <c r="G4" s="5" t="s">
        <v>70</v>
      </c>
      <c r="H4" s="16">
        <v>62.61</v>
      </c>
      <c r="I4" s="17" t="str">
        <f t="shared" ref="I4:I17" si="0">IF(H4="","",(IF($C$20&lt;25%,"n/a",IF(H4&lt;=($D$20+$A$20),H4,"Descartado"))))</f>
        <v>n/a</v>
      </c>
    </row>
    <row r="5" spans="1:9" x14ac:dyDescent="0.25">
      <c r="A5" s="38"/>
      <c r="B5" s="35"/>
      <c r="C5" s="36"/>
      <c r="D5" s="36"/>
      <c r="E5" s="37"/>
      <c r="F5" s="37"/>
      <c r="G5" s="5" t="s">
        <v>71</v>
      </c>
      <c r="H5" s="16">
        <v>85</v>
      </c>
      <c r="I5" s="17" t="str">
        <f t="shared" si="0"/>
        <v>n/a</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14.262153881280781</v>
      </c>
      <c r="B20" s="8">
        <f>COUNT(H3:H17)</f>
        <v>3</v>
      </c>
      <c r="C20" s="9">
        <f>IF(B20&lt;2,"n/a",(A20/D20))</f>
        <v>0.20760049317730395</v>
      </c>
      <c r="D20" s="10">
        <f>IFERROR(ROUND(AVERAGE(H3:H17),2),"")</f>
        <v>68.7</v>
      </c>
      <c r="E20" s="15" t="str">
        <f>IFERROR(ROUND(IF(B20&lt;2,"n/a",(IF(C20&lt;=25%,"n/a",AVERAGE(I3:I17)))),2),"n/a")</f>
        <v>n/a</v>
      </c>
      <c r="F20" s="10">
        <f>IFERROR(ROUND(MEDIAN(H3:H17),2),"")</f>
        <v>62.61</v>
      </c>
      <c r="G20" s="11" t="str">
        <f>IFERROR(INDEX(G3:G17,MATCH(H20,H3:H17,0)),"")</f>
        <v>BIANCA TEIXEIRA</v>
      </c>
      <c r="H20" s="12">
        <f>F3</f>
        <v>58.5</v>
      </c>
    </row>
    <row r="22" spans="1:9" x14ac:dyDescent="0.25">
      <c r="G22" s="13" t="s">
        <v>20</v>
      </c>
      <c r="H22" s="14">
        <f>IF(C20&lt;=25%,D20,MIN(E20:F20))</f>
        <v>68.7</v>
      </c>
    </row>
    <row r="23" spans="1:9" x14ac:dyDescent="0.25">
      <c r="G23" s="13" t="s">
        <v>6</v>
      </c>
      <c r="H23" s="14">
        <f>ROUND(H22,2)*D3</f>
        <v>3435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9" sqref="G9"/>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2</v>
      </c>
      <c r="B3" s="34" t="s">
        <v>86</v>
      </c>
      <c r="C3" s="36" t="s">
        <v>87</v>
      </c>
      <c r="D3" s="36">
        <v>700</v>
      </c>
      <c r="E3" s="37">
        <f>IF(C20&lt;=25%,D20,MIN(E20:F20))</f>
        <v>16.079999999999998</v>
      </c>
      <c r="F3" s="37">
        <f>MIN(H3:H17)</f>
        <v>13.6</v>
      </c>
      <c r="G3" s="5" t="s">
        <v>121</v>
      </c>
      <c r="H3" s="16">
        <v>15.75</v>
      </c>
      <c r="I3" s="17" t="str">
        <f>IF(H3="","",(IF($C$20&lt;25%,"n/a",IF(H3&lt;=($D$20+$A$20),H3,"Descartado"))))</f>
        <v>n/a</v>
      </c>
    </row>
    <row r="4" spans="1:9" x14ac:dyDescent="0.25">
      <c r="A4" s="38"/>
      <c r="B4" s="35"/>
      <c r="C4" s="36"/>
      <c r="D4" s="36"/>
      <c r="E4" s="37"/>
      <c r="F4" s="37"/>
      <c r="G4" s="5" t="s">
        <v>119</v>
      </c>
      <c r="H4" s="16">
        <v>13.6</v>
      </c>
      <c r="I4" s="17" t="str">
        <f t="shared" ref="I4:I17" si="0">IF(H4="","",(IF($C$20&lt;25%,"n/a",IF(H4&lt;=($D$20+$A$20),H4,"Descartado"))))</f>
        <v>n/a</v>
      </c>
    </row>
    <row r="5" spans="1:9" x14ac:dyDescent="0.25">
      <c r="A5" s="38"/>
      <c r="B5" s="35"/>
      <c r="C5" s="36"/>
      <c r="D5" s="36"/>
      <c r="E5" s="37"/>
      <c r="F5" s="37"/>
      <c r="G5" s="5" t="s">
        <v>122</v>
      </c>
      <c r="H5" s="16">
        <v>20.04</v>
      </c>
      <c r="I5" s="17" t="str">
        <f t="shared" si="0"/>
        <v>n/a</v>
      </c>
    </row>
    <row r="6" spans="1:9" x14ac:dyDescent="0.25">
      <c r="A6" s="38"/>
      <c r="B6" s="35"/>
      <c r="C6" s="36"/>
      <c r="D6" s="36"/>
      <c r="E6" s="37"/>
      <c r="F6" s="37"/>
      <c r="G6" s="5" t="s">
        <v>123</v>
      </c>
      <c r="H6" s="16">
        <v>14</v>
      </c>
      <c r="I6" s="17" t="str">
        <f t="shared" si="0"/>
        <v>n/a</v>
      </c>
    </row>
    <row r="7" spans="1:9" x14ac:dyDescent="0.25">
      <c r="A7" s="38"/>
      <c r="B7" s="35"/>
      <c r="C7" s="36"/>
      <c r="D7" s="36"/>
      <c r="E7" s="37"/>
      <c r="F7" s="37"/>
      <c r="G7" s="5" t="s">
        <v>124</v>
      </c>
      <c r="H7" s="16">
        <v>17.710999999999999</v>
      </c>
      <c r="I7" s="17" t="str">
        <f t="shared" si="0"/>
        <v>n/a</v>
      </c>
    </row>
    <row r="8" spans="1:9" x14ac:dyDescent="0.25">
      <c r="A8" s="38"/>
      <c r="B8" s="35"/>
      <c r="C8" s="36"/>
      <c r="D8" s="36"/>
      <c r="E8" s="37"/>
      <c r="F8" s="37"/>
      <c r="G8" s="5" t="s">
        <v>125</v>
      </c>
      <c r="H8" s="16">
        <v>15.4</v>
      </c>
      <c r="I8" s="17" t="str">
        <f t="shared" si="0"/>
        <v>n/a</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2.4244499376147068</v>
      </c>
      <c r="B20" s="8">
        <f>COUNT(H3:H17)</f>
        <v>6</v>
      </c>
      <c r="C20" s="9">
        <f>IF(B20&lt;2,"n/a",(A20/D20))</f>
        <v>0.15077424985166088</v>
      </c>
      <c r="D20" s="10">
        <f>IFERROR(ROUND(AVERAGE(H3:H17),2),"")</f>
        <v>16.079999999999998</v>
      </c>
      <c r="E20" s="15" t="str">
        <f>IFERROR(ROUND(IF(B20&lt;2,"n/a",(IF(C20&lt;=25%,"n/a",AVERAGE(I3:I17)))),2),"n/a")</f>
        <v>n/a</v>
      </c>
      <c r="F20" s="10">
        <f>IFERROR(ROUND(MEDIAN(H3:H17),2),"")</f>
        <v>15.58</v>
      </c>
      <c r="G20" s="11" t="str">
        <f>IFERROR(INDEX(G3:G17,MATCH(H20,H3:H17,0)),"")</f>
        <v>DMS COMERCIO E DISTRIBUICAO DE CAFE LTDA</v>
      </c>
      <c r="H20" s="12">
        <f>F3</f>
        <v>13.6</v>
      </c>
    </row>
    <row r="22" spans="1:9" x14ac:dyDescent="0.25">
      <c r="G22" s="13" t="s">
        <v>20</v>
      </c>
      <c r="H22" s="14">
        <f>IF(C20&lt;=25%,D20,MIN(E20:F20))</f>
        <v>16.079999999999998</v>
      </c>
    </row>
    <row r="23" spans="1:9" x14ac:dyDescent="0.25">
      <c r="G23" s="13" t="s">
        <v>6</v>
      </c>
      <c r="H23" s="14">
        <f>ROUND(H22,2)*D3</f>
        <v>11255.999999999998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20</v>
      </c>
      <c r="B3" s="34" t="s">
        <v>61</v>
      </c>
      <c r="C3" s="36" t="s">
        <v>59</v>
      </c>
      <c r="D3" s="36">
        <v>50</v>
      </c>
      <c r="E3" s="37">
        <f>IF(C20&lt;=25%,D20,MIN(E20:F20))</f>
        <v>169.47</v>
      </c>
      <c r="F3" s="37">
        <f>MIN(H3:H17)</f>
        <v>53.9</v>
      </c>
      <c r="G3" s="5" t="s">
        <v>72</v>
      </c>
      <c r="H3" s="16">
        <v>53.9</v>
      </c>
      <c r="I3" s="17">
        <f>IF(H3="","",(IF($C$20&lt;25%,"n/a",IF(H3&lt;=($D$20+$A$20),H3,"Descartado"))))</f>
        <v>53.9</v>
      </c>
    </row>
    <row r="4" spans="1:9" x14ac:dyDescent="0.25">
      <c r="A4" s="38"/>
      <c r="B4" s="35"/>
      <c r="C4" s="36"/>
      <c r="D4" s="36"/>
      <c r="E4" s="37"/>
      <c r="F4" s="37"/>
      <c r="G4" s="5" t="s">
        <v>73</v>
      </c>
      <c r="H4" s="16">
        <v>114.5</v>
      </c>
      <c r="I4" s="17">
        <f t="shared" ref="I4:I17" si="0">IF(H4="","",(IF($C$20&lt;25%,"n/a",IF(H4&lt;=($D$20+$A$20),H4,"Descartado"))))</f>
        <v>114.5</v>
      </c>
    </row>
    <row r="5" spans="1:9" x14ac:dyDescent="0.25">
      <c r="A5" s="38"/>
      <c r="B5" s="35"/>
      <c r="C5" s="36"/>
      <c r="D5" s="36"/>
      <c r="E5" s="37"/>
      <c r="F5" s="37"/>
      <c r="G5" s="5" t="s">
        <v>74</v>
      </c>
      <c r="H5" s="16">
        <v>340</v>
      </c>
      <c r="I5" s="17">
        <f t="shared" si="0"/>
        <v>340</v>
      </c>
    </row>
    <row r="6" spans="1:9" x14ac:dyDescent="0.25">
      <c r="A6" s="38"/>
      <c r="B6" s="35"/>
      <c r="C6" s="36"/>
      <c r="D6" s="36"/>
      <c r="E6" s="37"/>
      <c r="F6" s="37"/>
      <c r="G6" s="5" t="s">
        <v>75</v>
      </c>
      <c r="H6" s="16">
        <v>489</v>
      </c>
      <c r="I6" s="17" t="str">
        <f t="shared" si="0"/>
        <v>Descartado</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201.68851396811533</v>
      </c>
      <c r="B20" s="8">
        <f>COUNT(H3:H17)</f>
        <v>4</v>
      </c>
      <c r="C20" s="9">
        <f>IF(B20&lt;2,"n/a",(A20/D20))</f>
        <v>0.80885708429161951</v>
      </c>
      <c r="D20" s="10">
        <f>IFERROR(ROUND(AVERAGE(H3:H17),2),"")</f>
        <v>249.35</v>
      </c>
      <c r="E20" s="15">
        <f>IFERROR(ROUND(IF(B20&lt;2,"n/a",(IF(C20&lt;=25%,"n/a",AVERAGE(I3:I17)))),2),"n/a")</f>
        <v>169.47</v>
      </c>
      <c r="F20" s="10">
        <f>IFERROR(ROUND(MEDIAN(H3:H17),2),"")</f>
        <v>227.25</v>
      </c>
      <c r="G20" s="11" t="str">
        <f>IFERROR(INDEX(G3:G17,MATCH(H20,H3:H17,0)),"")</f>
        <v>NOVA POMPEIA COMERCIO VAREJISTA E</v>
      </c>
      <c r="H20" s="12">
        <f>F3</f>
        <v>53.9</v>
      </c>
    </row>
    <row r="22" spans="1:9" x14ac:dyDescent="0.25">
      <c r="G22" s="13" t="s">
        <v>20</v>
      </c>
      <c r="H22" s="14">
        <f>IF(C20&lt;=25%,D20,MIN(E20:F20))</f>
        <v>169.47</v>
      </c>
    </row>
    <row r="23" spans="1:9" x14ac:dyDescent="0.25">
      <c r="G23" s="13" t="s">
        <v>6</v>
      </c>
      <c r="H23" s="14">
        <f>ROUND(H22,2)*D3</f>
        <v>8473.5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21</v>
      </c>
      <c r="B3" s="34" t="s">
        <v>62</v>
      </c>
      <c r="C3" s="36" t="s">
        <v>59</v>
      </c>
      <c r="D3" s="36">
        <v>50</v>
      </c>
      <c r="E3" s="37">
        <f>IF(C20&lt;=25%,D20,MIN(E20:F20))</f>
        <v>203.92</v>
      </c>
      <c r="F3" s="37">
        <f>MIN(H3:H17)</f>
        <v>108.9</v>
      </c>
      <c r="G3" s="5" t="s">
        <v>76</v>
      </c>
      <c r="H3" s="16">
        <v>108.9</v>
      </c>
      <c r="I3" s="17">
        <f>IF(H3="","",(IF($C$20&lt;25%,"n/a",IF(H3&lt;=($D$20+$A$20),H3,"Descartado"))))</f>
        <v>108.9</v>
      </c>
    </row>
    <row r="4" spans="1:9" x14ac:dyDescent="0.25">
      <c r="A4" s="38"/>
      <c r="B4" s="35"/>
      <c r="C4" s="36"/>
      <c r="D4" s="36"/>
      <c r="E4" s="37"/>
      <c r="F4" s="37"/>
      <c r="G4" s="5" t="s">
        <v>77</v>
      </c>
      <c r="H4" s="16">
        <v>138.97999999999999</v>
      </c>
      <c r="I4" s="17">
        <f t="shared" ref="I4:I17" si="0">IF(H4="","",(IF($C$20&lt;25%,"n/a",IF(H4&lt;=($D$20+$A$20),H4,"Descartado"))))</f>
        <v>138.97999999999999</v>
      </c>
    </row>
    <row r="5" spans="1:9" x14ac:dyDescent="0.25">
      <c r="A5" s="38"/>
      <c r="B5" s="35"/>
      <c r="C5" s="36"/>
      <c r="D5" s="36"/>
      <c r="E5" s="37"/>
      <c r="F5" s="37"/>
      <c r="G5" s="5" t="s">
        <v>78</v>
      </c>
      <c r="H5" s="16">
        <v>307.89999999999998</v>
      </c>
      <c r="I5" s="17">
        <f t="shared" si="0"/>
        <v>307.89999999999998</v>
      </c>
    </row>
    <row r="6" spans="1:9" x14ac:dyDescent="0.25">
      <c r="A6" s="38"/>
      <c r="B6" s="35"/>
      <c r="C6" s="36"/>
      <c r="D6" s="36"/>
      <c r="E6" s="37"/>
      <c r="F6" s="37"/>
      <c r="G6" s="5" t="s">
        <v>75</v>
      </c>
      <c r="H6" s="16">
        <v>259.89999999999998</v>
      </c>
      <c r="I6" s="17">
        <f t="shared" si="0"/>
        <v>259.89999999999998</v>
      </c>
    </row>
    <row r="7" spans="1:9" x14ac:dyDescent="0.25">
      <c r="A7" s="38"/>
      <c r="B7" s="35"/>
      <c r="C7" s="36"/>
      <c r="D7" s="36"/>
      <c r="E7" s="37"/>
      <c r="F7" s="37"/>
      <c r="G7" s="5" t="s">
        <v>79</v>
      </c>
      <c r="H7" s="16">
        <v>379.9</v>
      </c>
      <c r="I7" s="17" t="str">
        <f t="shared" si="0"/>
        <v>Descartado</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113.98110931202594</v>
      </c>
      <c r="B20" s="8">
        <f>COUNT(H3:H17)</f>
        <v>5</v>
      </c>
      <c r="C20" s="9">
        <f>IF(B20&lt;2,"n/a",(A20/D20))</f>
        <v>0.47666907540994452</v>
      </c>
      <c r="D20" s="10">
        <f>IFERROR(ROUND(AVERAGE(H3:H17),2),"")</f>
        <v>239.12</v>
      </c>
      <c r="E20" s="15">
        <f>IFERROR(ROUND(IF(B20&lt;2,"n/a",(IF(C20&lt;=25%,"n/a",AVERAGE(I3:I17)))),2),"n/a")</f>
        <v>203.92</v>
      </c>
      <c r="F20" s="10">
        <f>IFERROR(ROUND(MEDIAN(H3:H17),2),"")</f>
        <v>259.89999999999998</v>
      </c>
      <c r="G20" s="11" t="str">
        <f>IFERROR(INDEX(G3:G17,MATCH(H20,H3:H17,0)),"")</f>
        <v xml:space="preserve">WOLVES GROUP AND </v>
      </c>
      <c r="H20" s="12">
        <f>F3</f>
        <v>108.9</v>
      </c>
    </row>
    <row r="22" spans="1:9" x14ac:dyDescent="0.25">
      <c r="G22" s="13" t="s">
        <v>20</v>
      </c>
      <c r="H22" s="14">
        <f>IF(C20&lt;=25%,D20,MIN(E20:F20))</f>
        <v>203.92</v>
      </c>
    </row>
    <row r="23" spans="1:9" x14ac:dyDescent="0.25">
      <c r="G23" s="13" t="s">
        <v>6</v>
      </c>
      <c r="H23" s="14">
        <f>ROUND(H22,2)*D3</f>
        <v>10196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22</v>
      </c>
      <c r="B3" s="34" t="s">
        <v>63</v>
      </c>
      <c r="C3" s="36" t="s">
        <v>56</v>
      </c>
      <c r="D3" s="36">
        <v>100</v>
      </c>
      <c r="E3" s="37">
        <f>IF(C20&lt;=25%,D20,MIN(E20:F20))</f>
        <v>64.989999999999995</v>
      </c>
      <c r="F3" s="37">
        <f>MIN(H3:H17)</f>
        <v>30.8</v>
      </c>
      <c r="G3" s="5" t="s">
        <v>80</v>
      </c>
      <c r="H3" s="16">
        <v>30.8</v>
      </c>
      <c r="I3" s="17">
        <f>IF(H3="","",(IF($C$20&lt;25%,"n/a",IF(H3&lt;=($D$20+$A$20),H3,"Descartado"))))</f>
        <v>30.8</v>
      </c>
    </row>
    <row r="4" spans="1:9" x14ac:dyDescent="0.25">
      <c r="A4" s="38"/>
      <c r="B4" s="35"/>
      <c r="C4" s="36"/>
      <c r="D4" s="36"/>
      <c r="E4" s="37"/>
      <c r="F4" s="37"/>
      <c r="G4" s="5" t="s">
        <v>70</v>
      </c>
      <c r="H4" s="16">
        <v>56</v>
      </c>
      <c r="I4" s="17">
        <f t="shared" ref="I4:I17" si="0">IF(H4="","",(IF($C$20&lt;25%,"n/a",IF(H4&lt;=($D$20+$A$20),H4,"Descartado"))))</f>
        <v>56</v>
      </c>
    </row>
    <row r="5" spans="1:9" x14ac:dyDescent="0.25">
      <c r="A5" s="38"/>
      <c r="B5" s="35"/>
      <c r="C5" s="36"/>
      <c r="D5" s="36"/>
      <c r="E5" s="37"/>
      <c r="F5" s="37"/>
      <c r="G5" s="5" t="s">
        <v>81</v>
      </c>
      <c r="H5" s="16">
        <v>83.25</v>
      </c>
      <c r="I5" s="17">
        <f t="shared" si="0"/>
        <v>83.25</v>
      </c>
    </row>
    <row r="6" spans="1:9" x14ac:dyDescent="0.25">
      <c r="A6" s="38"/>
      <c r="B6" s="35"/>
      <c r="C6" s="36"/>
      <c r="D6" s="36"/>
      <c r="E6" s="37"/>
      <c r="F6" s="37"/>
      <c r="G6" s="5" t="s">
        <v>82</v>
      </c>
      <c r="H6" s="16">
        <v>89.9</v>
      </c>
      <c r="I6" s="17">
        <f t="shared" si="0"/>
        <v>89.9</v>
      </c>
    </row>
    <row r="7" spans="1:9" x14ac:dyDescent="0.25">
      <c r="A7" s="38"/>
      <c r="B7" s="35"/>
      <c r="C7" s="36"/>
      <c r="D7" s="36"/>
      <c r="E7" s="37"/>
      <c r="F7" s="37"/>
      <c r="G7" s="5" t="s">
        <v>83</v>
      </c>
      <c r="H7" s="16">
        <v>122.9</v>
      </c>
      <c r="I7" s="17" t="str">
        <f t="shared" si="0"/>
        <v>Descartado</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34.952818198251194</v>
      </c>
      <c r="B20" s="8">
        <f>COUNT(H3:H17)</f>
        <v>5</v>
      </c>
      <c r="C20" s="9">
        <f>IF(B20&lt;2,"n/a",(A20/D20))</f>
        <v>0.45648188844522919</v>
      </c>
      <c r="D20" s="10">
        <f>IFERROR(ROUND(AVERAGE(H3:H17),2),"")</f>
        <v>76.569999999999993</v>
      </c>
      <c r="E20" s="15">
        <f>IFERROR(ROUND(IF(B20&lt;2,"n/a",(IF(C20&lt;=25%,"n/a",AVERAGE(I3:I17)))),2),"n/a")</f>
        <v>64.989999999999995</v>
      </c>
      <c r="F20" s="10">
        <f>IFERROR(ROUND(MEDIAN(H3:H17),2),"")</f>
        <v>83.25</v>
      </c>
      <c r="G20" s="11" t="str">
        <f>IFERROR(INDEX(G3:G17,MATCH(H20,H3:H17,0)),"")</f>
        <v>PRIME COMERCIO DE MATERIAIS</v>
      </c>
      <c r="H20" s="12">
        <f>F3</f>
        <v>30.8</v>
      </c>
    </row>
    <row r="22" spans="1:9" x14ac:dyDescent="0.25">
      <c r="G22" s="13" t="s">
        <v>20</v>
      </c>
      <c r="H22" s="14">
        <f>IF(C20&lt;=25%,D20,MIN(E20:F20))</f>
        <v>64.989999999999995</v>
      </c>
    </row>
    <row r="23" spans="1:9" x14ac:dyDescent="0.25">
      <c r="G23" s="13" t="s">
        <v>6</v>
      </c>
      <c r="H23" s="14">
        <f>ROUND(H22,2)*D3</f>
        <v>6498.9999999999991</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B3" sqref="B3:B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23</v>
      </c>
      <c r="B3" s="34"/>
      <c r="C3" s="36" t="s">
        <v>7</v>
      </c>
      <c r="D3" s="36"/>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B3" sqref="B3:B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24</v>
      </c>
      <c r="B3" s="34"/>
      <c r="C3" s="36" t="s">
        <v>7</v>
      </c>
      <c r="D3" s="36"/>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B3" sqref="B3:B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25</v>
      </c>
      <c r="B3" s="34"/>
      <c r="C3" s="36" t="s">
        <v>7</v>
      </c>
      <c r="D3" s="36"/>
      <c r="E3" s="37">
        <f>IF(C20&lt;=25%,D20,MIN(E20:F20))</f>
        <v>0</v>
      </c>
      <c r="F3" s="37">
        <f>MIN(H3:H17)</f>
        <v>0</v>
      </c>
      <c r="G3" s="5"/>
      <c r="H3" s="16"/>
      <c r="I3" s="17" t="str">
        <f>IF(H3="","",(IF($C$20&lt;25%,"n/a",IF(H3&lt;=($D$20+$A$20),H3,"Descartado"))))</f>
        <v/>
      </c>
    </row>
    <row r="4" spans="1:9" x14ac:dyDescent="0.25">
      <c r="A4" s="38"/>
      <c r="B4" s="35"/>
      <c r="C4" s="36"/>
      <c r="D4" s="36"/>
      <c r="E4" s="37"/>
      <c r="F4" s="37"/>
      <c r="G4" s="5"/>
      <c r="H4" s="16"/>
      <c r="I4" s="17" t="str">
        <f t="shared" ref="I4:I17" si="0">IF(H4="","",(IF($C$20&lt;25%,"n/a",IF(H4&lt;=($D$20+$A$20),H4,"Descartado"))))</f>
        <v/>
      </c>
    </row>
    <row r="5" spans="1:9" x14ac:dyDescent="0.25">
      <c r="A5" s="38"/>
      <c r="B5" s="35"/>
      <c r="C5" s="36"/>
      <c r="D5" s="36"/>
      <c r="E5" s="37"/>
      <c r="F5" s="37"/>
      <c r="G5" s="5"/>
      <c r="H5" s="16"/>
      <c r="I5" s="17" t="str">
        <f t="shared" si="0"/>
        <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t="str">
        <f>IF(B20&lt;2,"n/a",(_xlfn.STDEV.S(H3:H17)))</f>
        <v>n/a</v>
      </c>
      <c r="B20" s="8">
        <f>COUNT(H3:H17)</f>
        <v>0</v>
      </c>
      <c r="C20" s="9" t="str">
        <f>IF(B20&lt;2,"n/a",(A20/D20))</f>
        <v>n/a</v>
      </c>
      <c r="D20" s="10" t="str">
        <f>IFERROR(ROUND(AVERAGE(H3:H17),2),"")</f>
        <v/>
      </c>
      <c r="E20" s="15" t="str">
        <f>IFERROR(ROUND(IF(B20&lt;2,"n/a",(IF(C20&lt;=25%,"n/a",AVERAGE(I3:I17)))),2),"n/a")</f>
        <v>n/a</v>
      </c>
      <c r="F20" s="10" t="str">
        <f>IFERROR(ROUND(MEDIAN(H3:H17),2),"")</f>
        <v/>
      </c>
      <c r="G20" s="11" t="str">
        <f>IFERROR(INDEX(G3:G17,MATCH(H20,H3:H17,0)),"")</f>
        <v/>
      </c>
      <c r="H20" s="12">
        <f>F3</f>
        <v>0</v>
      </c>
    </row>
    <row r="22" spans="1:9" x14ac:dyDescent="0.25">
      <c r="G22" s="13" t="s">
        <v>20</v>
      </c>
      <c r="H22" s="14">
        <f>IF(C20&lt;=25%,D20,MIN(E20:F20))</f>
        <v>0</v>
      </c>
    </row>
    <row r="23" spans="1:9" x14ac:dyDescent="0.25">
      <c r="G23" s="13" t="s">
        <v>6</v>
      </c>
      <c r="H23" s="14">
        <f>ROUND(H22,2)*D3</f>
        <v>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26</v>
      </c>
      <c r="B3" s="34" t="s">
        <v>34</v>
      </c>
      <c r="C3" s="36" t="s">
        <v>7</v>
      </c>
      <c r="D3" s="36">
        <v>4</v>
      </c>
      <c r="E3" s="37">
        <f>IF(C20&lt;=25%,D20,MIN(E20:F20))</f>
        <v>314.5</v>
      </c>
      <c r="F3" s="37">
        <f>MIN(H3:H17)</f>
        <v>149.97</v>
      </c>
      <c r="G3" s="5" t="s">
        <v>43</v>
      </c>
      <c r="H3" s="16">
        <v>1257</v>
      </c>
      <c r="I3" s="17" t="str">
        <f>IF(H3="","",(IF($C$20&lt;25%,"n/a",IF(H3&lt;=($D$20+$A$20),H3,"Descartado"))))</f>
        <v>Descartado</v>
      </c>
    </row>
    <row r="4" spans="1:9" x14ac:dyDescent="0.25">
      <c r="A4" s="38"/>
      <c r="B4" s="35"/>
      <c r="C4" s="36"/>
      <c r="D4" s="36"/>
      <c r="E4" s="37"/>
      <c r="F4" s="37"/>
      <c r="G4" s="5" t="s">
        <v>37</v>
      </c>
      <c r="H4" s="16">
        <v>160</v>
      </c>
      <c r="I4" s="17">
        <f t="shared" ref="I4:I17" si="0">IF(H4="","",(IF($C$20&lt;25%,"n/a",IF(H4&lt;=($D$20+$A$20),H4,"Descartado"))))</f>
        <v>160</v>
      </c>
    </row>
    <row r="5" spans="1:9" x14ac:dyDescent="0.25">
      <c r="A5" s="38"/>
      <c r="B5" s="35"/>
      <c r="C5" s="36"/>
      <c r="D5" s="36"/>
      <c r="E5" s="37"/>
      <c r="F5" s="37"/>
      <c r="G5" s="5" t="s">
        <v>44</v>
      </c>
      <c r="H5" s="16">
        <v>330</v>
      </c>
      <c r="I5" s="17">
        <f t="shared" si="0"/>
        <v>330</v>
      </c>
    </row>
    <row r="6" spans="1:9" x14ac:dyDescent="0.25">
      <c r="A6" s="38"/>
      <c r="B6" s="35"/>
      <c r="C6" s="36"/>
      <c r="D6" s="36"/>
      <c r="E6" s="37"/>
      <c r="F6" s="37"/>
      <c r="G6" s="5" t="s">
        <v>39</v>
      </c>
      <c r="H6" s="16">
        <v>259</v>
      </c>
      <c r="I6" s="17">
        <f t="shared" si="0"/>
        <v>259</v>
      </c>
    </row>
    <row r="7" spans="1:9" x14ac:dyDescent="0.25">
      <c r="A7" s="38"/>
      <c r="B7" s="35"/>
      <c r="C7" s="36"/>
      <c r="D7" s="36"/>
      <c r="E7" s="37"/>
      <c r="F7" s="37"/>
      <c r="G7" s="5" t="s">
        <v>40</v>
      </c>
      <c r="H7" s="16">
        <v>1000</v>
      </c>
      <c r="I7" s="17">
        <f t="shared" si="0"/>
        <v>1000</v>
      </c>
    </row>
    <row r="8" spans="1:9" x14ac:dyDescent="0.25">
      <c r="A8" s="38"/>
      <c r="B8" s="35"/>
      <c r="C8" s="36"/>
      <c r="D8" s="36"/>
      <c r="E8" s="37"/>
      <c r="F8" s="37"/>
      <c r="G8" s="5" t="s">
        <v>45</v>
      </c>
      <c r="H8" s="16">
        <v>177.5</v>
      </c>
      <c r="I8" s="17">
        <f t="shared" si="0"/>
        <v>177.5</v>
      </c>
    </row>
    <row r="9" spans="1:9" x14ac:dyDescent="0.25">
      <c r="A9" s="38"/>
      <c r="B9" s="35"/>
      <c r="C9" s="36"/>
      <c r="D9" s="36"/>
      <c r="E9" s="37"/>
      <c r="F9" s="37"/>
      <c r="G9" s="5" t="s">
        <v>38</v>
      </c>
      <c r="H9" s="16">
        <v>160</v>
      </c>
      <c r="I9" s="17">
        <f t="shared" si="0"/>
        <v>160</v>
      </c>
    </row>
    <row r="10" spans="1:9" x14ac:dyDescent="0.25">
      <c r="A10" s="38"/>
      <c r="B10" s="35"/>
      <c r="C10" s="36"/>
      <c r="D10" s="36"/>
      <c r="E10" s="37"/>
      <c r="F10" s="37"/>
      <c r="G10" s="5" t="s">
        <v>46</v>
      </c>
      <c r="H10" s="16">
        <v>1342</v>
      </c>
      <c r="I10" s="17" t="str">
        <f t="shared" si="0"/>
        <v>Descartado</v>
      </c>
    </row>
    <row r="11" spans="1:9" x14ac:dyDescent="0.25">
      <c r="A11" s="38"/>
      <c r="B11" s="35"/>
      <c r="C11" s="36"/>
      <c r="D11" s="36"/>
      <c r="E11" s="37"/>
      <c r="F11" s="37"/>
      <c r="G11" s="5" t="s">
        <v>47</v>
      </c>
      <c r="H11" s="16">
        <v>1650</v>
      </c>
      <c r="I11" s="17" t="str">
        <f t="shared" si="0"/>
        <v>Descartado</v>
      </c>
    </row>
    <row r="12" spans="1:9" x14ac:dyDescent="0.25">
      <c r="A12" s="38"/>
      <c r="B12" s="35"/>
      <c r="C12" s="36"/>
      <c r="D12" s="36"/>
      <c r="E12" s="37"/>
      <c r="F12" s="37"/>
      <c r="G12" s="5" t="s">
        <v>42</v>
      </c>
      <c r="H12" s="16">
        <v>149.97</v>
      </c>
      <c r="I12" s="17">
        <f t="shared" si="0"/>
        <v>149.97</v>
      </c>
    </row>
    <row r="13" spans="1:9" x14ac:dyDescent="0.25">
      <c r="A13" s="38"/>
      <c r="B13" s="35"/>
      <c r="C13" s="36"/>
      <c r="D13" s="36"/>
      <c r="E13" s="37"/>
      <c r="F13" s="37"/>
      <c r="G13" s="5" t="s">
        <v>52</v>
      </c>
      <c r="H13" s="16">
        <v>299</v>
      </c>
      <c r="I13" s="17">
        <f t="shared" si="0"/>
        <v>299</v>
      </c>
    </row>
    <row r="14" spans="1:9" x14ac:dyDescent="0.25">
      <c r="A14" s="38"/>
      <c r="B14" s="35"/>
      <c r="C14" s="36"/>
      <c r="D14" s="36"/>
      <c r="E14" s="37"/>
      <c r="F14" s="37"/>
      <c r="G14" s="5" t="s">
        <v>54</v>
      </c>
      <c r="H14" s="16">
        <v>341.01</v>
      </c>
      <c r="I14" s="17">
        <f t="shared" si="0"/>
        <v>341.01</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27</v>
      </c>
      <c r="B3" s="34" t="s">
        <v>35</v>
      </c>
      <c r="C3" s="36" t="s">
        <v>7</v>
      </c>
      <c r="D3" s="36">
        <v>2</v>
      </c>
      <c r="E3" s="37">
        <f>IF(C20&lt;=25%,D20,MIN(E20:F20))</f>
        <v>2336.66</v>
      </c>
      <c r="F3" s="37">
        <f>MIN(H3:H17)</f>
        <v>985</v>
      </c>
      <c r="G3" s="5" t="s">
        <v>44</v>
      </c>
      <c r="H3" s="16">
        <v>985</v>
      </c>
      <c r="I3" s="17">
        <f>IF(H3="","",(IF($C$20&lt;25%,"n/a",IF(H3&lt;=($D$20+$A$20),H3,"Descartado"))))</f>
        <v>985</v>
      </c>
    </row>
    <row r="4" spans="1:9" x14ac:dyDescent="0.25">
      <c r="A4" s="38"/>
      <c r="B4" s="35"/>
      <c r="C4" s="36"/>
      <c r="D4" s="36"/>
      <c r="E4" s="37"/>
      <c r="F4" s="37"/>
      <c r="G4" s="5" t="s">
        <v>48</v>
      </c>
      <c r="H4" s="16">
        <v>1750</v>
      </c>
      <c r="I4" s="17">
        <f t="shared" ref="I4:I17" si="0">IF(H4="","",(IF($C$20&lt;25%,"n/a",IF(H4&lt;=($D$20+$A$20),H4,"Descartado"))))</f>
        <v>1750</v>
      </c>
    </row>
    <row r="5" spans="1:9" x14ac:dyDescent="0.25">
      <c r="A5" s="38"/>
      <c r="B5" s="35"/>
      <c r="C5" s="36"/>
      <c r="D5" s="36"/>
      <c r="E5" s="37"/>
      <c r="F5" s="37"/>
      <c r="G5" s="5" t="s">
        <v>49</v>
      </c>
      <c r="H5" s="16">
        <v>3775.12</v>
      </c>
      <c r="I5" s="17" t="str">
        <f t="shared" si="0"/>
        <v>Descartado</v>
      </c>
    </row>
    <row r="6" spans="1:9" x14ac:dyDescent="0.25">
      <c r="A6" s="38"/>
      <c r="B6" s="35"/>
      <c r="C6" s="36"/>
      <c r="D6" s="36"/>
      <c r="E6" s="37"/>
      <c r="F6" s="37"/>
      <c r="G6" s="5" t="s">
        <v>37</v>
      </c>
      <c r="H6" s="16">
        <v>1449.99</v>
      </c>
      <c r="I6" s="17">
        <f t="shared" si="0"/>
        <v>1449.99</v>
      </c>
    </row>
    <row r="7" spans="1:9" x14ac:dyDescent="0.25">
      <c r="A7" s="38"/>
      <c r="B7" s="35"/>
      <c r="C7" s="36"/>
      <c r="D7" s="36"/>
      <c r="E7" s="37"/>
      <c r="F7" s="37"/>
      <c r="G7" s="5" t="s">
        <v>41</v>
      </c>
      <c r="H7" s="16">
        <v>1738.77</v>
      </c>
      <c r="I7" s="17">
        <f t="shared" si="0"/>
        <v>1738.77</v>
      </c>
    </row>
    <row r="8" spans="1:9" x14ac:dyDescent="0.25">
      <c r="A8" s="38"/>
      <c r="B8" s="35"/>
      <c r="C8" s="36"/>
      <c r="D8" s="36"/>
      <c r="E8" s="37"/>
      <c r="F8" s="37"/>
      <c r="G8" s="5" t="s">
        <v>50</v>
      </c>
      <c r="H8" s="16">
        <v>2582</v>
      </c>
      <c r="I8" s="17">
        <f t="shared" si="0"/>
        <v>2582</v>
      </c>
    </row>
    <row r="9" spans="1:9" x14ac:dyDescent="0.25">
      <c r="A9" s="38"/>
      <c r="B9" s="35"/>
      <c r="C9" s="36"/>
      <c r="D9" s="36"/>
      <c r="E9" s="37"/>
      <c r="F9" s="37"/>
      <c r="G9" s="5" t="s">
        <v>55</v>
      </c>
      <c r="H9" s="16">
        <v>3179.25</v>
      </c>
      <c r="I9" s="17">
        <f t="shared" si="0"/>
        <v>3179.25</v>
      </c>
    </row>
    <row r="10" spans="1:9" x14ac:dyDescent="0.25">
      <c r="A10" s="38"/>
      <c r="B10" s="35"/>
      <c r="C10" s="36"/>
      <c r="D10" s="36"/>
      <c r="E10" s="37"/>
      <c r="F10" s="37"/>
      <c r="G10" s="5" t="s">
        <v>51</v>
      </c>
      <c r="H10" s="16">
        <v>3484.8</v>
      </c>
      <c r="I10" s="17">
        <f t="shared" si="0"/>
        <v>3484.8</v>
      </c>
    </row>
    <row r="11" spans="1:9" x14ac:dyDescent="0.25">
      <c r="A11" s="38"/>
      <c r="B11" s="35"/>
      <c r="C11" s="36"/>
      <c r="D11" s="36"/>
      <c r="E11" s="37"/>
      <c r="F11" s="37"/>
      <c r="G11" s="5" t="s">
        <v>53</v>
      </c>
      <c r="H11" s="16">
        <v>3523.43</v>
      </c>
      <c r="I11" s="17">
        <f t="shared" si="0"/>
        <v>3523.43</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tabSelected="1" view="pageBreakPreview" zoomScaleNormal="100" zoomScaleSheetLayoutView="100" workbookViewId="0">
      <selection activeCell="C8" sqref="C8"/>
    </sheetView>
  </sheetViews>
  <sheetFormatPr defaultRowHeight="15" x14ac:dyDescent="0.25"/>
  <cols>
    <col min="1" max="2" width="6.7109375" style="1" customWidth="1"/>
    <col min="3" max="3" width="36.7109375" style="4" customWidth="1"/>
    <col min="4" max="4" width="12.7109375" style="1" customWidth="1"/>
    <col min="5" max="5" width="9.28515625" style="1" bestFit="1" customWidth="1"/>
    <col min="6" max="7" width="15.7109375" style="1" customWidth="1"/>
    <col min="8" max="16384" width="9.140625" style="1"/>
  </cols>
  <sheetData>
    <row r="1" spans="1:7" ht="15.75" x14ac:dyDescent="0.25">
      <c r="A1" s="39" t="s">
        <v>0</v>
      </c>
      <c r="B1" s="39"/>
      <c r="C1" s="39"/>
      <c r="D1" s="39"/>
      <c r="E1" s="39"/>
      <c r="F1" s="39"/>
      <c r="G1" s="39"/>
    </row>
    <row r="2" spans="1:7" ht="24" x14ac:dyDescent="0.25">
      <c r="A2" s="6" t="s">
        <v>29</v>
      </c>
      <c r="B2" s="6" t="s">
        <v>1</v>
      </c>
      <c r="C2" s="6" t="s">
        <v>2</v>
      </c>
      <c r="D2" s="6" t="s">
        <v>3</v>
      </c>
      <c r="E2" s="6" t="s">
        <v>4</v>
      </c>
      <c r="F2" s="6" t="s">
        <v>5</v>
      </c>
      <c r="G2" s="6" t="s">
        <v>30</v>
      </c>
    </row>
    <row r="3" spans="1:7" ht="150" x14ac:dyDescent="0.25">
      <c r="A3" s="25" t="s">
        <v>36</v>
      </c>
      <c r="B3" s="25">
        <f>Item1!A3</f>
        <v>1</v>
      </c>
      <c r="C3" s="27" t="str">
        <f>Item1!B3</f>
        <v>Açucar Branco Granulado
Derivado da cana-de-açúcar 
Embalagem de 1 kg,
Com impressão do nome do fabricante, registro no Ministério da Saúde e validade do produto não inferior a 11 meses, contados da data do recebimento definitivo.
Acondicionado em caixas com até 30 unidades.</v>
      </c>
      <c r="D3" s="25" t="str">
        <f>Item1!C3</f>
        <v>quilograma</v>
      </c>
      <c r="E3" s="25">
        <f>Item1!D3</f>
        <v>4800</v>
      </c>
      <c r="F3" s="26">
        <f>Item1!E3</f>
        <v>4.26</v>
      </c>
      <c r="G3" s="26">
        <f>ROUND((E3*F3),2)</f>
        <v>20448</v>
      </c>
    </row>
    <row r="4" spans="1:7" ht="135" x14ac:dyDescent="0.25">
      <c r="A4" s="25" t="s">
        <v>36</v>
      </c>
      <c r="B4" s="25">
        <f>Item2!A3</f>
        <v>2</v>
      </c>
      <c r="C4" s="27" t="str">
        <f>Item2!B3</f>
        <v>Leite em pó Integral 
Derivado da vaca, Lata com 400g, 
Com impressão do nome do fabricante, registro no Ministério da Agricultura e validade do produto não inferior a 9 meses, contados da data do recebimento definitivo. 
Acondicionados em caixas com até 24 unidades.</v>
      </c>
      <c r="D4" s="25" t="str">
        <f>Item2!C3</f>
        <v>lata</v>
      </c>
      <c r="E4" s="25">
        <f>Item2!D3</f>
        <v>700</v>
      </c>
      <c r="F4" s="26">
        <f>Item2!E3</f>
        <v>16.079999999999998</v>
      </c>
      <c r="G4" s="26">
        <f t="shared" ref="G4:G19" si="0">ROUND((E4*F4),2)</f>
        <v>11256</v>
      </c>
    </row>
    <row r="5" spans="1:7" ht="120" x14ac:dyDescent="0.25">
      <c r="A5" s="25" t="s">
        <v>36</v>
      </c>
      <c r="B5" s="25">
        <f>Item3!A3</f>
        <v>3</v>
      </c>
      <c r="C5" s="27" t="str">
        <f>Item3!B3</f>
        <v>Água mineral
Acondicionada em copos de 200ml.
Com impressão do nome do fabricante, registro no Ministério da Saúde e validade do produto não inferior a 6 meses, contados da data do recebimento definitivo.
Embalagem: caixa contendo 48 copos.</v>
      </c>
      <c r="D5" s="25" t="str">
        <f>Item3!C3</f>
        <v>copo</v>
      </c>
      <c r="E5" s="25">
        <f>Item3!D3</f>
        <v>34560</v>
      </c>
      <c r="F5" s="26">
        <f>Item3!E3</f>
        <v>0.53</v>
      </c>
      <c r="G5" s="26">
        <f t="shared" si="0"/>
        <v>18316.8</v>
      </c>
    </row>
    <row r="6" spans="1:7" ht="195" x14ac:dyDescent="0.25">
      <c r="A6" s="25" t="s">
        <v>36</v>
      </c>
      <c r="B6" s="25">
        <f>Item4!A3</f>
        <v>4</v>
      </c>
      <c r="C6" s="27" t="str">
        <f>Item4!B3</f>
        <v>Água mineral 
Sem gás, 
Acondicionada em garrafão plástico transparente, de 20 litros (vasilhame + líquido), 
Com impressão do nome do fabricante, registro no Ministério da Saúde e validade do produto não inferior a 03 meses, contados da data do recebimento definitivo.
Fornecimento em vasilhames com validade de 3 anos a partir da data da entrega.</v>
      </c>
      <c r="D6" s="25" t="str">
        <f>Item4!C3</f>
        <v>unidade</v>
      </c>
      <c r="E6" s="25">
        <f>Item4!D3</f>
        <v>200</v>
      </c>
      <c r="F6" s="26">
        <f>Item4!E3</f>
        <v>9.1300000000000008</v>
      </c>
      <c r="G6" s="26">
        <f t="shared" si="0"/>
        <v>1826</v>
      </c>
    </row>
    <row r="7" spans="1:7" ht="135" x14ac:dyDescent="0.25">
      <c r="A7" s="25" t="s">
        <v>36</v>
      </c>
      <c r="B7" s="25">
        <f>Item5!A3</f>
        <v>5</v>
      </c>
      <c r="C7" s="27" t="str">
        <f>Item5!B3</f>
        <v>Polpa de Acerola
Acondicionada em embalagens plásticas com 100g.
Com impressão do nome do fabricante, registro no Ministério da Saúde e validade do produto não inferior a 3 meses, contados da data do recebimento definitivo.</v>
      </c>
      <c r="D7" s="25" t="str">
        <f>Item5!C3</f>
        <v>quilograma</v>
      </c>
      <c r="E7" s="25">
        <f>Item5!D3</f>
        <v>30</v>
      </c>
      <c r="F7" s="26">
        <f>Item5!E3</f>
        <v>8</v>
      </c>
      <c r="G7" s="26">
        <f t="shared" si="0"/>
        <v>240</v>
      </c>
    </row>
    <row r="8" spans="1:7" ht="135" x14ac:dyDescent="0.25">
      <c r="A8" s="25" t="s">
        <v>36</v>
      </c>
      <c r="B8" s="25">
        <f>Item6!A3</f>
        <v>6</v>
      </c>
      <c r="C8" s="27" t="str">
        <f>Item6!B3</f>
        <v xml:space="preserve">Polpa de Goiaba 
Acondicionada em embalagens plásticas com 100g.
Com impressão do nome do fabricante, registro no Ministério da Saúde e validade do produto não inferior a 3 meses, contados da data do recebimento definitivo. </v>
      </c>
      <c r="D8" s="25" t="str">
        <f>Item6!C3</f>
        <v>quilograma</v>
      </c>
      <c r="E8" s="25">
        <f>Item6!D3</f>
        <v>30</v>
      </c>
      <c r="F8" s="26">
        <f>Item6!E3</f>
        <v>10</v>
      </c>
      <c r="G8" s="26">
        <f t="shared" si="0"/>
        <v>300</v>
      </c>
    </row>
    <row r="9" spans="1:7" ht="135" x14ac:dyDescent="0.25">
      <c r="A9" s="25" t="s">
        <v>36</v>
      </c>
      <c r="B9" s="25">
        <f>Item7!A3</f>
        <v>7</v>
      </c>
      <c r="C9" s="27" t="str">
        <f>Item7!B3</f>
        <v xml:space="preserve">Polpa de Maracujá 
Acondicionada em embalagens plásticas com 100g.
Com impressão do nome do fabricante, registro no Ministério da Saúde e validade do produto não inferior a 3 meses, contados da data do recebimento definitivo. </v>
      </c>
      <c r="D9" s="25" t="str">
        <f>Item7!C3</f>
        <v>quilograma</v>
      </c>
      <c r="E9" s="25">
        <f>Item7!D3</f>
        <v>30</v>
      </c>
      <c r="F9" s="26">
        <f>Item7!E3</f>
        <v>13.91</v>
      </c>
      <c r="G9" s="26">
        <f t="shared" si="0"/>
        <v>417.3</v>
      </c>
    </row>
    <row r="10" spans="1:7" ht="135" x14ac:dyDescent="0.25">
      <c r="A10" s="25" t="s">
        <v>36</v>
      </c>
      <c r="B10" s="25">
        <f>Item8!A3</f>
        <v>8</v>
      </c>
      <c r="C10" s="27" t="str">
        <f>Item8!B3</f>
        <v>Polpa de Morango 
Acondicionada em embalagens plásticas com 100g.
Com impressão do nome do fabricante, registro no Ministério da Saúde e validade do produto não inferior a 3 meses, contados da data do recebimento definitivo.</v>
      </c>
      <c r="D10" s="25" t="str">
        <f>Item8!C3</f>
        <v>quilograma</v>
      </c>
      <c r="E10" s="25">
        <f>Item8!D3</f>
        <v>30</v>
      </c>
      <c r="F10" s="26">
        <f>Item8!E3</f>
        <v>19.02</v>
      </c>
      <c r="G10" s="26">
        <f t="shared" si="0"/>
        <v>570.6</v>
      </c>
    </row>
    <row r="11" spans="1:7" ht="135" x14ac:dyDescent="0.25">
      <c r="A11" s="25" t="s">
        <v>36</v>
      </c>
      <c r="B11" s="25">
        <f>Item9!A3</f>
        <v>9</v>
      </c>
      <c r="C11" s="27" t="str">
        <f>Item9!B3</f>
        <v>Polpa de Cacau
Acondicionada em embalagens plásticas com 100g.
Com impressão do nome do fabricante, registro no Ministério da Saúde e validade do produto não inferior a 3 meses, contados da data do recebimento definitivo.</v>
      </c>
      <c r="D11" s="25" t="str">
        <f>Item9!C3</f>
        <v>quilograma</v>
      </c>
      <c r="E11" s="25">
        <f>Item9!D3</f>
        <v>10</v>
      </c>
      <c r="F11" s="26">
        <f>Item9!E3</f>
        <v>13.03</v>
      </c>
      <c r="G11" s="26">
        <f t="shared" si="0"/>
        <v>130.30000000000001</v>
      </c>
    </row>
    <row r="12" spans="1:7" ht="135" x14ac:dyDescent="0.25">
      <c r="A12" s="25" t="s">
        <v>36</v>
      </c>
      <c r="B12" s="25">
        <f>Item10!A3</f>
        <v>10</v>
      </c>
      <c r="C12" s="27" t="str">
        <f>Item10!B3</f>
        <v>Polpa de Abacaxi
Acondicionada em embalagens plásticas com 100g.
Com impressão do nome do fabricante, registro no Ministério da Saúde e validade do produto não inferior a 3 meses, contados da data do recebimento definitivo.</v>
      </c>
      <c r="D12" s="25" t="str">
        <f>Item10!C3</f>
        <v>quilograma</v>
      </c>
      <c r="E12" s="25">
        <f>Item10!D3</f>
        <v>40</v>
      </c>
      <c r="F12" s="26">
        <f>Item10!E3</f>
        <v>7.16</v>
      </c>
      <c r="G12" s="26">
        <f t="shared" si="0"/>
        <v>286.39999999999998</v>
      </c>
    </row>
    <row r="13" spans="1:7" ht="30" x14ac:dyDescent="0.25">
      <c r="A13" s="25" t="s">
        <v>36</v>
      </c>
      <c r="B13" s="25">
        <f>Item11!A3</f>
        <v>11</v>
      </c>
      <c r="C13" s="27" t="str">
        <f>Item11!B3</f>
        <v>Suco/ néctar em Caixa – Sabor Uva 200 ml</v>
      </c>
      <c r="D13" s="25" t="str">
        <f>Item11!C3</f>
        <v>caixa</v>
      </c>
      <c r="E13" s="25">
        <f>Item11!D3</f>
        <v>300</v>
      </c>
      <c r="F13" s="26">
        <f>Item11!E3</f>
        <v>1.1499999999999999</v>
      </c>
      <c r="G13" s="26">
        <f t="shared" si="0"/>
        <v>345</v>
      </c>
    </row>
    <row r="14" spans="1:7" ht="30" x14ac:dyDescent="0.25">
      <c r="A14" s="25" t="s">
        <v>36</v>
      </c>
      <c r="B14" s="25">
        <f>Item12!A3</f>
        <v>12</v>
      </c>
      <c r="C14" s="27" t="str">
        <f>Item12!B3</f>
        <v>Suco/ néctar em Caixa – Sabor laranja 200 ml</v>
      </c>
      <c r="D14" s="25" t="str">
        <f>Item12!C3</f>
        <v>caixa</v>
      </c>
      <c r="E14" s="25">
        <f>Item12!D3</f>
        <v>300</v>
      </c>
      <c r="F14" s="26">
        <f>Item12!E3</f>
        <v>1.22</v>
      </c>
      <c r="G14" s="26">
        <f t="shared" si="0"/>
        <v>366</v>
      </c>
    </row>
    <row r="15" spans="1:7" ht="45" x14ac:dyDescent="0.25">
      <c r="A15" s="25" t="s">
        <v>36</v>
      </c>
      <c r="B15" s="25">
        <f>Item13!A3</f>
        <v>13</v>
      </c>
      <c r="C15" s="27" t="str">
        <f>Item13!B3</f>
        <v>Biscoito Rosquinha – Sabor leite/nata – Embalagem com 360g (podendo variar em até 15g para mais ou para menos).</v>
      </c>
      <c r="D15" s="25" t="str">
        <f>Item13!C3</f>
        <v>pacote</v>
      </c>
      <c r="E15" s="25">
        <f>Item13!D3</f>
        <v>300</v>
      </c>
      <c r="F15" s="26">
        <f>Item13!E3</f>
        <v>5.93</v>
      </c>
      <c r="G15" s="26">
        <f t="shared" si="0"/>
        <v>1779</v>
      </c>
    </row>
    <row r="16" spans="1:7" ht="60" x14ac:dyDescent="0.25">
      <c r="A16" s="25" t="s">
        <v>36</v>
      </c>
      <c r="B16" s="25">
        <f>Item14!A3</f>
        <v>14</v>
      </c>
      <c r="C16" s="27" t="str">
        <f>Item14!B3</f>
        <v>Biscoito Salgado – Pacotes de 24g cada (podendo variar 2g para mais ou para menos), acondicionados em embalagens com até 6 pacotes.</v>
      </c>
      <c r="D16" s="25" t="str">
        <f>Item14!C3</f>
        <v>pacote</v>
      </c>
      <c r="E16" s="25">
        <f>Item14!D3</f>
        <v>500</v>
      </c>
      <c r="F16" s="26">
        <f>Item14!E3</f>
        <v>3.58</v>
      </c>
      <c r="G16" s="26">
        <f t="shared" si="0"/>
        <v>1790</v>
      </c>
    </row>
    <row r="17" spans="1:7" ht="60" x14ac:dyDescent="0.25">
      <c r="A17" s="25" t="s">
        <v>36</v>
      </c>
      <c r="B17" s="25">
        <f>Item15!A3</f>
        <v>15</v>
      </c>
      <c r="C17" s="27" t="str">
        <f>Item15!B3</f>
        <v>Biscoito Rosquinha - Sabor chocolate/cacau – Embalagem com 360g (podendo variar em até 15g para mais ou para menos).</v>
      </c>
      <c r="D17" s="25" t="str">
        <f>Item15!C3</f>
        <v>pacote</v>
      </c>
      <c r="E17" s="25">
        <f>Item15!D3</f>
        <v>300</v>
      </c>
      <c r="F17" s="26">
        <f>Item15!E3</f>
        <v>4.16</v>
      </c>
      <c r="G17" s="26">
        <f t="shared" si="0"/>
        <v>1248</v>
      </c>
    </row>
    <row r="18" spans="1:7" ht="45" x14ac:dyDescent="0.25">
      <c r="A18" s="25" t="s">
        <v>36</v>
      </c>
      <c r="B18" s="25">
        <f>Item16!A3</f>
        <v>16</v>
      </c>
      <c r="C18" s="27" t="str">
        <f>Item16!B3</f>
        <v>Biscoito com recheio de Chocolate - Embalagem com 100g (podendo variar em até 10g para mais ou para menos)</v>
      </c>
      <c r="D18" s="25" t="str">
        <f>Item16!C3</f>
        <v>pacote</v>
      </c>
      <c r="E18" s="25">
        <f>Item16!D3</f>
        <v>300</v>
      </c>
      <c r="F18" s="26">
        <f>Item16!E3</f>
        <v>1.99</v>
      </c>
      <c r="G18" s="26">
        <f t="shared" si="0"/>
        <v>597</v>
      </c>
    </row>
    <row r="19" spans="1:7" ht="195" x14ac:dyDescent="0.25">
      <c r="A19" s="25" t="s">
        <v>36</v>
      </c>
      <c r="B19" s="25">
        <f>Item17!A3</f>
        <v>17</v>
      </c>
      <c r="C19" s="27" t="str">
        <f>Item17!B3</f>
        <v>Adoçante Líquido Dietético, 
À base de Stevia, Sucralose ou Aspartame
Em embalagem plástica com 100 ml,  bico tipo conta gotas.
Rótulo com impressão do nome do fabricante, registro no Ministério da Saúde, data de fabricação e prazo de  validade do produto não inferior a 12 meses, contados da data do recebimento definitivo.
Acondicionados em caixas com até 30 unidades.</v>
      </c>
      <c r="D19" s="25" t="str">
        <f>Item17!C3</f>
        <v>frasco</v>
      </c>
      <c r="E19" s="25">
        <f>Item17!D3</f>
        <v>100</v>
      </c>
      <c r="F19" s="26">
        <f>Item17!E3</f>
        <v>10</v>
      </c>
      <c r="G19" s="26">
        <f t="shared" si="0"/>
        <v>1000</v>
      </c>
    </row>
    <row r="20" spans="1:7" x14ac:dyDescent="0.25">
      <c r="A20" s="28"/>
      <c r="B20" s="28"/>
      <c r="C20" s="29"/>
      <c r="D20" s="30"/>
      <c r="E20" s="30"/>
      <c r="F20" s="31"/>
      <c r="G20" s="31"/>
    </row>
    <row r="21" spans="1:7" ht="15.75" thickBot="1" x14ac:dyDescent="0.3"/>
    <row r="22" spans="1:7" ht="16.5" thickTop="1" thickBot="1" x14ac:dyDescent="0.3">
      <c r="D22" s="22"/>
      <c r="E22" s="23" t="s">
        <v>33</v>
      </c>
      <c r="F22" s="24">
        <f>SUM(G:G)</f>
        <v>60916.400000000009</v>
      </c>
    </row>
    <row r="23" spans="1:7" ht="15.75" thickTop="1" x14ac:dyDescent="0.25">
      <c r="F23" s="3"/>
    </row>
    <row r="24" spans="1:7" x14ac:dyDescent="0.25">
      <c r="D24" s="21" t="s">
        <v>32</v>
      </c>
      <c r="E24" s="13">
        <f>MAX(A:A)</f>
        <v>0</v>
      </c>
    </row>
    <row r="26" spans="1:7" x14ac:dyDescent="0.25">
      <c r="D26" s="18" t="s">
        <v>31</v>
      </c>
      <c r="E26" s="19">
        <v>1</v>
      </c>
      <c r="F26" s="20">
        <f>SUMIF(A:A,E26,G:G)</f>
        <v>0</v>
      </c>
    </row>
    <row r="27" spans="1:7" x14ac:dyDescent="0.25">
      <c r="D27" s="18" t="s">
        <v>31</v>
      </c>
      <c r="E27" s="19">
        <v>2</v>
      </c>
      <c r="F27" s="20">
        <f>SUMIF(A:A,E27,G:G)</f>
        <v>0</v>
      </c>
    </row>
    <row r="28" spans="1:7" x14ac:dyDescent="0.25">
      <c r="D28" s="18" t="s">
        <v>31</v>
      </c>
      <c r="E28" s="19">
        <v>3</v>
      </c>
      <c r="F28" s="20">
        <f>SUMIF(A:A,E28,G:G)</f>
        <v>0</v>
      </c>
    </row>
    <row r="29" spans="1:7" x14ac:dyDescent="0.25">
      <c r="D29" s="18" t="s">
        <v>31</v>
      </c>
      <c r="E29" s="19">
        <v>4</v>
      </c>
      <c r="F29" s="20">
        <f>SUMIF(A:A,E29,G:G)</f>
        <v>0</v>
      </c>
    </row>
  </sheetData>
  <mergeCells count="1">
    <mergeCell ref="A1:G1"/>
  </mergeCells>
  <pageMargins left="0.51181102362204722" right="0.51181102362204722" top="1.2598425196850394" bottom="0.78740157480314965" header="0.31496062992125984" footer="0.31496062992125984"/>
  <pageSetup paperSize="9" scale="89"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8" sqref="G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3</v>
      </c>
      <c r="B3" s="34" t="s">
        <v>88</v>
      </c>
      <c r="C3" s="36" t="s">
        <v>89</v>
      </c>
      <c r="D3" s="36">
        <v>34560</v>
      </c>
      <c r="E3" s="37">
        <f>IF(C20&lt;=25%,D20,MIN(E20:F20))</f>
        <v>0.53</v>
      </c>
      <c r="F3" s="37">
        <f>MIN(H3:H17)</f>
        <v>0.45</v>
      </c>
      <c r="G3" s="5" t="s">
        <v>126</v>
      </c>
      <c r="H3" s="16">
        <v>0.74</v>
      </c>
      <c r="I3" s="17">
        <f>IF(H3="","",(IF($C$20&lt;25%,"n/a",IF(H3&lt;=($D$20+$A$20),H3,"Descartado"))))</f>
        <v>0.74</v>
      </c>
    </row>
    <row r="4" spans="1:9" x14ac:dyDescent="0.25">
      <c r="A4" s="38"/>
      <c r="B4" s="35"/>
      <c r="C4" s="36"/>
      <c r="D4" s="36"/>
      <c r="E4" s="37"/>
      <c r="F4" s="37"/>
      <c r="G4" s="5" t="s">
        <v>127</v>
      </c>
      <c r="H4" s="16">
        <v>0.45</v>
      </c>
      <c r="I4" s="17">
        <f t="shared" ref="I4:I17" si="0">IF(H4="","",(IF($C$20&lt;25%,"n/a",IF(H4&lt;=($D$20+$A$20),H4,"Descartado"))))</f>
        <v>0.45</v>
      </c>
    </row>
    <row r="5" spans="1:9" x14ac:dyDescent="0.25">
      <c r="A5" s="38"/>
      <c r="B5" s="35"/>
      <c r="C5" s="36"/>
      <c r="D5" s="36"/>
      <c r="E5" s="37"/>
      <c r="F5" s="37"/>
      <c r="G5" s="5" t="s">
        <v>128</v>
      </c>
      <c r="H5" s="16">
        <v>0.9</v>
      </c>
      <c r="I5" s="17" t="str">
        <f t="shared" si="0"/>
        <v>Descartado</v>
      </c>
    </row>
    <row r="6" spans="1:9" x14ac:dyDescent="0.25">
      <c r="A6" s="38"/>
      <c r="B6" s="35"/>
      <c r="C6" s="36"/>
      <c r="D6" s="36"/>
      <c r="E6" s="37"/>
      <c r="F6" s="37"/>
      <c r="G6" s="5" t="s">
        <v>129</v>
      </c>
      <c r="H6" s="16">
        <v>0.53</v>
      </c>
      <c r="I6" s="17">
        <f t="shared" si="0"/>
        <v>0.53</v>
      </c>
    </row>
    <row r="7" spans="1:9" x14ac:dyDescent="0.25">
      <c r="A7" s="38"/>
      <c r="B7" s="35"/>
      <c r="C7" s="36"/>
      <c r="D7" s="36"/>
      <c r="E7" s="37"/>
      <c r="F7" s="37"/>
      <c r="G7" s="5" t="s">
        <v>120</v>
      </c>
      <c r="H7" s="16">
        <v>0.49</v>
      </c>
      <c r="I7" s="17">
        <f t="shared" si="0"/>
        <v>0.49</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0.19149412523625869</v>
      </c>
      <c r="B20" s="8">
        <f>COUNT(H3:H17)</f>
        <v>5</v>
      </c>
      <c r="C20" s="9">
        <f>IF(B20&lt;2,"n/a",(A20/D20))</f>
        <v>0.3088614923165463</v>
      </c>
      <c r="D20" s="10">
        <f>IFERROR(ROUND(AVERAGE(H3:H17),2),"")</f>
        <v>0.62</v>
      </c>
      <c r="E20" s="15">
        <f>IFERROR(ROUND(IF(B20&lt;2,"n/a",(IF(C20&lt;=25%,"n/a",AVERAGE(I3:I17)))),2),"n/a")</f>
        <v>0.55000000000000004</v>
      </c>
      <c r="F20" s="10">
        <f>IFERROR(ROUND(MEDIAN(H3:H17),2),"")</f>
        <v>0.53</v>
      </c>
      <c r="G20" s="11" t="str">
        <f>IFERROR(INDEX(G3:G17,MATCH(H20,H3:H17,0)),"")</f>
        <v>HORTOFLA COMERCIO LTDA</v>
      </c>
      <c r="H20" s="12">
        <f>F3</f>
        <v>0.45</v>
      </c>
    </row>
    <row r="22" spans="1:9" x14ac:dyDescent="0.25">
      <c r="G22" s="13" t="s">
        <v>20</v>
      </c>
      <c r="H22" s="14">
        <f>IF(C20&lt;=25%,D20,MIN(E20:F20))</f>
        <v>0.53</v>
      </c>
    </row>
    <row r="23" spans="1:9" x14ac:dyDescent="0.25">
      <c r="G23" s="13" t="s">
        <v>6</v>
      </c>
      <c r="H23" s="14">
        <f>ROUND(H22,2)*D3</f>
        <v>18316.8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1" sqref="G11"/>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4</v>
      </c>
      <c r="B3" s="34" t="s">
        <v>90</v>
      </c>
      <c r="C3" s="36" t="s">
        <v>7</v>
      </c>
      <c r="D3" s="36">
        <v>200</v>
      </c>
      <c r="E3" s="37">
        <f>IF(C20&lt;=25%,D20,MIN(E20:F20))</f>
        <v>9.1300000000000008</v>
      </c>
      <c r="F3" s="37">
        <f>MIN(H3:H17)</f>
        <v>5.99</v>
      </c>
      <c r="G3" s="5" t="s">
        <v>130</v>
      </c>
      <c r="H3" s="16">
        <v>9</v>
      </c>
      <c r="I3" s="17">
        <f>IF(H3="","",(IF($C$20&lt;25%,"n/a",IF(H3&lt;=($D$20+$A$20),H3,"Descartado"))))</f>
        <v>9</v>
      </c>
    </row>
    <row r="4" spans="1:9" x14ac:dyDescent="0.25">
      <c r="A4" s="38"/>
      <c r="B4" s="35"/>
      <c r="C4" s="36"/>
      <c r="D4" s="36"/>
      <c r="E4" s="37"/>
      <c r="F4" s="37"/>
      <c r="G4" s="5" t="s">
        <v>131</v>
      </c>
      <c r="H4" s="16">
        <v>18</v>
      </c>
      <c r="I4" s="17" t="str">
        <f t="shared" ref="I4:I17" si="0">IF(H4="","",(IF($C$20&lt;25%,"n/a",IF(H4&lt;=($D$20+$A$20),H4,"Descartado"))))</f>
        <v>Descartado</v>
      </c>
    </row>
    <row r="5" spans="1:9" x14ac:dyDescent="0.25">
      <c r="A5" s="38"/>
      <c r="B5" s="35"/>
      <c r="C5" s="36"/>
      <c r="D5" s="36"/>
      <c r="E5" s="37"/>
      <c r="F5" s="37"/>
      <c r="G5" s="5" t="s">
        <v>132</v>
      </c>
      <c r="H5" s="16">
        <v>13.37</v>
      </c>
      <c r="I5" s="17">
        <f t="shared" si="0"/>
        <v>13.37</v>
      </c>
    </row>
    <row r="6" spans="1:9" x14ac:dyDescent="0.25">
      <c r="A6" s="38"/>
      <c r="B6" s="35"/>
      <c r="C6" s="36"/>
      <c r="D6" s="36"/>
      <c r="E6" s="37"/>
      <c r="F6" s="37"/>
      <c r="G6" s="5" t="s">
        <v>133</v>
      </c>
      <c r="H6" s="16">
        <v>10.29</v>
      </c>
      <c r="I6" s="17">
        <f t="shared" si="0"/>
        <v>10.29</v>
      </c>
    </row>
    <row r="7" spans="1:9" x14ac:dyDescent="0.25">
      <c r="A7" s="38"/>
      <c r="B7" s="35"/>
      <c r="C7" s="36"/>
      <c r="D7" s="36"/>
      <c r="E7" s="37"/>
      <c r="F7" s="37"/>
      <c r="G7" s="5" t="s">
        <v>134</v>
      </c>
      <c r="H7" s="16">
        <v>5.99</v>
      </c>
      <c r="I7" s="17">
        <f t="shared" si="0"/>
        <v>5.99</v>
      </c>
    </row>
    <row r="8" spans="1:9" x14ac:dyDescent="0.25">
      <c r="A8" s="38"/>
      <c r="B8" s="35"/>
      <c r="C8" s="36"/>
      <c r="D8" s="36"/>
      <c r="E8" s="37"/>
      <c r="F8" s="37"/>
      <c r="G8" s="5" t="s">
        <v>135</v>
      </c>
      <c r="H8" s="16">
        <v>6</v>
      </c>
      <c r="I8" s="17">
        <f t="shared" si="0"/>
        <v>6</v>
      </c>
    </row>
    <row r="9" spans="1:9" x14ac:dyDescent="0.25">
      <c r="A9" s="38"/>
      <c r="B9" s="35"/>
      <c r="C9" s="36"/>
      <c r="D9" s="36"/>
      <c r="E9" s="37"/>
      <c r="F9" s="37"/>
      <c r="G9" s="5" t="s">
        <v>136</v>
      </c>
      <c r="H9" s="16">
        <v>10.29</v>
      </c>
      <c r="I9" s="17">
        <f t="shared" si="0"/>
        <v>10.29</v>
      </c>
    </row>
    <row r="10" spans="1:9" x14ac:dyDescent="0.25">
      <c r="A10" s="38"/>
      <c r="B10" s="35"/>
      <c r="C10" s="36"/>
      <c r="D10" s="36"/>
      <c r="E10" s="37"/>
      <c r="F10" s="37"/>
      <c r="G10" s="5" t="s">
        <v>137</v>
      </c>
      <c r="H10" s="16">
        <v>9</v>
      </c>
      <c r="I10" s="17">
        <f t="shared" si="0"/>
        <v>9</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3.9485033330907249</v>
      </c>
      <c r="B20" s="8">
        <f>COUNT(H3:H17)</f>
        <v>8</v>
      </c>
      <c r="C20" s="9">
        <f>IF(B20&lt;2,"n/a",(A20/D20))</f>
        <v>0.3855960286221411</v>
      </c>
      <c r="D20" s="10">
        <f>IFERROR(ROUND(AVERAGE(H3:H17),2),"")</f>
        <v>10.24</v>
      </c>
      <c r="E20" s="15">
        <f>IFERROR(ROUND(IF(B20&lt;2,"n/a",(IF(C20&lt;=25%,"n/a",AVERAGE(I3:I17)))),2),"n/a")</f>
        <v>9.1300000000000008</v>
      </c>
      <c r="F20" s="10">
        <f>IFERROR(ROUND(MEDIAN(H3:H17),2),"")</f>
        <v>9.65</v>
      </c>
      <c r="G20" s="11" t="str">
        <f>IFERROR(INDEX(G3:G17,MATCH(H20,H3:H17,0)),"")</f>
        <v>ROBSON DA SILVA ANDRADE COMERCIO E SERVICO LTDA</v>
      </c>
      <c r="H20" s="12">
        <f>F3</f>
        <v>5.99</v>
      </c>
    </row>
    <row r="22" spans="1:9" x14ac:dyDescent="0.25">
      <c r="G22" s="13" t="s">
        <v>20</v>
      </c>
      <c r="H22" s="14">
        <f>IF(C20&lt;=25%,D20,MIN(E20:F20))</f>
        <v>9.1300000000000008</v>
      </c>
    </row>
    <row r="23" spans="1:9" x14ac:dyDescent="0.25">
      <c r="G23" s="13" t="s">
        <v>6</v>
      </c>
      <c r="H23" s="14">
        <f>ROUND(H22,2)*D3</f>
        <v>1826.0000000000002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5</v>
      </c>
      <c r="B3" s="34" t="s">
        <v>91</v>
      </c>
      <c r="C3" s="36" t="s">
        <v>85</v>
      </c>
      <c r="D3" s="36">
        <v>30</v>
      </c>
      <c r="E3" s="37">
        <f>IF(C20&lt;=25%,D20,MIN(E20:F20))</f>
        <v>8</v>
      </c>
      <c r="F3" s="37">
        <f>MIN(H3:H17)</f>
        <v>5.97</v>
      </c>
      <c r="G3" s="5" t="s">
        <v>138</v>
      </c>
      <c r="H3" s="16">
        <v>17.899999999999999</v>
      </c>
      <c r="I3" s="17" t="str">
        <f>IF(H3="","",(IF($C$20&lt;25%,"n/a",IF(H3&lt;=($D$20+$A$20),H3,"Descartado"))))</f>
        <v>Descartado</v>
      </c>
    </row>
    <row r="4" spans="1:9" x14ac:dyDescent="0.25">
      <c r="A4" s="38"/>
      <c r="B4" s="35"/>
      <c r="C4" s="36"/>
      <c r="D4" s="36"/>
      <c r="E4" s="37"/>
      <c r="F4" s="37"/>
      <c r="G4" s="5" t="s">
        <v>139</v>
      </c>
      <c r="H4" s="16">
        <v>5.97</v>
      </c>
      <c r="I4" s="17">
        <f t="shared" ref="I4:I17" si="0">IF(H4="","",(IF($C$20&lt;25%,"n/a",IF(H4&lt;=($D$20+$A$20),H4,"Descartado"))))</f>
        <v>5.97</v>
      </c>
    </row>
    <row r="5" spans="1:9" x14ac:dyDescent="0.25">
      <c r="A5" s="38"/>
      <c r="B5" s="35"/>
      <c r="C5" s="36"/>
      <c r="D5" s="36"/>
      <c r="E5" s="37"/>
      <c r="F5" s="37"/>
      <c r="G5" s="5" t="s">
        <v>112</v>
      </c>
      <c r="H5" s="16">
        <v>8</v>
      </c>
      <c r="I5" s="17">
        <f t="shared" si="0"/>
        <v>8</v>
      </c>
    </row>
    <row r="6" spans="1:9" x14ac:dyDescent="0.25">
      <c r="A6" s="38"/>
      <c r="B6" s="35"/>
      <c r="C6" s="36"/>
      <c r="D6" s="36"/>
      <c r="E6" s="37"/>
      <c r="F6" s="37"/>
      <c r="G6" s="5" t="s">
        <v>140</v>
      </c>
      <c r="H6" s="16">
        <v>16.95</v>
      </c>
      <c r="I6" s="17" t="str">
        <f t="shared" si="0"/>
        <v>Descartado</v>
      </c>
    </row>
    <row r="7" spans="1:9" x14ac:dyDescent="0.25">
      <c r="A7" s="38"/>
      <c r="B7" s="35"/>
      <c r="C7" s="36"/>
      <c r="D7" s="36"/>
      <c r="E7" s="37"/>
      <c r="F7" s="37"/>
      <c r="G7" s="5" t="s">
        <v>141</v>
      </c>
      <c r="H7" s="16">
        <v>6.7</v>
      </c>
      <c r="I7" s="17">
        <f t="shared" si="0"/>
        <v>6.7</v>
      </c>
    </row>
    <row r="8" spans="1:9" x14ac:dyDescent="0.25">
      <c r="A8" s="38"/>
      <c r="B8" s="35"/>
      <c r="C8" s="36"/>
      <c r="D8" s="36"/>
      <c r="E8" s="37"/>
      <c r="F8" s="37"/>
      <c r="G8" s="5" t="s">
        <v>142</v>
      </c>
      <c r="H8" s="16">
        <v>17.899999999999999</v>
      </c>
      <c r="I8" s="17" t="str">
        <f t="shared" si="0"/>
        <v>Descartado</v>
      </c>
    </row>
    <row r="9" spans="1:9" x14ac:dyDescent="0.25">
      <c r="A9" s="38"/>
      <c r="B9" s="35"/>
      <c r="C9" s="36"/>
      <c r="D9" s="36"/>
      <c r="E9" s="37"/>
      <c r="F9" s="37"/>
      <c r="G9" s="5" t="s">
        <v>143</v>
      </c>
      <c r="H9" s="16">
        <v>15.99</v>
      </c>
      <c r="I9" s="17">
        <f t="shared" si="0"/>
        <v>15.99</v>
      </c>
    </row>
    <row r="10" spans="1:9" x14ac:dyDescent="0.25">
      <c r="A10" s="38"/>
      <c r="B10" s="35"/>
      <c r="C10" s="36"/>
      <c r="D10" s="36"/>
      <c r="E10" s="37"/>
      <c r="F10" s="37"/>
      <c r="G10" s="5" t="s">
        <v>141</v>
      </c>
      <c r="H10" s="16">
        <v>6.3</v>
      </c>
      <c r="I10" s="17">
        <f t="shared" si="0"/>
        <v>6.3</v>
      </c>
    </row>
    <row r="11" spans="1:9" x14ac:dyDescent="0.25">
      <c r="A11" s="38"/>
      <c r="B11" s="35"/>
      <c r="C11" s="36"/>
      <c r="D11" s="36"/>
      <c r="E11" s="37"/>
      <c r="F11" s="37"/>
      <c r="G11" s="5" t="s">
        <v>144</v>
      </c>
      <c r="H11" s="16">
        <v>6.33</v>
      </c>
      <c r="I11" s="17">
        <f t="shared" si="0"/>
        <v>6.33</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5.6034091805296979</v>
      </c>
      <c r="B20" s="8">
        <f>COUNT(H3:H17)</f>
        <v>9</v>
      </c>
      <c r="C20" s="9">
        <f>IF(B20&lt;2,"n/a",(A20/D20))</f>
        <v>0.49412779369750426</v>
      </c>
      <c r="D20" s="10">
        <f>IFERROR(ROUND(AVERAGE(H3:H17),2),"")</f>
        <v>11.34</v>
      </c>
      <c r="E20" s="15">
        <f>IFERROR(ROUND(IF(B20&lt;2,"n/a",(IF(C20&lt;=25%,"n/a",AVERAGE(I3:I17)))),2),"n/a")</f>
        <v>8.2200000000000006</v>
      </c>
      <c r="F20" s="10">
        <f>IFERROR(ROUND(MEDIAN(H3:H17),2),"")</f>
        <v>8</v>
      </c>
      <c r="G20" s="11" t="str">
        <f>IFERROR(INDEX(G3:G17,MATCH(H20,H3:H17,0)),"")</f>
        <v>J.C.M MARQUES</v>
      </c>
      <c r="H20" s="12">
        <f>F3</f>
        <v>5.97</v>
      </c>
    </row>
    <row r="22" spans="1:9" x14ac:dyDescent="0.25">
      <c r="G22" s="13" t="s">
        <v>20</v>
      </c>
      <c r="H22" s="14">
        <f>IF(C20&lt;=25%,D20,MIN(E20:F20))</f>
        <v>8</v>
      </c>
    </row>
    <row r="23" spans="1:9" x14ac:dyDescent="0.25">
      <c r="G23" s="13" t="s">
        <v>6</v>
      </c>
      <c r="H23" s="14">
        <f>ROUND(H22,2)*D3</f>
        <v>240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0" sqref="G10"/>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6</v>
      </c>
      <c r="B3" s="34" t="s">
        <v>92</v>
      </c>
      <c r="C3" s="36" t="s">
        <v>85</v>
      </c>
      <c r="D3" s="36">
        <v>30</v>
      </c>
      <c r="E3" s="37">
        <f>IF(C20&lt;=25%,D20,MIN(E20:F20))</f>
        <v>10</v>
      </c>
      <c r="F3" s="37">
        <f>MIN(H3:H17)</f>
        <v>5.12</v>
      </c>
      <c r="G3" s="5" t="s">
        <v>139</v>
      </c>
      <c r="H3" s="16">
        <v>5.12</v>
      </c>
      <c r="I3" s="17">
        <f>IF(H3="","",(IF($C$20&lt;25%,"n/a",IF(H3&lt;=($D$20+$A$20),H3,"Descartado"))))</f>
        <v>5.12</v>
      </c>
    </row>
    <row r="4" spans="1:9" x14ac:dyDescent="0.25">
      <c r="A4" s="38"/>
      <c r="B4" s="35"/>
      <c r="C4" s="36"/>
      <c r="D4" s="36"/>
      <c r="E4" s="37"/>
      <c r="F4" s="37"/>
      <c r="G4" s="5" t="s">
        <v>140</v>
      </c>
      <c r="H4" s="16">
        <v>21.27</v>
      </c>
      <c r="I4" s="17" t="str">
        <f t="shared" ref="I4:I17" si="0">IF(H4="","",(IF($C$20&lt;25%,"n/a",IF(H4&lt;=($D$20+$A$20),H4,"Descartado"))))</f>
        <v>Descartado</v>
      </c>
    </row>
    <row r="5" spans="1:9" x14ac:dyDescent="0.25">
      <c r="A5" s="38"/>
      <c r="B5" s="35"/>
      <c r="C5" s="36"/>
      <c r="D5" s="36"/>
      <c r="E5" s="37"/>
      <c r="F5" s="37"/>
      <c r="G5" s="5" t="s">
        <v>142</v>
      </c>
      <c r="H5" s="16">
        <v>17.133299999999998</v>
      </c>
      <c r="I5" s="17">
        <f t="shared" si="0"/>
        <v>17.133299999999998</v>
      </c>
    </row>
    <row r="6" spans="1:9" x14ac:dyDescent="0.25">
      <c r="A6" s="38"/>
      <c r="B6" s="35"/>
      <c r="C6" s="36"/>
      <c r="D6" s="36"/>
      <c r="E6" s="37"/>
      <c r="F6" s="37"/>
      <c r="G6" s="5" t="s">
        <v>112</v>
      </c>
      <c r="H6" s="16">
        <v>7.5</v>
      </c>
      <c r="I6" s="17">
        <f t="shared" si="0"/>
        <v>7.5</v>
      </c>
    </row>
    <row r="7" spans="1:9" x14ac:dyDescent="0.25">
      <c r="A7" s="38"/>
      <c r="B7" s="35"/>
      <c r="C7" s="36"/>
      <c r="D7" s="36"/>
      <c r="E7" s="37"/>
      <c r="F7" s="37"/>
      <c r="G7" s="5" t="s">
        <v>129</v>
      </c>
      <c r="H7" s="16">
        <v>6</v>
      </c>
      <c r="I7" s="17">
        <f t="shared" si="0"/>
        <v>6</v>
      </c>
    </row>
    <row r="8" spans="1:9" x14ac:dyDescent="0.25">
      <c r="A8" s="38"/>
      <c r="B8" s="35"/>
      <c r="C8" s="36"/>
      <c r="D8" s="36"/>
      <c r="E8" s="37"/>
      <c r="F8" s="37"/>
      <c r="G8" s="5" t="s">
        <v>145</v>
      </c>
      <c r="H8" s="16">
        <v>15</v>
      </c>
      <c r="I8" s="17">
        <f t="shared" si="0"/>
        <v>15</v>
      </c>
    </row>
    <row r="9" spans="1:9" x14ac:dyDescent="0.25">
      <c r="A9" s="38"/>
      <c r="B9" s="35"/>
      <c r="C9" s="36"/>
      <c r="D9" s="36"/>
      <c r="E9" s="37"/>
      <c r="F9" s="37"/>
      <c r="G9" s="5" t="s">
        <v>146</v>
      </c>
      <c r="H9" s="16">
        <v>10</v>
      </c>
      <c r="I9" s="17">
        <f t="shared" si="0"/>
        <v>10</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6.1686016385208315</v>
      </c>
      <c r="B20" s="8">
        <f>COUNT(H3:H17)</f>
        <v>7</v>
      </c>
      <c r="C20" s="9">
        <f>IF(B20&lt;2,"n/a",(A20/D20))</f>
        <v>0.52633119782600946</v>
      </c>
      <c r="D20" s="10">
        <f>IFERROR(ROUND(AVERAGE(H3:H17),2),"")</f>
        <v>11.72</v>
      </c>
      <c r="E20" s="15">
        <f>IFERROR(ROUND(IF(B20&lt;2,"n/a",(IF(C20&lt;=25%,"n/a",AVERAGE(I3:I17)))),2),"n/a")</f>
        <v>10.130000000000001</v>
      </c>
      <c r="F20" s="10">
        <f>IFERROR(ROUND(MEDIAN(H3:H17),2),"")</f>
        <v>10</v>
      </c>
      <c r="G20" s="11" t="str">
        <f>IFERROR(INDEX(G3:G17,MATCH(H20,H3:H17,0)),"")</f>
        <v>J.C.M MARQUES</v>
      </c>
      <c r="H20" s="12">
        <f>F3</f>
        <v>5.12</v>
      </c>
    </row>
    <row r="22" spans="1:9" x14ac:dyDescent="0.25">
      <c r="G22" s="13" t="s">
        <v>20</v>
      </c>
      <c r="H22" s="14">
        <f>IF(C20&lt;=25%,D20,MIN(E20:F20))</f>
        <v>10</v>
      </c>
    </row>
    <row r="23" spans="1:9" x14ac:dyDescent="0.25">
      <c r="G23" s="13" t="s">
        <v>6</v>
      </c>
      <c r="H23" s="14">
        <f>ROUND(H22,2)*D3</f>
        <v>300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8" sqref="G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7</v>
      </c>
      <c r="B3" s="34" t="s">
        <v>93</v>
      </c>
      <c r="C3" s="36" t="s">
        <v>85</v>
      </c>
      <c r="D3" s="36">
        <v>30</v>
      </c>
      <c r="E3" s="37">
        <f>IF(C20&lt;=25%,D20,MIN(E20:F20))</f>
        <v>13.91</v>
      </c>
      <c r="F3" s="37">
        <f>MIN(H3:H17)</f>
        <v>10.6</v>
      </c>
      <c r="G3" s="5" t="s">
        <v>147</v>
      </c>
      <c r="H3" s="16">
        <v>15.54</v>
      </c>
      <c r="I3" s="17">
        <f>IF(H3="","",(IF($C$20&lt;25%,"n/a",IF(H3&lt;=($D$20+$A$20),H3,"Descartado"))))</f>
        <v>15.54</v>
      </c>
    </row>
    <row r="4" spans="1:9" x14ac:dyDescent="0.25">
      <c r="A4" s="38"/>
      <c r="B4" s="35"/>
      <c r="C4" s="36"/>
      <c r="D4" s="36"/>
      <c r="E4" s="37"/>
      <c r="F4" s="37"/>
      <c r="G4" s="5" t="s">
        <v>148</v>
      </c>
      <c r="H4" s="16">
        <v>17.98</v>
      </c>
      <c r="I4" s="17">
        <f t="shared" ref="I4:I17" si="0">IF(H4="","",(IF($C$20&lt;25%,"n/a",IF(H4&lt;=($D$20+$A$20),H4,"Descartado"))))</f>
        <v>17.98</v>
      </c>
    </row>
    <row r="5" spans="1:9" x14ac:dyDescent="0.25">
      <c r="A5" s="38"/>
      <c r="B5" s="35"/>
      <c r="C5" s="36"/>
      <c r="D5" s="36"/>
      <c r="E5" s="37"/>
      <c r="F5" s="37"/>
      <c r="G5" s="5" t="s">
        <v>149</v>
      </c>
      <c r="H5" s="16">
        <v>18.899999999999999</v>
      </c>
      <c r="I5" s="17" t="str">
        <f t="shared" si="0"/>
        <v>Descartado</v>
      </c>
    </row>
    <row r="6" spans="1:9" x14ac:dyDescent="0.25">
      <c r="A6" s="38"/>
      <c r="B6" s="35"/>
      <c r="C6" s="36"/>
      <c r="D6" s="36"/>
      <c r="E6" s="37"/>
      <c r="F6" s="37"/>
      <c r="G6" s="5" t="s">
        <v>150</v>
      </c>
      <c r="H6" s="16">
        <v>11.5</v>
      </c>
      <c r="I6" s="17">
        <f t="shared" si="0"/>
        <v>11.5</v>
      </c>
    </row>
    <row r="7" spans="1:9" x14ac:dyDescent="0.25">
      <c r="A7" s="38"/>
      <c r="B7" s="35"/>
      <c r="C7" s="36"/>
      <c r="D7" s="36"/>
      <c r="E7" s="37"/>
      <c r="F7" s="37"/>
      <c r="G7" s="5" t="s">
        <v>129</v>
      </c>
      <c r="H7" s="16">
        <v>10.6</v>
      </c>
      <c r="I7" s="17">
        <f t="shared" si="0"/>
        <v>10.6</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3.7398502643822482</v>
      </c>
      <c r="B20" s="8">
        <f>COUNT(H3:H17)</f>
        <v>5</v>
      </c>
      <c r="C20" s="9">
        <f>IF(B20&lt;2,"n/a",(A20/D20))</f>
        <v>0.25099666203907706</v>
      </c>
      <c r="D20" s="10">
        <f>IFERROR(ROUND(AVERAGE(H3:H17),2),"")</f>
        <v>14.9</v>
      </c>
      <c r="E20" s="15">
        <f>IFERROR(ROUND(IF(B20&lt;2,"n/a",(IF(C20&lt;=25%,"n/a",AVERAGE(I3:I17)))),2),"n/a")</f>
        <v>13.91</v>
      </c>
      <c r="F20" s="10">
        <f>IFERROR(ROUND(MEDIAN(H3:H17),2),"")</f>
        <v>15.54</v>
      </c>
      <c r="G20" s="11" t="str">
        <f>IFERROR(INDEX(G3:G17,MATCH(H20,H3:H17,0)),"")</f>
        <v>BAHIA CESTAS LTDA</v>
      </c>
      <c r="H20" s="12">
        <f>F3</f>
        <v>10.6</v>
      </c>
    </row>
    <row r="22" spans="1:9" x14ac:dyDescent="0.25">
      <c r="G22" s="13" t="s">
        <v>20</v>
      </c>
      <c r="H22" s="14">
        <f>IF(C20&lt;=25%,D20,MIN(E20:F20))</f>
        <v>13.91</v>
      </c>
    </row>
    <row r="23" spans="1:9" x14ac:dyDescent="0.25">
      <c r="G23" s="13" t="s">
        <v>6</v>
      </c>
      <c r="H23" s="14">
        <f>ROUND(H22,2)*D3</f>
        <v>417.3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H9" sqref="H9"/>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8</v>
      </c>
      <c r="B3" s="34" t="s">
        <v>94</v>
      </c>
      <c r="C3" s="36" t="s">
        <v>85</v>
      </c>
      <c r="D3" s="36">
        <v>30</v>
      </c>
      <c r="E3" s="37">
        <f>IF(C20&lt;=25%,D20,MIN(E20:F20))</f>
        <v>19.02</v>
      </c>
      <c r="F3" s="37">
        <f>MIN(H3:H17)</f>
        <v>11.2</v>
      </c>
      <c r="G3" s="5" t="s">
        <v>151</v>
      </c>
      <c r="H3" s="16">
        <v>34.630000000000003</v>
      </c>
      <c r="I3" s="17" t="str">
        <f>IF(H3="","",(IF($C$20&lt;25%,"n/a",IF(H3&lt;=($D$20+$A$20),H3,"Descartado"))))</f>
        <v>Descartado</v>
      </c>
    </row>
    <row r="4" spans="1:9" x14ac:dyDescent="0.25">
      <c r="A4" s="38"/>
      <c r="B4" s="35"/>
      <c r="C4" s="36"/>
      <c r="D4" s="36"/>
      <c r="E4" s="37"/>
      <c r="F4" s="37"/>
      <c r="G4" s="5" t="s">
        <v>152</v>
      </c>
      <c r="H4" s="16">
        <v>19.36</v>
      </c>
      <c r="I4" s="17">
        <f t="shared" ref="I4:I17" si="0">IF(H4="","",(IF($C$20&lt;25%,"n/a",IF(H4&lt;=($D$20+$A$20),H4,"Descartado"))))</f>
        <v>19.36</v>
      </c>
    </row>
    <row r="5" spans="1:9" x14ac:dyDescent="0.25">
      <c r="A5" s="38"/>
      <c r="B5" s="35"/>
      <c r="C5" s="36"/>
      <c r="D5" s="36"/>
      <c r="E5" s="37"/>
      <c r="F5" s="37"/>
      <c r="G5" s="5" t="s">
        <v>153</v>
      </c>
      <c r="H5" s="16">
        <v>26</v>
      </c>
      <c r="I5" s="17">
        <f t="shared" si="0"/>
        <v>26</v>
      </c>
    </row>
    <row r="6" spans="1:9" x14ac:dyDescent="0.25">
      <c r="A6" s="38"/>
      <c r="B6" s="35"/>
      <c r="C6" s="36"/>
      <c r="D6" s="36"/>
      <c r="E6" s="37"/>
      <c r="F6" s="37"/>
      <c r="G6" s="5" t="s">
        <v>154</v>
      </c>
      <c r="H6" s="16">
        <v>14.95</v>
      </c>
      <c r="I6" s="17">
        <f t="shared" si="0"/>
        <v>14.95</v>
      </c>
    </row>
    <row r="7" spans="1:9" x14ac:dyDescent="0.25">
      <c r="A7" s="38"/>
      <c r="B7" s="35"/>
      <c r="C7" s="36"/>
      <c r="D7" s="36"/>
      <c r="E7" s="37"/>
      <c r="F7" s="37"/>
      <c r="G7" s="5" t="s">
        <v>155</v>
      </c>
      <c r="H7" s="16">
        <v>26.6</v>
      </c>
      <c r="I7" s="17">
        <f t="shared" si="0"/>
        <v>26.6</v>
      </c>
    </row>
    <row r="8" spans="1:9" x14ac:dyDescent="0.25">
      <c r="A8" s="38"/>
      <c r="B8" s="35"/>
      <c r="C8" s="36"/>
      <c r="D8" s="36"/>
      <c r="E8" s="37"/>
      <c r="F8" s="37"/>
      <c r="G8" s="5" t="s">
        <v>156</v>
      </c>
      <c r="H8" s="16">
        <v>11.2</v>
      </c>
      <c r="I8" s="17">
        <f t="shared" si="0"/>
        <v>11.2</v>
      </c>
    </row>
    <row r="9" spans="1:9" x14ac:dyDescent="0.25">
      <c r="A9" s="38"/>
      <c r="B9" s="35"/>
      <c r="C9" s="36"/>
      <c r="D9" s="36"/>
      <c r="E9" s="37"/>
      <c r="F9" s="37"/>
      <c r="G9" s="5" t="s">
        <v>157</v>
      </c>
      <c r="H9" s="16">
        <v>15.99</v>
      </c>
      <c r="I9" s="17">
        <f t="shared" si="0"/>
        <v>15.99</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8.1867936627345408</v>
      </c>
      <c r="B20" s="8">
        <f>COUNT(H3:H17)</f>
        <v>7</v>
      </c>
      <c r="C20" s="9">
        <f>IF(B20&lt;2,"n/a",(A20/D20))</f>
        <v>0.38526087824633132</v>
      </c>
      <c r="D20" s="10">
        <f>IFERROR(ROUND(AVERAGE(H3:H17),2),"")</f>
        <v>21.25</v>
      </c>
      <c r="E20" s="15">
        <f>IFERROR(ROUND(IF(B20&lt;2,"n/a",(IF(C20&lt;=25%,"n/a",AVERAGE(I3:I17)))),2),"n/a")</f>
        <v>19.02</v>
      </c>
      <c r="F20" s="10">
        <f>IFERROR(ROUND(MEDIAN(H3:H17),2),"")</f>
        <v>19.36</v>
      </c>
      <c r="G20" s="11" t="str">
        <f>IFERROR(INDEX(G3:G17,MATCH(H20,H3:H17,0)),"")</f>
        <v>CRF ALIMENTOS LTDA</v>
      </c>
      <c r="H20" s="12">
        <f>F3</f>
        <v>11.2</v>
      </c>
    </row>
    <row r="22" spans="1:9" x14ac:dyDescent="0.25">
      <c r="G22" s="13" t="s">
        <v>20</v>
      </c>
      <c r="H22" s="14">
        <f>IF(C20&lt;=25%,D20,MIN(E20:F20))</f>
        <v>19.02</v>
      </c>
    </row>
    <row r="23" spans="1:9" x14ac:dyDescent="0.25">
      <c r="G23" s="13" t="s">
        <v>6</v>
      </c>
      <c r="H23" s="14">
        <f>ROUND(H22,2)*D3</f>
        <v>570.6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6" sqref="G6"/>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9</v>
      </c>
      <c r="B3" s="34" t="s">
        <v>95</v>
      </c>
      <c r="C3" s="36" t="s">
        <v>85</v>
      </c>
      <c r="D3" s="36">
        <v>10</v>
      </c>
      <c r="E3" s="37">
        <f>IF(C20&lt;=25%,D20,MIN(E20:F20))</f>
        <v>13.03</v>
      </c>
      <c r="F3" s="37">
        <f>MIN(H3:H17)</f>
        <v>12.7</v>
      </c>
      <c r="G3" s="5" t="s">
        <v>158</v>
      </c>
      <c r="H3" s="16">
        <v>12.98</v>
      </c>
      <c r="I3" s="17" t="str">
        <f>IF(H3="","",(IF($C$20&lt;25%,"n/a",IF(H3&lt;=($D$20+$A$20),H3,"Descartado"))))</f>
        <v>n/a</v>
      </c>
    </row>
    <row r="4" spans="1:9" x14ac:dyDescent="0.25">
      <c r="A4" s="38"/>
      <c r="B4" s="35"/>
      <c r="C4" s="36"/>
      <c r="D4" s="36"/>
      <c r="E4" s="37"/>
      <c r="F4" s="37"/>
      <c r="G4" s="5" t="s">
        <v>145</v>
      </c>
      <c r="H4" s="16">
        <v>12.7</v>
      </c>
      <c r="I4" s="17" t="str">
        <f t="shared" ref="I4:I17" si="0">IF(H4="","",(IF($C$20&lt;25%,"n/a",IF(H4&lt;=($D$20+$A$20),H4,"Descartado"))))</f>
        <v>n/a</v>
      </c>
    </row>
    <row r="5" spans="1:9" x14ac:dyDescent="0.25">
      <c r="A5" s="38"/>
      <c r="B5" s="35"/>
      <c r="C5" s="36"/>
      <c r="D5" s="36"/>
      <c r="E5" s="37"/>
      <c r="F5" s="37"/>
      <c r="G5" s="5" t="s">
        <v>159</v>
      </c>
      <c r="H5" s="16">
        <v>13.4</v>
      </c>
      <c r="I5" s="17" t="str">
        <f t="shared" si="0"/>
        <v>n/a</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0.35232560697930215</v>
      </c>
      <c r="B20" s="8">
        <f>COUNT(H3:H17)</f>
        <v>3</v>
      </c>
      <c r="C20" s="9">
        <f>IF(B20&lt;2,"n/a",(A20/D20))</f>
        <v>2.7039570758196636E-2</v>
      </c>
      <c r="D20" s="10">
        <f>IFERROR(ROUND(AVERAGE(H3:H17),2),"")</f>
        <v>13.03</v>
      </c>
      <c r="E20" s="15" t="str">
        <f>IFERROR(ROUND(IF(B20&lt;2,"n/a",(IF(C20&lt;=25%,"n/a",AVERAGE(I3:I17)))),2),"n/a")</f>
        <v>n/a</v>
      </c>
      <c r="F20" s="10">
        <f>IFERROR(ROUND(MEDIAN(H3:H17),2),"")</f>
        <v>12.98</v>
      </c>
      <c r="G20" s="11" t="str">
        <f>IFERROR(INDEX(G3:G17,MATCH(H20,H3:H17,0)),"")</f>
        <v>CLODOALDO SOUZA BOMFIM DE CAMAMU</v>
      </c>
      <c r="H20" s="12">
        <f>F3</f>
        <v>12.7</v>
      </c>
    </row>
    <row r="22" spans="1:9" x14ac:dyDescent="0.25">
      <c r="G22" s="13" t="s">
        <v>20</v>
      </c>
      <c r="H22" s="14">
        <f>IF(C20&lt;=25%,D20,MIN(E20:F20))</f>
        <v>13.03</v>
      </c>
    </row>
    <row r="23" spans="1:9" x14ac:dyDescent="0.25">
      <c r="G23" s="13" t="s">
        <v>6</v>
      </c>
      <c r="H23" s="14">
        <f>ROUND(H22,2)*D3</f>
        <v>130.29999999999998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Marconni Rodrigues de Alcantara Santos</cp:lastModifiedBy>
  <cp:lastPrinted>2024-07-24T11:20:20Z</cp:lastPrinted>
  <dcterms:created xsi:type="dcterms:W3CDTF">2023-11-07T17:10:34Z</dcterms:created>
  <dcterms:modified xsi:type="dcterms:W3CDTF">2024-07-24T13:09:34Z</dcterms:modified>
</cp:coreProperties>
</file>