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6050" windowHeight="11580" tabRatio="805" firstSheet="44" activeTab="55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r:id="rId26"/>
    <sheet name="Item27" sheetId="30" r:id="rId27"/>
    <sheet name="Item28" sheetId="31" r:id="rId28"/>
    <sheet name="Item29" sheetId="32" r:id="rId29"/>
    <sheet name="Item30" sheetId="33" r:id="rId30"/>
    <sheet name="Item31" sheetId="34" r:id="rId31"/>
    <sheet name="Item32" sheetId="35" r:id="rId32"/>
    <sheet name="Item33" sheetId="36" r:id="rId33"/>
    <sheet name="Item34" sheetId="37" r:id="rId34"/>
    <sheet name="Item35" sheetId="38" r:id="rId35"/>
    <sheet name="Item36" sheetId="39" r:id="rId36"/>
    <sheet name="Item37" sheetId="40" r:id="rId37"/>
    <sheet name="Item38" sheetId="41" r:id="rId38"/>
    <sheet name="Item39" sheetId="42" r:id="rId39"/>
    <sheet name="Item40" sheetId="43" r:id="rId40"/>
    <sheet name="Item41" sheetId="44" r:id="rId41"/>
    <sheet name="Item42" sheetId="45" r:id="rId42"/>
    <sheet name="Item43" sheetId="46" r:id="rId43"/>
    <sheet name="Item44" sheetId="47" r:id="rId44"/>
    <sheet name="Item45" sheetId="48" r:id="rId45"/>
    <sheet name="Item46" sheetId="49" r:id="rId46"/>
    <sheet name="Item47" sheetId="50" r:id="rId47"/>
    <sheet name="Item48" sheetId="51" r:id="rId48"/>
    <sheet name="Item49" sheetId="52" r:id="rId49"/>
    <sheet name="Item50" sheetId="53" r:id="rId50"/>
    <sheet name="Item51" sheetId="54" r:id="rId51"/>
    <sheet name="Item52" sheetId="55" r:id="rId52"/>
    <sheet name="Item53" sheetId="56" r:id="rId53"/>
    <sheet name="Item54" sheetId="57" r:id="rId54"/>
    <sheet name="Item55" sheetId="58" r:id="rId55"/>
    <sheet name="total" sheetId="23" r:id="rId56"/>
  </sheets>
  <definedNames>
    <definedName name="_xlnm.Print_Area" localSheetId="55">total!$A$1:$G$59</definedName>
    <definedName name="_xlnm.Print_Titles" localSheetId="55">total!$1:$2</definedName>
  </definedNames>
  <calcPr calcId="145621"/>
</workbook>
</file>

<file path=xl/calcChain.xml><?xml version="1.0" encoding="utf-8"?>
<calcChain xmlns="http://schemas.openxmlformats.org/spreadsheetml/2006/main">
  <c r="D3" i="13" l="1"/>
  <c r="D3" i="55"/>
  <c r="F3" i="55"/>
  <c r="H16" i="6" l="1"/>
  <c r="H17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C57" i="23" l="1"/>
  <c r="D57" i="23"/>
  <c r="E57" i="23"/>
  <c r="B57" i="23"/>
  <c r="C56" i="23"/>
  <c r="D56" i="23"/>
  <c r="E56" i="23"/>
  <c r="B56" i="23"/>
  <c r="C55" i="23"/>
  <c r="D55" i="23"/>
  <c r="E55" i="23"/>
  <c r="B55" i="23"/>
  <c r="C54" i="23"/>
  <c r="D54" i="23"/>
  <c r="B54" i="23"/>
  <c r="C53" i="23"/>
  <c r="D53" i="23"/>
  <c r="E53" i="23"/>
  <c r="B53" i="23"/>
  <c r="D3" i="50"/>
  <c r="D3" i="58"/>
  <c r="F20" i="58"/>
  <c r="D20" i="58"/>
  <c r="B20" i="58"/>
  <c r="F3" i="58"/>
  <c r="H20" i="58" s="1"/>
  <c r="G20" i="58" s="1"/>
  <c r="D3" i="49"/>
  <c r="D3" i="57"/>
  <c r="F20" i="57"/>
  <c r="D20" i="57"/>
  <c r="B20" i="57"/>
  <c r="A20" i="57" s="1"/>
  <c r="I17" i="57"/>
  <c r="I16" i="57"/>
  <c r="I15" i="57"/>
  <c r="I14" i="57"/>
  <c r="I13" i="57"/>
  <c r="I12" i="57"/>
  <c r="I11" i="57"/>
  <c r="F3" i="57"/>
  <c r="H20" i="57" s="1"/>
  <c r="G20" i="57" s="1"/>
  <c r="D3" i="20"/>
  <c r="D3" i="56"/>
  <c r="F20" i="56"/>
  <c r="D20" i="56"/>
  <c r="B20" i="56"/>
  <c r="A20" i="56" s="1"/>
  <c r="F3" i="56"/>
  <c r="H20" i="56" s="1"/>
  <c r="G20" i="56" s="1"/>
  <c r="E54" i="23"/>
  <c r="F20" i="55"/>
  <c r="D20" i="55"/>
  <c r="B20" i="55"/>
  <c r="A20" i="55" s="1"/>
  <c r="I17" i="55"/>
  <c r="I16" i="55"/>
  <c r="I15" i="55"/>
  <c r="H20" i="55"/>
  <c r="G20" i="55" s="1"/>
  <c r="D3" i="5"/>
  <c r="D3" i="54" s="1"/>
  <c r="F20" i="54"/>
  <c r="D20" i="54"/>
  <c r="B20" i="54"/>
  <c r="A20" i="54" s="1"/>
  <c r="F3" i="54"/>
  <c r="H20" i="54" s="1"/>
  <c r="G20" i="54" s="1"/>
  <c r="C20" i="57" l="1"/>
  <c r="I6" i="57" s="1"/>
  <c r="C20" i="56"/>
  <c r="I16" i="56" s="1"/>
  <c r="A20" i="58"/>
  <c r="C20" i="58" s="1"/>
  <c r="I3" i="56"/>
  <c r="C20" i="55"/>
  <c r="C20" i="54"/>
  <c r="C46" i="23"/>
  <c r="D46" i="23"/>
  <c r="E46" i="23"/>
  <c r="C47" i="23"/>
  <c r="D47" i="23"/>
  <c r="E47" i="23"/>
  <c r="C48" i="23"/>
  <c r="D48" i="23"/>
  <c r="E48" i="23"/>
  <c r="C49" i="23"/>
  <c r="D49" i="23"/>
  <c r="E49" i="23"/>
  <c r="C50" i="23"/>
  <c r="D50" i="23"/>
  <c r="E50" i="23"/>
  <c r="C51" i="23"/>
  <c r="D51" i="23"/>
  <c r="E51" i="23"/>
  <c r="C52" i="23"/>
  <c r="D52" i="23"/>
  <c r="E52" i="23"/>
  <c r="C45" i="23"/>
  <c r="D45" i="23"/>
  <c r="E45" i="23"/>
  <c r="C44" i="23"/>
  <c r="D44" i="23"/>
  <c r="E44" i="23"/>
  <c r="B52" i="23"/>
  <c r="B51" i="23"/>
  <c r="B50" i="23"/>
  <c r="B49" i="23"/>
  <c r="B48" i="23"/>
  <c r="B47" i="23"/>
  <c r="B46" i="23"/>
  <c r="B45" i="23"/>
  <c r="B44" i="23"/>
  <c r="F20" i="53"/>
  <c r="D20" i="53"/>
  <c r="B20" i="53"/>
  <c r="F3" i="53"/>
  <c r="H20" i="53" s="1"/>
  <c r="G20" i="53" s="1"/>
  <c r="F20" i="52"/>
  <c r="D20" i="52"/>
  <c r="B20" i="52"/>
  <c r="A20" i="52" s="1"/>
  <c r="F3" i="52"/>
  <c r="H20" i="52" s="1"/>
  <c r="G20" i="52" s="1"/>
  <c r="F20" i="51"/>
  <c r="D20" i="51"/>
  <c r="B20" i="51"/>
  <c r="A20" i="51" s="1"/>
  <c r="F3" i="51"/>
  <c r="H20" i="51" s="1"/>
  <c r="G20" i="51" s="1"/>
  <c r="F20" i="50"/>
  <c r="D20" i="50"/>
  <c r="B20" i="50"/>
  <c r="A20" i="50" s="1"/>
  <c r="F3" i="50"/>
  <c r="H20" i="50" s="1"/>
  <c r="G20" i="50" s="1"/>
  <c r="F20" i="49"/>
  <c r="D20" i="49"/>
  <c r="B20" i="49"/>
  <c r="A20" i="49" s="1"/>
  <c r="I17" i="49"/>
  <c r="F3" i="49"/>
  <c r="H20" i="49" s="1"/>
  <c r="G20" i="49" s="1"/>
  <c r="F20" i="48"/>
  <c r="D20" i="48"/>
  <c r="B20" i="48"/>
  <c r="A20" i="48" s="1"/>
  <c r="I17" i="48"/>
  <c r="F3" i="48"/>
  <c r="H20" i="48" s="1"/>
  <c r="G20" i="48" s="1"/>
  <c r="F20" i="47"/>
  <c r="D20" i="47"/>
  <c r="B20" i="47"/>
  <c r="A20" i="47" s="1"/>
  <c r="F3" i="47"/>
  <c r="H20" i="47" s="1"/>
  <c r="G20" i="47" s="1"/>
  <c r="F20" i="46"/>
  <c r="D20" i="46"/>
  <c r="B20" i="46"/>
  <c r="A20" i="46" s="1"/>
  <c r="I17" i="46"/>
  <c r="I16" i="46"/>
  <c r="I15" i="46"/>
  <c r="I14" i="46"/>
  <c r="I13" i="46"/>
  <c r="I12" i="46"/>
  <c r="I11" i="46"/>
  <c r="F3" i="46"/>
  <c r="H20" i="46" s="1"/>
  <c r="G20" i="46" s="1"/>
  <c r="F20" i="45"/>
  <c r="D20" i="45"/>
  <c r="B20" i="45"/>
  <c r="I17" i="45"/>
  <c r="I16" i="45"/>
  <c r="I15" i="45"/>
  <c r="I14" i="45"/>
  <c r="I13" i="45"/>
  <c r="I12" i="45"/>
  <c r="I11" i="45"/>
  <c r="I10" i="45"/>
  <c r="F3" i="45"/>
  <c r="H20" i="45" s="1"/>
  <c r="G20" i="45" s="1"/>
  <c r="I10" i="57" l="1"/>
  <c r="I7" i="57"/>
  <c r="I3" i="57"/>
  <c r="E20" i="57" s="1"/>
  <c r="H22" i="57" s="1"/>
  <c r="H23" i="57" s="1"/>
  <c r="I8" i="57"/>
  <c r="I4" i="57"/>
  <c r="I9" i="57"/>
  <c r="I5" i="57"/>
  <c r="I17" i="56"/>
  <c r="I9" i="56"/>
  <c r="I15" i="56"/>
  <c r="I12" i="56"/>
  <c r="I13" i="56"/>
  <c r="E3" i="56"/>
  <c r="F55" i="23" s="1"/>
  <c r="G55" i="23" s="1"/>
  <c r="I7" i="56"/>
  <c r="E20" i="56"/>
  <c r="I14" i="56"/>
  <c r="I5" i="56"/>
  <c r="I10" i="56"/>
  <c r="I6" i="56"/>
  <c r="I8" i="56"/>
  <c r="I4" i="56"/>
  <c r="H22" i="56"/>
  <c r="H23" i="56" s="1"/>
  <c r="I11" i="56"/>
  <c r="I12" i="55"/>
  <c r="I11" i="55"/>
  <c r="I14" i="55"/>
  <c r="I13" i="55"/>
  <c r="I15" i="58"/>
  <c r="I9" i="58"/>
  <c r="I3" i="58"/>
  <c r="I13" i="58"/>
  <c r="I14" i="58"/>
  <c r="I8" i="58"/>
  <c r="I7" i="58"/>
  <c r="I12" i="58"/>
  <c r="I6" i="58"/>
  <c r="I11" i="58"/>
  <c r="I5" i="58"/>
  <c r="I17" i="58"/>
  <c r="I16" i="58"/>
  <c r="I10" i="58"/>
  <c r="I4" i="58"/>
  <c r="I6" i="55"/>
  <c r="I5" i="55"/>
  <c r="I9" i="55"/>
  <c r="I8" i="55"/>
  <c r="I3" i="55"/>
  <c r="I10" i="55"/>
  <c r="I4" i="55"/>
  <c r="I7" i="55"/>
  <c r="I12" i="54"/>
  <c r="I6" i="54"/>
  <c r="I17" i="54"/>
  <c r="I11" i="54"/>
  <c r="I5" i="54"/>
  <c r="I16" i="54"/>
  <c r="I10" i="54"/>
  <c r="I4" i="54"/>
  <c r="I9" i="54"/>
  <c r="I3" i="54"/>
  <c r="I14" i="54"/>
  <c r="I8" i="54"/>
  <c r="I7" i="54"/>
  <c r="I13" i="54"/>
  <c r="I15" i="54"/>
  <c r="C20" i="49"/>
  <c r="I16" i="49" s="1"/>
  <c r="C20" i="46"/>
  <c r="I5" i="46" s="1"/>
  <c r="C20" i="48"/>
  <c r="I6" i="48" s="1"/>
  <c r="C20" i="47"/>
  <c r="I17" i="47" s="1"/>
  <c r="C20" i="52"/>
  <c r="I17" i="52" s="1"/>
  <c r="C20" i="51"/>
  <c r="C20" i="50"/>
  <c r="I17" i="50" s="1"/>
  <c r="I6" i="46"/>
  <c r="I10" i="46"/>
  <c r="I9" i="46"/>
  <c r="I13" i="47"/>
  <c r="A20" i="45"/>
  <c r="C20" i="45" s="1"/>
  <c r="A20" i="53"/>
  <c r="C20" i="53" s="1"/>
  <c r="C32" i="23"/>
  <c r="D32" i="23"/>
  <c r="E32" i="23"/>
  <c r="C33" i="23"/>
  <c r="D33" i="23"/>
  <c r="E33" i="23"/>
  <c r="C34" i="23"/>
  <c r="D34" i="23"/>
  <c r="E34" i="23"/>
  <c r="C35" i="23"/>
  <c r="D35" i="23"/>
  <c r="E35" i="23"/>
  <c r="C36" i="23"/>
  <c r="D36" i="23"/>
  <c r="E36" i="23"/>
  <c r="C37" i="23"/>
  <c r="D37" i="23"/>
  <c r="E37" i="23"/>
  <c r="C38" i="23"/>
  <c r="D38" i="23"/>
  <c r="E38" i="23"/>
  <c r="C39" i="23"/>
  <c r="D39" i="23"/>
  <c r="E39" i="23"/>
  <c r="C40" i="23"/>
  <c r="D40" i="23"/>
  <c r="E40" i="23"/>
  <c r="C41" i="23"/>
  <c r="D41" i="23"/>
  <c r="E41" i="23"/>
  <c r="C42" i="23"/>
  <c r="D42" i="23"/>
  <c r="E42" i="23"/>
  <c r="C43" i="23"/>
  <c r="D43" i="23"/>
  <c r="E43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C31" i="23"/>
  <c r="D31" i="23"/>
  <c r="E31" i="23"/>
  <c r="E30" i="23"/>
  <c r="D30" i="23"/>
  <c r="C30" i="23"/>
  <c r="B31" i="23"/>
  <c r="B30" i="23"/>
  <c r="F20" i="44"/>
  <c r="D20" i="44"/>
  <c r="B20" i="44"/>
  <c r="F3" i="44"/>
  <c r="H20" i="44" s="1"/>
  <c r="G20" i="44" s="1"/>
  <c r="F20" i="43"/>
  <c r="D20" i="43"/>
  <c r="B20" i="43"/>
  <c r="A20" i="43" s="1"/>
  <c r="I17" i="43"/>
  <c r="I16" i="43"/>
  <c r="I15" i="43"/>
  <c r="F3" i="43"/>
  <c r="H20" i="43" s="1"/>
  <c r="G20" i="43" s="1"/>
  <c r="F20" i="42"/>
  <c r="D20" i="42"/>
  <c r="B20" i="42"/>
  <c r="A20" i="42" s="1"/>
  <c r="F3" i="42"/>
  <c r="H20" i="42" s="1"/>
  <c r="G20" i="42" s="1"/>
  <c r="F20" i="41"/>
  <c r="D20" i="41"/>
  <c r="B20" i="41"/>
  <c r="F3" i="41"/>
  <c r="H20" i="41" s="1"/>
  <c r="G20" i="41" s="1"/>
  <c r="F20" i="40"/>
  <c r="D20" i="40"/>
  <c r="B20" i="40"/>
  <c r="A20" i="40" s="1"/>
  <c r="I17" i="40"/>
  <c r="I16" i="40"/>
  <c r="I15" i="40"/>
  <c r="I14" i="40"/>
  <c r="I13" i="40"/>
  <c r="I12" i="40"/>
  <c r="I11" i="40"/>
  <c r="F3" i="40"/>
  <c r="H20" i="40" s="1"/>
  <c r="G20" i="40" s="1"/>
  <c r="F20" i="39"/>
  <c r="D20" i="39"/>
  <c r="B20" i="39"/>
  <c r="A20" i="39" s="1"/>
  <c r="F3" i="39"/>
  <c r="H20" i="39" s="1"/>
  <c r="G20" i="39" s="1"/>
  <c r="F20" i="38"/>
  <c r="D20" i="38"/>
  <c r="B20" i="38"/>
  <c r="A20" i="38" s="1"/>
  <c r="I17" i="38"/>
  <c r="I16" i="38"/>
  <c r="I15" i="38"/>
  <c r="I14" i="38"/>
  <c r="F3" i="38"/>
  <c r="H20" i="38" s="1"/>
  <c r="G20" i="38" s="1"/>
  <c r="F20" i="37"/>
  <c r="D20" i="37"/>
  <c r="B20" i="37"/>
  <c r="A20" i="37" s="1"/>
  <c r="I17" i="37"/>
  <c r="I16" i="37"/>
  <c r="I15" i="37"/>
  <c r="I14" i="37"/>
  <c r="I13" i="37"/>
  <c r="I12" i="37"/>
  <c r="I11" i="37"/>
  <c r="I10" i="37"/>
  <c r="F3" i="37"/>
  <c r="H20" i="37" s="1"/>
  <c r="G20" i="37" s="1"/>
  <c r="F20" i="36"/>
  <c r="D20" i="36"/>
  <c r="B20" i="36"/>
  <c r="A20" i="36" s="1"/>
  <c r="C20" i="36" s="1"/>
  <c r="I17" i="36"/>
  <c r="I16" i="36"/>
  <c r="I15" i="36"/>
  <c r="I14" i="36"/>
  <c r="I13" i="36"/>
  <c r="I12" i="36"/>
  <c r="I11" i="36"/>
  <c r="I10" i="36"/>
  <c r="I9" i="36"/>
  <c r="I8" i="36"/>
  <c r="F3" i="36"/>
  <c r="H20" i="36" s="1"/>
  <c r="G20" i="36" s="1"/>
  <c r="F20" i="35"/>
  <c r="D20" i="35"/>
  <c r="B20" i="35"/>
  <c r="A20" i="35" s="1"/>
  <c r="I17" i="35"/>
  <c r="I16" i="35"/>
  <c r="I15" i="35"/>
  <c r="I14" i="35"/>
  <c r="I13" i="35"/>
  <c r="I12" i="35"/>
  <c r="F3" i="35"/>
  <c r="H20" i="35" s="1"/>
  <c r="G20" i="35" s="1"/>
  <c r="F20" i="34"/>
  <c r="D20" i="34"/>
  <c r="B20" i="34"/>
  <c r="A20" i="34" s="1"/>
  <c r="F3" i="34"/>
  <c r="H20" i="34" s="1"/>
  <c r="G20" i="34" s="1"/>
  <c r="F20" i="33"/>
  <c r="D20" i="33"/>
  <c r="B20" i="33"/>
  <c r="A20" i="33" s="1"/>
  <c r="I17" i="33"/>
  <c r="I16" i="33"/>
  <c r="I15" i="33"/>
  <c r="I14" i="33"/>
  <c r="I13" i="33"/>
  <c r="F3" i="33"/>
  <c r="H20" i="33" s="1"/>
  <c r="G20" i="33" s="1"/>
  <c r="F20" i="32"/>
  <c r="D20" i="32"/>
  <c r="B20" i="32"/>
  <c r="A20" i="32" s="1"/>
  <c r="F3" i="32"/>
  <c r="H20" i="32" s="1"/>
  <c r="G20" i="32" s="1"/>
  <c r="F20" i="31"/>
  <c r="D20" i="31"/>
  <c r="B20" i="31"/>
  <c r="A20" i="31" s="1"/>
  <c r="I17" i="31"/>
  <c r="I16" i="31"/>
  <c r="F3" i="31"/>
  <c r="H20" i="31" s="1"/>
  <c r="G20" i="31" s="1"/>
  <c r="E20" i="55" l="1"/>
  <c r="E3" i="55" s="1"/>
  <c r="F54" i="23" s="1"/>
  <c r="G54" i="23" s="1"/>
  <c r="E3" i="57"/>
  <c r="F56" i="23" s="1"/>
  <c r="G56" i="23" s="1"/>
  <c r="I3" i="46"/>
  <c r="C20" i="31"/>
  <c r="I15" i="31" s="1"/>
  <c r="C20" i="33"/>
  <c r="E20" i="58"/>
  <c r="E3" i="58" s="1"/>
  <c r="F57" i="23" s="1"/>
  <c r="G57" i="23" s="1"/>
  <c r="H22" i="58"/>
  <c r="H23" i="58" s="1"/>
  <c r="E20" i="54"/>
  <c r="I8" i="49"/>
  <c r="I6" i="49"/>
  <c r="I10" i="49"/>
  <c r="I14" i="49"/>
  <c r="I4" i="49"/>
  <c r="I5" i="49"/>
  <c r="I3" i="49"/>
  <c r="I7" i="49"/>
  <c r="I15" i="49"/>
  <c r="I9" i="49"/>
  <c r="I12" i="49"/>
  <c r="I13" i="49"/>
  <c r="I11" i="49"/>
  <c r="I8" i="46"/>
  <c r="I4" i="46"/>
  <c r="I7" i="46"/>
  <c r="C20" i="43"/>
  <c r="I7" i="43" s="1"/>
  <c r="C20" i="35"/>
  <c r="I5" i="35" s="1"/>
  <c r="C20" i="34"/>
  <c r="I10" i="34" s="1"/>
  <c r="C20" i="37"/>
  <c r="C20" i="40"/>
  <c r="I3" i="40" s="1"/>
  <c r="I15" i="48"/>
  <c r="I16" i="48"/>
  <c r="I14" i="48"/>
  <c r="I13" i="48"/>
  <c r="I12" i="48"/>
  <c r="I11" i="48"/>
  <c r="I10" i="48"/>
  <c r="I7" i="48"/>
  <c r="I8" i="48"/>
  <c r="I9" i="48"/>
  <c r="I5" i="48"/>
  <c r="I3" i="48"/>
  <c r="I4" i="48"/>
  <c r="I7" i="47"/>
  <c r="I16" i="47"/>
  <c r="I10" i="47"/>
  <c r="I12" i="47"/>
  <c r="I4" i="47"/>
  <c r="I8" i="47"/>
  <c r="I11" i="47"/>
  <c r="I6" i="47"/>
  <c r="I9" i="47"/>
  <c r="I3" i="47"/>
  <c r="I15" i="47"/>
  <c r="I5" i="47"/>
  <c r="I14" i="47"/>
  <c r="C20" i="32"/>
  <c r="I15" i="52"/>
  <c r="I16" i="52"/>
  <c r="I13" i="52"/>
  <c r="I14" i="52"/>
  <c r="I11" i="52"/>
  <c r="I12" i="52"/>
  <c r="I4" i="52"/>
  <c r="I10" i="52"/>
  <c r="I9" i="52"/>
  <c r="I8" i="52"/>
  <c r="I7" i="52"/>
  <c r="I6" i="52"/>
  <c r="I3" i="52"/>
  <c r="I5" i="52"/>
  <c r="I8" i="51"/>
  <c r="I17" i="51"/>
  <c r="I4" i="51"/>
  <c r="I16" i="51"/>
  <c r="I11" i="51"/>
  <c r="I14" i="51"/>
  <c r="I15" i="51"/>
  <c r="I10" i="51"/>
  <c r="I6" i="51"/>
  <c r="I9" i="51"/>
  <c r="I12" i="51"/>
  <c r="I3" i="51"/>
  <c r="I5" i="51"/>
  <c r="I7" i="51"/>
  <c r="I13" i="51"/>
  <c r="C20" i="39"/>
  <c r="I17" i="39" s="1"/>
  <c r="I16" i="53"/>
  <c r="I17" i="53"/>
  <c r="I14" i="53"/>
  <c r="I15" i="53"/>
  <c r="I15" i="50"/>
  <c r="I16" i="50"/>
  <c r="I13" i="50"/>
  <c r="I14" i="50"/>
  <c r="I11" i="50"/>
  <c r="I12" i="50"/>
  <c r="I9" i="50"/>
  <c r="I10" i="50"/>
  <c r="I7" i="50"/>
  <c r="I8" i="50"/>
  <c r="I5" i="50"/>
  <c r="I6" i="50"/>
  <c r="I4" i="50"/>
  <c r="I3" i="50"/>
  <c r="C20" i="42"/>
  <c r="C20" i="38"/>
  <c r="I12" i="38" s="1"/>
  <c r="A20" i="41"/>
  <c r="C20" i="41" s="1"/>
  <c r="I8" i="45"/>
  <c r="I5" i="45"/>
  <c r="I7" i="45"/>
  <c r="I6" i="45"/>
  <c r="I4" i="45"/>
  <c r="I9" i="45"/>
  <c r="I3" i="45"/>
  <c r="I9" i="53"/>
  <c r="I3" i="53"/>
  <c r="I8" i="53"/>
  <c r="I13" i="53"/>
  <c r="I7" i="53"/>
  <c r="I12" i="53"/>
  <c r="I6" i="53"/>
  <c r="I11" i="53"/>
  <c r="I5" i="53"/>
  <c r="I10" i="53"/>
  <c r="I4" i="53"/>
  <c r="E20" i="53" s="1"/>
  <c r="I9" i="40"/>
  <c r="I8" i="40"/>
  <c r="I10" i="40"/>
  <c r="I6" i="35"/>
  <c r="I10" i="35"/>
  <c r="I9" i="35"/>
  <c r="I8" i="35"/>
  <c r="I11" i="35"/>
  <c r="I5" i="31"/>
  <c r="I3" i="36"/>
  <c r="E20" i="36" s="1"/>
  <c r="I7" i="36"/>
  <c r="I6" i="36"/>
  <c r="I5" i="36"/>
  <c r="I4" i="36"/>
  <c r="I13" i="43"/>
  <c r="I7" i="39"/>
  <c r="A20" i="44"/>
  <c r="C20" i="44" s="1"/>
  <c r="I13" i="38"/>
  <c r="H22" i="55" l="1"/>
  <c r="H23" i="55" s="1"/>
  <c r="I13" i="31"/>
  <c r="I14" i="31"/>
  <c r="I6" i="31"/>
  <c r="I12" i="31"/>
  <c r="I11" i="31"/>
  <c r="I10" i="31"/>
  <c r="I7" i="31"/>
  <c r="I3" i="31"/>
  <c r="I9" i="31"/>
  <c r="I8" i="31"/>
  <c r="I4" i="31"/>
  <c r="I11" i="33"/>
  <c r="I12" i="33"/>
  <c r="I3" i="33"/>
  <c r="I10" i="33"/>
  <c r="I9" i="33"/>
  <c r="I8" i="33"/>
  <c r="I4" i="33"/>
  <c r="I6" i="33"/>
  <c r="I7" i="33"/>
  <c r="E20" i="33"/>
  <c r="H22" i="33" s="1"/>
  <c r="H23" i="33" s="1"/>
  <c r="I5" i="33"/>
  <c r="I16" i="34"/>
  <c r="I17" i="34"/>
  <c r="I14" i="34"/>
  <c r="I15" i="34"/>
  <c r="I12" i="34"/>
  <c r="I13" i="34"/>
  <c r="I5" i="34"/>
  <c r="I11" i="34"/>
  <c r="I8" i="34"/>
  <c r="I9" i="34"/>
  <c r="I6" i="34"/>
  <c r="I16" i="44"/>
  <c r="I17" i="44"/>
  <c r="I8" i="38"/>
  <c r="I11" i="38"/>
  <c r="I10" i="38"/>
  <c r="I7" i="38"/>
  <c r="E20" i="48"/>
  <c r="E3" i="48" s="1"/>
  <c r="F47" i="23" s="1"/>
  <c r="G47" i="23" s="1"/>
  <c r="E20" i="46"/>
  <c r="H22" i="46" s="1"/>
  <c r="H23" i="46" s="1"/>
  <c r="H22" i="54"/>
  <c r="H23" i="54" s="1"/>
  <c r="E3" i="54"/>
  <c r="F53" i="23" s="1"/>
  <c r="G53" i="23" s="1"/>
  <c r="E20" i="49"/>
  <c r="H22" i="49" s="1"/>
  <c r="H23" i="49" s="1"/>
  <c r="E20" i="45"/>
  <c r="H22" i="45" s="1"/>
  <c r="H23" i="45" s="1"/>
  <c r="I6" i="43"/>
  <c r="I14" i="43"/>
  <c r="I10" i="43"/>
  <c r="I12" i="43"/>
  <c r="I11" i="43"/>
  <c r="I9" i="43"/>
  <c r="I8" i="43"/>
  <c r="I5" i="43"/>
  <c r="I3" i="43"/>
  <c r="I4" i="43"/>
  <c r="E20" i="43" s="1"/>
  <c r="I3" i="35"/>
  <c r="E20" i="35" s="1"/>
  <c r="H22" i="35" s="1"/>
  <c r="H23" i="35" s="1"/>
  <c r="I4" i="35"/>
  <c r="I7" i="35"/>
  <c r="I7" i="34"/>
  <c r="I3" i="34"/>
  <c r="I4" i="34"/>
  <c r="I8" i="37"/>
  <c r="I9" i="37"/>
  <c r="I6" i="37"/>
  <c r="I7" i="37"/>
  <c r="I5" i="37"/>
  <c r="I4" i="37"/>
  <c r="E20" i="37"/>
  <c r="H22" i="37" s="1"/>
  <c r="H23" i="37" s="1"/>
  <c r="I3" i="37"/>
  <c r="I14" i="44"/>
  <c r="I15" i="44"/>
  <c r="I12" i="44"/>
  <c r="I13" i="44"/>
  <c r="I6" i="40"/>
  <c r="I7" i="40"/>
  <c r="I5" i="40"/>
  <c r="I4" i="40"/>
  <c r="I6" i="38"/>
  <c r="I9" i="38"/>
  <c r="I5" i="38"/>
  <c r="I4" i="38"/>
  <c r="I3" i="38"/>
  <c r="E20" i="47"/>
  <c r="H22" i="47" s="1"/>
  <c r="H23" i="47" s="1"/>
  <c r="I16" i="41"/>
  <c r="I13" i="41"/>
  <c r="I4" i="41"/>
  <c r="I14" i="41"/>
  <c r="I9" i="41"/>
  <c r="I17" i="41"/>
  <c r="I12" i="41"/>
  <c r="I11" i="41"/>
  <c r="I10" i="41"/>
  <c r="I6" i="41"/>
  <c r="I15" i="41"/>
  <c r="I8" i="41"/>
  <c r="I5" i="41"/>
  <c r="I7" i="41"/>
  <c r="I3" i="41"/>
  <c r="I16" i="32"/>
  <c r="I15" i="32"/>
  <c r="I11" i="32"/>
  <c r="I17" i="32"/>
  <c r="I8" i="32"/>
  <c r="I14" i="32"/>
  <c r="I7" i="32"/>
  <c r="I9" i="32"/>
  <c r="I6" i="32"/>
  <c r="I12" i="32"/>
  <c r="I13" i="32"/>
  <c r="I10" i="32"/>
  <c r="I5" i="32"/>
  <c r="I4" i="32"/>
  <c r="I3" i="32"/>
  <c r="E20" i="52"/>
  <c r="H22" i="52" s="1"/>
  <c r="H23" i="52" s="1"/>
  <c r="E20" i="51"/>
  <c r="H22" i="51" s="1"/>
  <c r="H23" i="51" s="1"/>
  <c r="I15" i="39"/>
  <c r="I16" i="39"/>
  <c r="I13" i="39"/>
  <c r="I14" i="39"/>
  <c r="I11" i="39"/>
  <c r="I12" i="39"/>
  <c r="I9" i="39"/>
  <c r="I10" i="39"/>
  <c r="I6" i="39"/>
  <c r="I8" i="39"/>
  <c r="I5" i="39"/>
  <c r="I4" i="39"/>
  <c r="E20" i="39" s="1"/>
  <c r="I3" i="39"/>
  <c r="E20" i="50"/>
  <c r="H22" i="50" s="1"/>
  <c r="H23" i="50" s="1"/>
  <c r="I16" i="42"/>
  <c r="I17" i="42"/>
  <c r="I14" i="42"/>
  <c r="I15" i="42"/>
  <c r="I12" i="42"/>
  <c r="I13" i="42"/>
  <c r="I10" i="42"/>
  <c r="I11" i="42"/>
  <c r="I8" i="42"/>
  <c r="I9" i="42"/>
  <c r="I3" i="42"/>
  <c r="I4" i="42"/>
  <c r="I7" i="42"/>
  <c r="I6" i="42"/>
  <c r="I5" i="42"/>
  <c r="H22" i="53"/>
  <c r="H23" i="53" s="1"/>
  <c r="E3" i="53"/>
  <c r="F52" i="23" s="1"/>
  <c r="G52" i="23" s="1"/>
  <c r="E3" i="39"/>
  <c r="F38" i="23" s="1"/>
  <c r="G38" i="23" s="1"/>
  <c r="H22" i="39"/>
  <c r="H23" i="39" s="1"/>
  <c r="E3" i="43"/>
  <c r="F42" i="23" s="1"/>
  <c r="G42" i="23" s="1"/>
  <c r="H22" i="43"/>
  <c r="H23" i="43" s="1"/>
  <c r="H22" i="36"/>
  <c r="H23" i="36" s="1"/>
  <c r="E3" i="36"/>
  <c r="F35" i="23" s="1"/>
  <c r="G35" i="23" s="1"/>
  <c r="I9" i="44"/>
  <c r="I3" i="44"/>
  <c r="I8" i="44"/>
  <c r="I7" i="44"/>
  <c r="I6" i="44"/>
  <c r="I11" i="44"/>
  <c r="I5" i="44"/>
  <c r="I10" i="44"/>
  <c r="I4" i="44"/>
  <c r="E3" i="33"/>
  <c r="F32" i="23" s="1"/>
  <c r="G32" i="23" s="1"/>
  <c r="C23" i="23"/>
  <c r="D23" i="23"/>
  <c r="E23" i="23"/>
  <c r="C24" i="23"/>
  <c r="D24" i="23"/>
  <c r="E24" i="23"/>
  <c r="C25" i="23"/>
  <c r="D25" i="23"/>
  <c r="E25" i="23"/>
  <c r="C26" i="23"/>
  <c r="D26" i="23"/>
  <c r="E26" i="23"/>
  <c r="C27" i="23"/>
  <c r="D27" i="23"/>
  <c r="E27" i="23"/>
  <c r="C28" i="23"/>
  <c r="D28" i="23"/>
  <c r="E28" i="23"/>
  <c r="C29" i="23"/>
  <c r="D29" i="23"/>
  <c r="E29" i="23"/>
  <c r="B29" i="23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E3" i="46" l="1"/>
  <c r="F45" i="23" s="1"/>
  <c r="G45" i="23" s="1"/>
  <c r="E20" i="31"/>
  <c r="H22" i="31" s="1"/>
  <c r="H23" i="31" s="1"/>
  <c r="E20" i="34"/>
  <c r="H22" i="34" s="1"/>
  <c r="H23" i="34" s="1"/>
  <c r="C20" i="28"/>
  <c r="I7" i="28" s="1"/>
  <c r="H22" i="48"/>
  <c r="H23" i="48" s="1"/>
  <c r="E3" i="37"/>
  <c r="F36" i="23" s="1"/>
  <c r="G36" i="23" s="1"/>
  <c r="E3" i="35"/>
  <c r="F34" i="23" s="1"/>
  <c r="G34" i="23" s="1"/>
  <c r="E3" i="49"/>
  <c r="F48" i="23" s="1"/>
  <c r="G48" i="23" s="1"/>
  <c r="E3" i="45"/>
  <c r="F44" i="23" s="1"/>
  <c r="G44" i="23" s="1"/>
  <c r="E20" i="44"/>
  <c r="E3" i="44" s="1"/>
  <c r="F43" i="23" s="1"/>
  <c r="G43" i="23" s="1"/>
  <c r="E20" i="40"/>
  <c r="H22" i="40" s="1"/>
  <c r="H23" i="40" s="1"/>
  <c r="E20" i="38"/>
  <c r="E3" i="47"/>
  <c r="F46" i="23" s="1"/>
  <c r="G46" i="23" s="1"/>
  <c r="E20" i="41"/>
  <c r="H22" i="41" s="1"/>
  <c r="H23" i="41" s="1"/>
  <c r="E20" i="32"/>
  <c r="H22" i="32" s="1"/>
  <c r="H23" i="32" s="1"/>
  <c r="E3" i="52"/>
  <c r="F51" i="23" s="1"/>
  <c r="G51" i="23" s="1"/>
  <c r="E3" i="51"/>
  <c r="F50" i="23" s="1"/>
  <c r="G50" i="23" s="1"/>
  <c r="E3" i="50"/>
  <c r="F49" i="23" s="1"/>
  <c r="G49" i="23" s="1"/>
  <c r="E20" i="42"/>
  <c r="E3" i="42" s="1"/>
  <c r="F41" i="23" s="1"/>
  <c r="G41" i="23" s="1"/>
  <c r="C20" i="24"/>
  <c r="I8" i="24" s="1"/>
  <c r="I15" i="28"/>
  <c r="I14" i="28"/>
  <c r="I13" i="28"/>
  <c r="I16" i="28"/>
  <c r="I12" i="28"/>
  <c r="I17" i="28"/>
  <c r="I11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61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3" i="40" l="1"/>
  <c r="F39" i="23" s="1"/>
  <c r="G39" i="23" s="1"/>
  <c r="E3" i="31"/>
  <c r="F30" i="23" s="1"/>
  <c r="G30" i="23" s="1"/>
  <c r="E3" i="34"/>
  <c r="F33" i="23" s="1"/>
  <c r="G33" i="23" s="1"/>
  <c r="I4" i="28"/>
  <c r="I3" i="28"/>
  <c r="I8" i="28"/>
  <c r="I5" i="28"/>
  <c r="I9" i="28"/>
  <c r="I6" i="28"/>
  <c r="H22" i="44"/>
  <c r="H23" i="44" s="1"/>
  <c r="E3" i="38"/>
  <c r="F37" i="23" s="1"/>
  <c r="G37" i="23" s="1"/>
  <c r="H22" i="38"/>
  <c r="H23" i="38" s="1"/>
  <c r="C20" i="14"/>
  <c r="I3" i="14" s="1"/>
  <c r="E3" i="41"/>
  <c r="F40" i="23" s="1"/>
  <c r="G40" i="23" s="1"/>
  <c r="E3" i="32"/>
  <c r="F31" i="23" s="1"/>
  <c r="G31" i="23" s="1"/>
  <c r="H22" i="42"/>
  <c r="H23" i="42" s="1"/>
  <c r="E20" i="28"/>
  <c r="E3" i="28" s="1"/>
  <c r="F27" i="23" s="1"/>
  <c r="G27" i="23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8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6" i="20"/>
  <c r="I15" i="22"/>
  <c r="I14" i="22"/>
  <c r="I13" i="22"/>
  <c r="I17" i="22"/>
  <c r="I16" i="22"/>
  <c r="I10" i="22"/>
  <c r="C20" i="19"/>
  <c r="C20" i="21"/>
  <c r="I17" i="16"/>
  <c r="I15" i="18"/>
  <c r="I14" i="18"/>
  <c r="I10" i="18"/>
  <c r="I13" i="18"/>
  <c r="I16" i="18"/>
  <c r="I12" i="18"/>
  <c r="I17" i="18"/>
  <c r="I11" i="18"/>
  <c r="C20" i="11"/>
  <c r="C20" i="13"/>
  <c r="C20" i="15"/>
  <c r="C20" i="17"/>
  <c r="C20" i="10"/>
  <c r="I15" i="7"/>
  <c r="I17" i="7"/>
  <c r="I17" i="9"/>
  <c r="A20" i="4"/>
  <c r="C20" i="4" s="1"/>
  <c r="C20" i="1"/>
  <c r="I4" i="1" l="1"/>
  <c r="I3" i="1"/>
  <c r="I5" i="1"/>
  <c r="I6" i="1"/>
  <c r="I7" i="1"/>
  <c r="I16" i="12"/>
  <c r="I17" i="12"/>
  <c r="I14" i="12"/>
  <c r="I15" i="12"/>
  <c r="I13" i="12"/>
  <c r="I11" i="12"/>
  <c r="I13" i="9"/>
  <c r="I10" i="9"/>
  <c r="I7" i="9"/>
  <c r="I5" i="9"/>
  <c r="I6" i="9"/>
  <c r="I11" i="20"/>
  <c r="I17" i="20"/>
  <c r="I12" i="20"/>
  <c r="I13" i="20"/>
  <c r="I17" i="14"/>
  <c r="I16" i="5"/>
  <c r="I8" i="18"/>
  <c r="I3" i="18"/>
  <c r="I7" i="18"/>
  <c r="I9" i="18"/>
  <c r="I5" i="18"/>
  <c r="I17" i="5"/>
  <c r="I15" i="5"/>
  <c r="I13" i="5"/>
  <c r="I14" i="5"/>
  <c r="I12" i="5"/>
  <c r="I11" i="5"/>
  <c r="I8" i="5"/>
  <c r="I16" i="6"/>
  <c r="I17" i="6"/>
  <c r="I15" i="6"/>
  <c r="I14" i="6"/>
  <c r="I7" i="6"/>
  <c r="I12" i="6"/>
  <c r="I3" i="6"/>
  <c r="I5" i="6"/>
  <c r="I6" i="6"/>
  <c r="I13" i="16"/>
  <c r="I8" i="16"/>
  <c r="I15" i="16"/>
  <c r="I11" i="16"/>
  <c r="I16" i="16"/>
  <c r="I14" i="16"/>
  <c r="I6" i="16"/>
  <c r="I10" i="16"/>
  <c r="I12" i="16"/>
  <c r="I17" i="8"/>
  <c r="I3" i="9"/>
  <c r="I16" i="9"/>
  <c r="I15" i="9"/>
  <c r="I15" i="8"/>
  <c r="I13" i="8"/>
  <c r="I10" i="8"/>
  <c r="I16" i="8"/>
  <c r="I12" i="8"/>
  <c r="I7" i="8"/>
  <c r="I8" i="8"/>
  <c r="I11" i="9"/>
  <c r="I12" i="9"/>
  <c r="I14" i="9"/>
  <c r="I9" i="9"/>
  <c r="I14" i="8"/>
  <c r="I9" i="8"/>
  <c r="I11" i="8"/>
  <c r="I11" i="14"/>
  <c r="I16" i="14"/>
  <c r="I13" i="14"/>
  <c r="I14" i="14"/>
  <c r="I15" i="14"/>
  <c r="I12" i="14"/>
  <c r="I10" i="14"/>
  <c r="I8" i="14"/>
  <c r="I7" i="14"/>
  <c r="I9" i="14"/>
  <c r="I6" i="14"/>
  <c r="I5" i="14"/>
  <c r="I4" i="14"/>
  <c r="H22" i="28"/>
  <c r="H23" i="28" s="1"/>
  <c r="I14" i="20"/>
  <c r="E20" i="24"/>
  <c r="E3" i="24" s="1"/>
  <c r="F23" i="23" s="1"/>
  <c r="G23" i="23" s="1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F29" i="23" s="1"/>
  <c r="G29" i="23" s="1"/>
  <c r="E20" i="29"/>
  <c r="H22" i="29" s="1"/>
  <c r="H23" i="29" s="1"/>
  <c r="E3" i="26"/>
  <c r="F25" i="23" s="1"/>
  <c r="G25" i="23" s="1"/>
  <c r="E20" i="25"/>
  <c r="H22" i="25" s="1"/>
  <c r="H23" i="25" s="1"/>
  <c r="I11" i="22"/>
  <c r="I12" i="22"/>
  <c r="I9" i="22"/>
  <c r="I6" i="22"/>
  <c r="I5" i="22"/>
  <c r="I8" i="22"/>
  <c r="I4" i="22"/>
  <c r="I7" i="22"/>
  <c r="I4" i="9"/>
  <c r="I10" i="7"/>
  <c r="I14" i="7"/>
  <c r="I8" i="7"/>
  <c r="I6" i="7"/>
  <c r="I4" i="7"/>
  <c r="I12" i="7"/>
  <c r="I9" i="7"/>
  <c r="I3" i="7"/>
  <c r="I13" i="7"/>
  <c r="I7" i="7"/>
  <c r="I5" i="7"/>
  <c r="I11" i="7"/>
  <c r="E3" i="27"/>
  <c r="F26" i="23" s="1"/>
  <c r="G26" i="23" s="1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10" i="1"/>
  <c r="I16" i="1"/>
  <c r="I11" i="1"/>
  <c r="I17" i="1"/>
  <c r="I12" i="1"/>
  <c r="I13" i="1"/>
  <c r="I14" i="1"/>
  <c r="I9" i="1"/>
  <c r="I15" i="1"/>
  <c r="E20" i="6" l="1"/>
  <c r="H22" i="6" s="1"/>
  <c r="H23" i="6" s="1"/>
  <c r="E20" i="12"/>
  <c r="H22" i="12" s="1"/>
  <c r="H23" i="12" s="1"/>
  <c r="E20" i="16"/>
  <c r="H22" i="16" s="1"/>
  <c r="H23" i="16" s="1"/>
  <c r="E20" i="22"/>
  <c r="H22" i="22" s="1"/>
  <c r="H23" i="22" s="1"/>
  <c r="E20" i="18"/>
  <c r="H22" i="18" s="1"/>
  <c r="H23" i="18" s="1"/>
  <c r="E20" i="9"/>
  <c r="H22" i="9" s="1"/>
  <c r="H23" i="9" s="1"/>
  <c r="E20" i="8"/>
  <c r="H22" i="8" s="1"/>
  <c r="H23" i="8" s="1"/>
  <c r="E20" i="14"/>
  <c r="H22" i="24"/>
  <c r="H23" i="24" s="1"/>
  <c r="E20" i="20"/>
  <c r="H22" i="20" s="1"/>
  <c r="H23" i="20" s="1"/>
  <c r="E20" i="5"/>
  <c r="E3" i="5" s="1"/>
  <c r="F5" i="23" s="1"/>
  <c r="G5" i="23" s="1"/>
  <c r="H22" i="30"/>
  <c r="H23" i="30" s="1"/>
  <c r="E3" i="29"/>
  <c r="F28" i="23" s="1"/>
  <c r="G28" i="23" s="1"/>
  <c r="F66" i="23" s="1"/>
  <c r="E3" i="25"/>
  <c r="F24" i="23" s="1"/>
  <c r="G24" i="23" s="1"/>
  <c r="E20" i="21"/>
  <c r="H22" i="21" s="1"/>
  <c r="H23" i="21" s="1"/>
  <c r="E20" i="19"/>
  <c r="H22" i="19" s="1"/>
  <c r="H23" i="19" s="1"/>
  <c r="E20" i="15"/>
  <c r="H22" i="15" s="1"/>
  <c r="H23" i="15" s="1"/>
  <c r="E20" i="13"/>
  <c r="E3" i="13" s="1"/>
  <c r="F13" i="23" s="1"/>
  <c r="G13" i="23" s="1"/>
  <c r="E20" i="11"/>
  <c r="H22" i="11" s="1"/>
  <c r="H23" i="11" s="1"/>
  <c r="E20" i="10"/>
  <c r="H22" i="10" s="1"/>
  <c r="H23" i="10" s="1"/>
  <c r="E20" i="7"/>
  <c r="E20" i="4"/>
  <c r="E3" i="4" s="1"/>
  <c r="F4" i="23" s="1"/>
  <c r="G4" i="23" s="1"/>
  <c r="E20" i="17"/>
  <c r="E20" i="1"/>
  <c r="E3" i="6" l="1"/>
  <c r="F6" i="23" s="1"/>
  <c r="G6" i="23" s="1"/>
  <c r="E3" i="12"/>
  <c r="F12" i="23" s="1"/>
  <c r="G12" i="23" s="1"/>
  <c r="E3" i="16"/>
  <c r="F16" i="23" s="1"/>
  <c r="G16" i="23" s="1"/>
  <c r="E3" i="22"/>
  <c r="F22" i="23" s="1"/>
  <c r="G22" i="23" s="1"/>
  <c r="E3" i="18"/>
  <c r="F18" i="23" s="1"/>
  <c r="G18" i="23" s="1"/>
  <c r="E3" i="9"/>
  <c r="F9" i="23" s="1"/>
  <c r="G9" i="23" s="1"/>
  <c r="E3" i="8"/>
  <c r="F8" i="23" s="1"/>
  <c r="G8" i="23" s="1"/>
  <c r="H22" i="14"/>
  <c r="H23" i="14" s="1"/>
  <c r="E3" i="14"/>
  <c r="F14" i="23" s="1"/>
  <c r="G14" i="23" s="1"/>
  <c r="E3" i="20"/>
  <c r="F20" i="23" s="1"/>
  <c r="G20" i="23" s="1"/>
  <c r="E3" i="21"/>
  <c r="F21" i="23" s="1"/>
  <c r="G21" i="23" s="1"/>
  <c r="E3" i="19"/>
  <c r="F19" i="23" s="1"/>
  <c r="G19" i="23" s="1"/>
  <c r="E3" i="15"/>
  <c r="F15" i="23" s="1"/>
  <c r="G15" i="23" s="1"/>
  <c r="H22" i="13"/>
  <c r="H23" i="13" s="1"/>
  <c r="E3" i="10"/>
  <c r="F10" i="23" s="1"/>
  <c r="G10" i="23" s="1"/>
  <c r="F65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F17" i="23" s="1"/>
  <c r="G17" i="23" s="1"/>
  <c r="E3" i="1"/>
  <c r="F3" i="23" s="1"/>
  <c r="G3" i="23" s="1"/>
  <c r="H22" i="1"/>
  <c r="H23" i="1" s="1"/>
  <c r="F64" i="23" l="1"/>
  <c r="F63" i="23"/>
  <c r="F59" i="23"/>
</calcChain>
</file>

<file path=xl/sharedStrings.xml><?xml version="1.0" encoding="utf-8"?>
<sst xmlns="http://schemas.openxmlformats.org/spreadsheetml/2006/main" count="2217" uniqueCount="254">
  <si>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</si>
  <si>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</si>
  <si>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</si>
  <si>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</si>
  <si>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</si>
  <si>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</si>
  <si>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</si>
  <si>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</si>
  <si>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</si>
  <si>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</si>
  <si>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</si>
  <si>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</si>
  <si>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</si>
  <si>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</si>
  <si>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</si>
  <si>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</si>
  <si>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</si>
  <si>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</si>
  <si>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</si>
  <si>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</si>
  <si>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</si>
  <si>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</si>
  <si>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</si>
  <si>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</si>
  <si>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</si>
  <si>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</si>
  <si>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</si>
  <si>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</si>
  <si>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</si>
  <si>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</si>
  <si>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</si>
  <si>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</si>
  <si>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</si>
  <si>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</si>
  <si>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n/a</t>
  </si>
  <si>
    <t>exemplar</t>
  </si>
  <si>
    <t>Cartilha
- tamanho A4 (fechado) e A3 (aberto), na orientação vertical, contendo até 50 páginas. Material grampeado.
Capa:
• papel Offset 75g/m2;
• Padrão de cor: 4X4 (CMYK)
Miolo (páginas internas):
• papel Offset 75g/m2;
• Padrão de cor: 4X4 (CMYK)
Embalagem: em caixa de papelão resistente, com capacidade máxima de 30 (trinta) quilogramas.</t>
  </si>
  <si>
    <t>milheiro</t>
  </si>
  <si>
    <t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a serem fornecidos pela SEINFO (NÃO SERÁ ACEITA INSCRIÇÃO EM SILK SCREEN).
OBS: 1: serão confeccionados 06 clichês com as assinaturas dos magistrados.
OBS.: 2: o clichê referente ao Brasão da República será fornecido pelo TRE-BA.
OBS. 3: O TRE-BA não se obriga a executar todo o quantitativo de coletâneas/exemplares indicados, sendo este uma estimativa da necessidade do Órgão para o exercício.</t>
  </si>
  <si>
    <t>pacote</t>
  </si>
  <si>
    <t>Etiqueta
• Papel: autoadesivo; 
• Dimensões: 37,5mm x 21mm; 
• Frontal: Offset branco fosco 60 a 75g/m²; 
• Adesivo: Hotmelt 25g/m²; 
• Liner: Couchê 80 a 90g/m²; 
• Impressão: em preto, apenas na frente;
• Acabamento: meio-corte para destacar cada etiqueta individualmente; 
• Acondicionamento: que resguarde a integridade das etiquetas.
• Cartela com 40 etiquetas.</t>
  </si>
  <si>
    <t>cartela</t>
  </si>
  <si>
    <t>Etiqueta
• Papel: autoadesivo; 
• Dimensões: 64mm x 44mm; 
• Frontal: Offset branco fosco 60 a 75g/m²; 
• Adesivo: Hotmelt 25g/m²; 
• Liner: Couchê 80 a 90g/m²; 
• Imprssão: em preto, apenas na frente;
• Acabamento: meio-corte para destacar cada etiqueta individualmente; 
• Acondicionamento: que resguarde a integridade das etiquetas.
Cartela com 17 etiquetas.</t>
  </si>
  <si>
    <t>Etiqueta
• Formato: A4 
• Gramatura: 75g/m2. 
• Especificação: etiqueta adesiva na cor branca com impressão em preto na frente e com serrilha ao meio, sendo 2 (duas) etiquetas por folha. 
• Embalagem: pacote com 25 folhas, embaladas em plástico transparente.</t>
  </si>
  <si>
    <t>folha</t>
  </si>
  <si>
    <t>GRAFICA E EDITORA JEP LTDA</t>
  </si>
  <si>
    <t>RB FLEXO LTDA</t>
  </si>
  <si>
    <t>GENSA - GRAFICA E EDITORA NOSSA SENHORA APARECIDA LTDA</t>
  </si>
  <si>
    <t>OVERVIEW GRAFICA E EDITORA LTDA</t>
  </si>
  <si>
    <t>PROSPER EDITORA E GRAFICA LTDA</t>
  </si>
  <si>
    <t>GRAFICA VEREDAS LTDA</t>
  </si>
  <si>
    <t>GOL GRAFICA E EDITORA LTDA</t>
  </si>
  <si>
    <t>MV2 SERVICOS E NEGOCIOS LTDA</t>
  </si>
  <si>
    <t>AVOHAI EVENTOS LTDA</t>
  </si>
  <si>
    <t>INDUSTRIA GRAFICA BRASILEIRA LTDA</t>
  </si>
  <si>
    <t>LEOGRAF GRAFICA E EDITORA LTDA</t>
  </si>
  <si>
    <t>TGM GRAFICA E EDITORA LTDA</t>
  </si>
  <si>
    <t>A S INDUSTRIA GRAFICA LTDA</t>
  </si>
  <si>
    <t>EMPRESA GRAFICA DA BAHIA</t>
  </si>
  <si>
    <t>SAO FRANCISCO GRAFICA E EDITORA LTDA</t>
  </si>
  <si>
    <t>DE MELLO E BONIFACIO SOLUCOES EM MARKETING LTDA</t>
  </si>
  <si>
    <t>GRAFICA PRODATA LTDA</t>
  </si>
  <si>
    <t>RGA 3 ENTRETENIMENTO E PRODUCOES LTDA</t>
  </si>
  <si>
    <t>WORK DISTRIBUIDORA E SERVICO LTDA</t>
  </si>
  <si>
    <t>DOUGLAS RODRIGUES DA SILVA 76302520134</t>
  </si>
  <si>
    <t>AFA INDUSTRIA COMERCIO E SERVICOS LTDA</t>
  </si>
  <si>
    <t>TEIXEIRA IMPRESSAO DIGITAL E SOLUCOES GRAFICAS LTDA</t>
  </si>
  <si>
    <t>LUIS FERNANDO FERNANDES DA SILVA</t>
  </si>
  <si>
    <t>GRAFICA E EDITORA MUNDO LTDA</t>
  </si>
  <si>
    <t>GRAFICA IGUACU LTDA</t>
  </si>
  <si>
    <t>RMR GRAFICA LTDA</t>
  </si>
  <si>
    <t>REUTER GRAFICOS EDITORES S.A</t>
  </si>
  <si>
    <t>G.M DE BARROS LTDA</t>
  </si>
  <si>
    <t>IMPRESSOART EDITORA GRAFICA LTDA</t>
  </si>
  <si>
    <t>GRAFICA E EDITORA ALIANCA LTDA</t>
  </si>
  <si>
    <t>INLABEL SOLUCOES EM ROTULOS ADESIVOS LTDA</t>
  </si>
  <si>
    <t>39.874.744 DIEGO VIEIRA DA SILVA</t>
  </si>
  <si>
    <t>AGENCIA BRASPUB &amp; EMPREENDIMENTOS LTDA</t>
  </si>
  <si>
    <t>INFLUENTE COMUNICACAO E ESTRATEGIA LTDA</t>
  </si>
  <si>
    <t>R SILVA E SOUSA LTDA</t>
  </si>
  <si>
    <t>BRAZ MULTIMIDIA LTDA</t>
  </si>
  <si>
    <t>GRAFICA &amp; EDITORA TRIUNFAL LTDA</t>
  </si>
  <si>
    <t>R &amp; S COMUNICACAO VISUAL LTDA</t>
  </si>
  <si>
    <t>SENEGAL EDITORA E GRAFICA LTDA</t>
  </si>
  <si>
    <t>SC EDITORA GRAFICA LTDA</t>
  </si>
  <si>
    <t>VTPRINT OUTDOOR E GRAFICA LTDA</t>
  </si>
  <si>
    <t>GRAFICA E EDITORA MOVIMENTO LTDA</t>
  </si>
  <si>
    <t>CAMACORP - VISAO GRAFICA LTDA</t>
  </si>
  <si>
    <t>TAVARES &amp; TAVARES EMPREENDIMENTOS COMERCIAIS LTDA</t>
  </si>
  <si>
    <t>SPEEDGRAF GRAFICA E EDITORA LTDA</t>
  </si>
  <si>
    <t>AMAZONAS COMERCIO DE ADESIVOS E BRINDES LTDA</t>
  </si>
  <si>
    <t>VAREJO BRINDES SOLUCAO EM IMPRESSOS GRAFICOS LTDA</t>
  </si>
  <si>
    <t>VIXCARD COMERCIO, SERVICOS E IMPORTACAO DE ARTIGOS PARA IDENTIFICACAO LTDA</t>
  </si>
  <si>
    <t>GREEN MULTI COMERCIAL E SERVICOS LTDA</t>
  </si>
  <si>
    <t>IDPROMO COMERCIAL LTDA</t>
  </si>
  <si>
    <t>START TECNOLOGIA LTDA</t>
  </si>
  <si>
    <t>ART CARD LTDA</t>
  </si>
  <si>
    <t>CARINE POLETTO FONTANA LTDA</t>
  </si>
  <si>
    <t>OPERA SOLUCOES E GESTAO EMPRESARIAL LTDA</t>
  </si>
  <si>
    <t>MULTYGRAFHIC EDITORA LTDA</t>
  </si>
  <si>
    <t>LUPATINI, MORAIS E FRANCO LTDA</t>
  </si>
  <si>
    <t>HAUERPRINT - GRAFICA E EDITORA LTDA</t>
  </si>
  <si>
    <t>JULIANA CORREA PAZ</t>
  </si>
  <si>
    <t>SEIKE MONTEIRO GRAFICA E EMBALAGENS LTDA</t>
  </si>
  <si>
    <t>PREMIUM GRAFICA E EDITORA LTDA</t>
  </si>
  <si>
    <t>G.SET EDITORA E INDUSTRIA GRAFICA LTDA</t>
  </si>
  <si>
    <t>EMKTPLACE LTDA</t>
  </si>
  <si>
    <t>AYER FELIPE DE FARIA NETO</t>
  </si>
  <si>
    <t>GRAFICA E EDITORA UNIAO LTDA</t>
  </si>
  <si>
    <t>ARTECOR GRAFICA E EDITORA LTDA</t>
  </si>
  <si>
    <t>GRAFICA CS LTDA</t>
  </si>
  <si>
    <t>G.SET EDITORA E INDUSTRIA GRAFICA</t>
  </si>
  <si>
    <t>PRATICA EDITORA GRAFICA LTDA</t>
  </si>
  <si>
    <t>CURINGA COMERCIO VAREJISTA DE EMBALAGENS SOCIEDADE UNIPESSOAL LTDA</t>
  </si>
  <si>
    <t>QUALITY GRAFICA E EDITORA LTDA</t>
  </si>
  <si>
    <t>VIA GRAFICA LTDA</t>
  </si>
  <si>
    <t>PLAY GRAFICA &amp; COMUNICACAO VISUAL LTDA</t>
  </si>
  <si>
    <t>F &amp; R SOLUCOES ADMINISTRATIVAS LTDA</t>
  </si>
  <si>
    <t>GRAFICA E EDITORA SANTA CRUZ LTDA</t>
  </si>
  <si>
    <t>41.186.323 LEUDILENE ESPINDOLA DE ABREU</t>
  </si>
  <si>
    <t>COAN INDUSTRIA GRAFICA LTDA</t>
  </si>
  <si>
    <t>MCP DA COSTA DESIGN EDITORIAL</t>
  </si>
  <si>
    <t>GRAFICA E EDITORA ALMEIDA LTDA</t>
  </si>
  <si>
    <t>GRAFICA E EDITORA CAPITAL LTDA</t>
  </si>
  <si>
    <t>ACDF COMUNICACAO VISUAL E GRAFICA LTDA</t>
  </si>
  <si>
    <t>GSM CONSTRUCOES E COMERCIO LTDA</t>
  </si>
  <si>
    <t>GRAFICA EDITORA FORMULARIOS CONTINUOS E ETIQUETAS F &amp; F LTDA</t>
  </si>
  <si>
    <t>GRAFICA E EDITORA LICEU LTDA</t>
  </si>
  <si>
    <t>CONTIPLAN TECNOLOGIA GRAFICA LTDA</t>
  </si>
  <si>
    <t>LUXPLACAS INDUSTRIA, COMERCIO &amp; SERVICOS LIMITADA</t>
  </si>
  <si>
    <t>Livro
Miolo:
• dimensões: 15,5 mm X 22,5 mm (fechado);
• aproximadamente 800 páginas (400 folhas);
• 1 X 1 preta; papel offset 75 g, alta alvura;
• acabamento colado;
Capa:
• dimensões:15,5 cm X 22,5 cm (fechada);
• 4 X 0;
• papel 220 g/m², supremo, plastificada, com lombada.
• Embalagem: no máximo 10 livros embalados em papel.</t>
  </si>
  <si>
    <t xml:space="preserve">Livro
Miolo:
• dimensões: 210 mm X 297 mm (fechado);
• aproximadamente 200 páginas (100 folhas);
• 4 X 4; papel couche 110 g/m².
Capa:
• dimensões: 210 mm X 297 mm (fechada);
• 4 X 4;
• papel couche 220 g.
• Embalagem: no máximo 10 livros embalados em papel. </t>
  </si>
  <si>
    <t>Livro
Miolo:
• dimensões: 170 mm X 240 mm (fechado);
• aproximadamente 700 páginas (350 folhas);
• l X 1 preta; papel offset 75 g, alta alvura;
• acabamento costurado e colado.
Capa:
• dimensões: 175 mm X 245 mm (fechada);
• com lombada e com orelha;
• 4 X 0 cores (policromia);
• Capa semi-dura;
• laminação fosca.
Porta livros:
• 4 X 0 cores (policromia);
• Para acondicionar dois exemplares do livro;
• Capa semi-dura;
• laminação fosca.
• Embalagem: no máximo 10 livros embalados em papel.</t>
  </si>
  <si>
    <t>Livro
Capa:
• dimensões: 420 mm X 2l0 mm (aberto);
• 1 dobra;
• impressão 4X0;
• papel reciclato 200 g.
Miolo:
• dimensões: 297 mm X 2l0 mm;
• Aproximadamente 60 páginas (30 folhas);
• impressão 4X4;
• papel reciclato 110 g/m²
• Embalagem: no máximo 10 livros embalados em papel.</t>
  </si>
  <si>
    <t>Livro
Miolo:
• dimensões: 210 mm X 297 mm;
• aproximadamente 32 páginas (16 folhas);
• 4 X 4;
• papel reciclato 120 g;
• acabamento com 2 grampos.
Capa:
• dimensões: 420 mm X 210 mm (aberta);
• 1 dobra;
• 4 X 0;
• papel reciclato 220 g.
• Embalagem: no máximo 10 livros embalados em papel.</t>
  </si>
  <si>
    <t>Livro
Miolo:
• dimensões: 155 mm X 215 mm (fechado);
• aproximadamente 150 páginas (75 folhas);
• l X 1 preta; papel offset 90 g, branco;
• acabamento colado.
Capa:
• dimensões 155 mm X 215 mm (fechada);
• 4 X 0 cores (policromia);
• papel 150 g, couche liso.</t>
  </si>
  <si>
    <t>Livro
Miolo:
• dimensões: 155 mm X 215 mm (fechado);
• aproximadamente 150 páginas (75 folhas);
• l X 1 preta; papel offset 90 g, branco;
• acabamento colado.
Capa:
• dimensões 155 mm X 215 mm (fechada);
• 4 X 0 cores (policromia);
• papel 150 g, couche liso, com lombada.
Embalagem: no máximo 10 livros embalados em papel.</t>
  </si>
  <si>
    <t>Livro
Miolo:
• dimensões: 220 mm X 300 mm (fechado);
• aproximadamente  200 páginas (100 folhas);
• 4 X 4; papel couche fosco 120 g;
• acabamento costurado e colado, com fita.
Capa:
• dimensões: 225 mm X 305 mm (fechada);
• 4 X 4 cores (policromia);
• Laminação fosca
• capa dura, com guarda.
• Embalagem: no máximo 10 livros embalados em papel.</t>
  </si>
  <si>
    <t>Livro
Miolo:
• dimensões: 145 mm X 105 mm (fechado);
• aproximadamente 320 páginas (160 folhas);
• l X 1 preta; papel offset 75 g, alta alvura;
• acabamento costurado e colado.
Capa:
• dimensões: 150 mm X 110 mm (fechada);
• com lombada e com orelha;
• 4 X 0 cores (policromia);
• Capa semi-dura;
• laminação fosca.
Porta livros:
• 4 X 0 cores (policromia);
• Para acodicionar dois exemplares do livro;
• Capa semi-dura;
• Laminação fosca.</t>
  </si>
  <si>
    <t>Cartilha
Capa e Miolo:
• papel couche liso 120 gr, branco;
• impressão offset 4 X 4;
• acabamento com 2 grampos;
• dimensões: l80 mm X l80 mm (fechado) e l80 mm X 360 mm (aberto);
• aproximadamente 30 páginas.
Embalagem: no máximo 20 cartilhas embalados em papel.</t>
  </si>
  <si>
    <t>Cartilha
Capa:
• Impressão 4 X 0;
• papel couche liso, 150 g;
• dimensões: A4 (aberta);
• 1 dobra
• Encadernação tipo canoa, com 2 grampos.
Miolo:
• Impressão 4 X 4;
• papel couche liso, 115 g;
• dimensões: A4 (aberta);
• 1 dobra;
• 20 páginas.
• Embalagem: no máximo 20 cartilhas embalados em papel.</t>
  </si>
  <si>
    <t>Cartilha
Miolo:
• dimensões: 148,5 mm X 210 mm (fechado);
• aproximadamente 20 páginas (10 folhas);
• impressão: 1 X 1;
• papel offset 90 g, alta alvura;
• acabamento com 2 grampos.
Capa:
• dimensões: 148,5 mm X 210 mm (fechada);
• 4 X 0 cores (policromia);
• papel couche liso, 130 g
• Embalagem: no máximo 20 cartilhas embalados em papel.</t>
  </si>
  <si>
    <t>Cartilha
Miolo:
• dimensões: 210 mm X 297 mm (fechado);
• aproximadamente 80 páginas (40 folhas);
• impressão: 4 X 4;
• papel offset 90 g, alta alvura;
• acabamento com 2 grampos.
Capa:
• dimensões: 210 mm X 297 mm (fechada);
• 4 X 0 cores (policromia);
• papel couche liso, 130 g.
• Embalagem: no máximo 20 cartilhas embalados em papel.</t>
  </si>
  <si>
    <t>Cartilha
Miolo:
• dimensões: 148,5 mm X 210 mm (fechado);
• aproximadamente 100 páginas (50 folhas);
• impressão: 4 X 4;
• papel offset 90 g, alta alvura;
• acabamento com 2 grampos.
Capa:
• dimensões: 148,5 mm X 210 mm (fechada);
• 4 X 0 cores (policromia);
• papel couche liso, 115 g.
• Embalagem: no máximo 20 cartilhas embalados em papel.</t>
  </si>
  <si>
    <t>Cartilha
Miolo:
• dimensões: 190 mm X 260 mm (fechado);
• aproximadamente 50 páginas (25 folhas);
• impressão: 1 X 1;
• papel offset 90 g, alta alvura;
• acabamento com 2 grampos.
Capa:
• dimensões: 190 mm X 260 mm (fechada);
• 4 X 0 cores (policromia);
• papel 130 g, papel couche liso.
• Embalagem: no máximo 20 cartilhas embalados em papel.</t>
  </si>
  <si>
    <t>Cartilha
Miolo:
• dimensões:170 mm X 240 mm (fechado);
• aproximadamente 70 páginas (35 folhas);
• impressão: 1 X 1;
• papel offset 90 g, alta alvura;
• acabamento com 2 grampos.
Capa:
• dimensões: 170 mm X 240 mm (fechada);
• 4 X 0 cores (policromia);
• papel couche liso, 130g;
• Embalagem: no máximo 20 cartilhas embalados em papel.</t>
  </si>
  <si>
    <t>Cartilha
- tamanho A5 (1748 x 2480 px), na orientação vertical, contendo 30 páginas. Material grampeado.
Capa:
• papel couche liso 200 gr, laminação fosca;
• impressão offset 4 X 4;
Miolo (páginas internas):
• papel couche liso 130 gr, fosco;
• impressão offset 4 X 4.
• Embalagem: no máximo 20 cartilhas embalados em papel.</t>
  </si>
  <si>
    <t>Cartão 
• dimensões: 55 mm X 95 mm.
• lâmina em 1 X 0 cores em Opaline 180 g.
• Embalagem: no máximo 50 cartões embalados em papel.</t>
  </si>
  <si>
    <t>Cartão 
dimensões: 55 mm X 95 mm.
• lâmina em 4 X 0 cores em Opaline 180 g.
• Embalagem: no máximo 50 cartões embalados em papel.</t>
  </si>
  <si>
    <t>Cartão 
• dimensões: 102 mm X 152 mm;
• lâminas em 4 X 0 cores em couche fosco 240 g;
• Embalagem: no máximo 50 cartões embalados em papel.</t>
  </si>
  <si>
    <t>Pasta
dimensões: 450 mm X 320 mm (aberto);
• 1 dobra e bolso interno;
• impresso 4 X 0;
• cartão supremo 250 g com plastificação
• Embalagem: no máximo 50 pastas embaladas em papel.</t>
  </si>
  <si>
    <t>Pasta
• dimensões 325 mm X 474 mm (aberto);
• lâminas em 1 X 0 cores em OffSet 280 g;
• 1 dobra.
• Embalagem: no máximo 50 pastas embaladas em papel.</t>
  </si>
  <si>
    <t>Cartaz
• dimensões: 297 mm X 420 mm;
• lâminas em 4 X 0 cores em couche liso 100 g;
• Embalagem: no máximo 100 cartazes embalados em papel.</t>
  </si>
  <si>
    <t>Cartaz
• dimensões: 297 mm X 420 mm;
• lâminas em 4 X 0 cores em couche liso 120 g;
• Embalagem: no máximo 100 cartazes embalados em papel.</t>
  </si>
  <si>
    <t>Cartaz
• dimensões: 420 mm X 600 mm;
• lâminas em 4 X 0 cores em couche liso 120 g;
• Embalagem: no máximo 100 cartazes embalados em papel.</t>
  </si>
  <si>
    <t>Cartaz
• dimensões: 285 mm X 410 mm;
• lâminas em 4 X 0 cores em couche liso 120 g;
• Embalagem: no máximo 100 cartazes embalados em papel.</t>
  </si>
  <si>
    <t>Cartaz
• dimensões: 400 mm X 580 mm;
• lâminas em 4 X 0 cores em couche liso 120 g;
• Embalagem: no máximo 100 cartazes embalados em papel.</t>
  </si>
  <si>
    <t>Cartaz
• dimensões: 210 mm X 297 mm;
• lâminas em 4 X 0 cores em couche liso 120 g;
• Embalagem: no máximo 100 cartazes embalados em papel.</t>
  </si>
  <si>
    <t>Convite
• dimensões: 287 mm X 410 mm;
• 2 dobras;
• lâminas em 4 X 4 cores em couche fosco 210g, com laminação fosca;
• Embalagem: no máximo 50 convites embalados em papel.</t>
  </si>
  <si>
    <t>Convite
dimensões: 150 mm X 200 mm;
• lâminas em 4 X 0 cores em couche liso 210 g.
• Embalagem: no máximo 50 convites embalados em papel.</t>
  </si>
  <si>
    <t>Envelope
• dimensões: 168 mm X 225 mm;
• lâminas em 1 X 0 cores, branco, com brasão em alto relevo 240 g.
• Embalagem: no máximo 50 envelopes embalados em papel.</t>
  </si>
  <si>
    <t>Envelope
• dimensões: 105 mm X 158 mm;
• lâminas em 1 X 0 cores, branco, 240 g.
• Embalagem: pacote com no máximo 50 envelopes embalados em papel.</t>
  </si>
  <si>
    <t>Folder
• dimensões: 297 mm X 210 mm;
• 2 dobras;
• lâminas em 4 X 4 cores em offset  90 g;
• Embalagem: pacote com no máximo 100 folderes embalados em papel.</t>
  </si>
  <si>
    <t>Folder
dimensões: 297 mm X 210 mm;
• 2 dobras;
• lâminas em 4 X 4 cores em couche 90 g;
• Embalagem: pacote com no máximo 100 folderes embalados em papel.</t>
  </si>
  <si>
    <t>Folder
• Papel Offset 75g/m2;
• Formato fechado: A4;
• Formato aberto: A3 (com uma dobra);
• Acabamento: com grampos;
• Padrão de cor: 4X4 (CMYK)
• Embalagem: pacotes com 25 folders, embalados em papel.</t>
  </si>
  <si>
    <t>Folder
• dimensões: 297 mm X 210 mm;
• 2 dobras;
• lâminas em 4 X 4 cores em reciclato 100 g.
• Embalagem: pacote com no máximo 100 folderes embalados em papel.</t>
  </si>
  <si>
    <t>Marcador de Livro
• dimensões: 50 mm X 190 mm;
• lâminas em 4 X 4 cores em offset 240 g.com plastificação.
• Embalagem: pacote com no máximo 100 marcadores embalados em papel.</t>
  </si>
  <si>
    <t>Diploma
• dimensões: 364 mm X 257 mm;
• lâminas em 4 X 0 cores em Opaline 180 g.
• Embalagem: pacote com no máximo 20 diplomas embalados em papel.</t>
  </si>
  <si>
    <t>Bloco
Miolo:
• dimensões: 220 mm X 280 mm;
• aproximadamente 50 páginas (25 folhas);
• páginas em 1 X 0 cores em offset 75.
Capa:
• dimensões: 220 mm X 280 mm (fechado);
• 4 X 0 cores;
• cartão supremo 250 g.
• Embalagem: pacote com no máximo 25 blocos embalados em papel.</t>
  </si>
  <si>
    <t>Bloco
Miolo:
• dimensões: 160 mm X 220 mm;
• aproximadamente 50 páginas (25 folhas);
• páginas em 1 X 0 cores em papel reciclato 90.
Capa:
• dimensões: 160 mm X 220 mm (fechado);
• 4 X 0 cores;
• papel reciclato 120g.
• Embalagem: pacote com no máximo 25 blocos embalados em papel.</t>
  </si>
  <si>
    <t>Agenda
Miolo:
• papel reciclado, 75g;
• dimensões: 120 mm x 160 mm (BxH);
• aproximadamente 350 páginas (175 folhas), 4 x 4.
• Impressão em Offset, utilizando tintas vegetais.
Capa:
• papelão espessura 1.1/ nº 30 revestido externamente com papel reciclado 120 g;
• impressão 4 x 0 cores, utilizando tintas vegetais, e internamente com papel reciclado 90 g, 0 x 0 cores;
• dimensões: 125 mm x 165 mm (BxH);
• impressão em Offset;
• encadernação em espiral verde escuro, em metal reciclado.
• Embalagem: pacote com no máximo 50 agendas embaladas em papel.</t>
  </si>
  <si>
    <t>Calendário
Base:
• dimensões: 350 mm X 210 mm;
• corte/vinco, duas dobras;
• Impressão 4X0 em papel reciclado de 250 g.
Páginas
• aproximadamente 7 folhas (14 páginas):
• dimensões: 130mm X 210 mm;
• lâminas em 4 X 4 cores em papel reciclado de 110 g;
• acabamento em wire-o branca.
• Embalagem: pacote com no máximo 25 calendários embalados em papel.</t>
  </si>
  <si>
    <t>Crachá
• dimensões 110 mm X 150 mm;
• lâminas em 4 X 0 cores em Couche fosco 300g.
• plastificado;
• cordão branco ou preto.
• Embalagem: pacote (ou caixa de papel) com no máximo 100 crachás embalados em papel.</t>
  </si>
  <si>
    <t>Crachá
• dimensões 55 mm X 75 mm;
• lâminas em 4 X 0 cores em Couche fosco 300g.
• plastificado;
• cordão branco ou preto.
• Embalagem: pacote (ou caixa de papel) com no máximo 100 crachás embalados em papel.</t>
  </si>
  <si>
    <t>Formulário
• Papel: AP 75g/m2 
• Dimensões: 29,5 cm X 8,5 cm Impressão: em preto e branco 
• Serrilha: vertical, para fácil destaque entre a via da Justiça Eleitoral e o comprovante do eleitor. Embalagem: pacote com 500 unidades, embaladas em papel.</t>
  </si>
  <si>
    <t>JADIR ANTONIO CORREIA 57504636720</t>
  </si>
  <si>
    <t>55.642.487 RENAN VITOR OLIVEIRA ARAUJO</t>
  </si>
  <si>
    <t>53.353.511 ANALIA DE OLIVEIRA SILVA</t>
  </si>
  <si>
    <t>JP COMERCIAL E SERVCOS LTDA</t>
  </si>
  <si>
    <t>MARCIA CRISTINA FERNANDES LIMA 08226191645</t>
  </si>
  <si>
    <t>ELOAR SERVICOS DE COMUNICACAO E MARKETING LTDA</t>
  </si>
  <si>
    <t>WILSON DE PAULA LICO-IPUA</t>
  </si>
  <si>
    <t>26.735.752 FELIPE HENRIQUE DE FREITAS MANCO</t>
  </si>
  <si>
    <t>ARIANA RODRIGUES SANTOS</t>
  </si>
  <si>
    <t>CIDADE MAIS SOLUCOES EDITORIAIS LTDA</t>
  </si>
  <si>
    <t>CROMOS EDITORA E INDUSTRIA GRAFICA LTDA</t>
  </si>
  <si>
    <t>GAIA EDITORA GRAFICA LTDA</t>
  </si>
  <si>
    <t>LICITE GRAFICA E PAPELARIA LTDA</t>
  </si>
  <si>
    <t>SERRANA GRAFICA E EDITORA LTDA</t>
  </si>
  <si>
    <t>THANAPE EMPREENDIMENTOS COMERCIAIS LTDA</t>
  </si>
  <si>
    <t>56.994.537 ARIANA RODRIGUES SANTOS</t>
  </si>
  <si>
    <t>EVESON RIBEIRO LEAL</t>
  </si>
  <si>
    <t>FIBRA ATACADISTA IMPORTADORA LTDA</t>
  </si>
  <si>
    <t>MARCOS J. C. SIQUEIRA LTDA</t>
  </si>
  <si>
    <t>OBRA DE DEUS COMERCIO E SERVICOS LTDA</t>
  </si>
  <si>
    <t>WESLEY RAMOS NOBREGA</t>
  </si>
  <si>
    <t>CGM GRAFICA E COMUNICACAO VISUAL LTDA</t>
  </si>
  <si>
    <t>JOCEAN INDUSTRIA GRAFICA LTDA</t>
  </si>
  <si>
    <t>ED INFO SUPRIMENTOS DE INFORMATICA INDUSTRIA EDITORIAL COMERCIO E SERVICOS GRAFI</t>
  </si>
  <si>
    <t>NOVA AMITAF ARTES GRAFICAS LTDA</t>
  </si>
  <si>
    <t>EDITORA GRAFICA GUARANY LTDA</t>
  </si>
  <si>
    <t>P&amp;B COLOR GRAFICA COMUNICACAO DIGITAL LTDA</t>
  </si>
  <si>
    <t>DIGIFLEX GRAFICA E ETIQUETAS LTDA</t>
  </si>
  <si>
    <t>INGRAFOTO REPRODUCOES EM FOTOLITO LTDA</t>
  </si>
  <si>
    <t>GRAFICA BORGES DE CAMPO GRANDE LTDA</t>
  </si>
  <si>
    <t>JRB COMERCIO, LOCACOES E SERVICOS DE IMPRESSAO LTDA</t>
  </si>
  <si>
    <t>PIMORE EDITORA E DISTRIBUIDORA DE PAPEIS LTDA</t>
  </si>
  <si>
    <t>ARCOVERDE SOLUCOES GRAFICAS LTDA</t>
  </si>
  <si>
    <t>THG COMERCIO VAREJISTA E PRESTACAO DE SERVICOS EM GERAIS E CONSTRUCAO CIVIL LTDA</t>
  </si>
  <si>
    <t xml:space="preserve"> DOUGLAS RODRIGUES DA SILVA 76302520134</t>
  </si>
  <si>
    <t>D. F. A. BESERRA LTDA</t>
  </si>
  <si>
    <t>ROSANA RIBEIRO LOPES 64367045153</t>
  </si>
  <si>
    <t>GABRIELLA A. O. DE S. MACHADO COMERCIO DE PRODUTOS DESCARTAVEIS E DE LIMPEZA</t>
  </si>
  <si>
    <t>MARIA ELIZABETH MOURA MORALES CONFECCOES LTDA</t>
  </si>
  <si>
    <t>D'COLAR GRAFICA E ETIQUETAS LTDA</t>
  </si>
  <si>
    <t>C F DA SILVA GRAFICA LTDA</t>
  </si>
  <si>
    <t>C GALATI LTDA</t>
  </si>
  <si>
    <t>CASSIANO C. ANUNCIACAO NETTO</t>
  </si>
  <si>
    <t>CASSIO DE M FERNANDES SOLUCOES INTEGRADAS</t>
  </si>
  <si>
    <t>GRAFICA E EDITORA RAPHAELA LTDA</t>
  </si>
  <si>
    <t>HIGH EMPREENDIMENTOS LTDA</t>
  </si>
  <si>
    <t>JOELMA DA SILVA DIAS 01197001158</t>
  </si>
  <si>
    <t>KARAM PRINT COMERCIO ATACADISTA DE ARTIGOS DE ESCRITORIO E SERVICOS GRAFICOS LTD</t>
  </si>
  <si>
    <t>M E T INDUSTRIA, COMERCIO E SERVICOS GRAFICOS LTDA</t>
  </si>
  <si>
    <t>OCA SERVICOS DE PUBLICIDADE LTDA</t>
  </si>
  <si>
    <t>R. ANSELMO MIRANDA LTDA</t>
  </si>
  <si>
    <t>V E INDUSTRIA COMERCIO E SERVICOS GRAFICOS LTDA</t>
  </si>
  <si>
    <t>ARANHA DESIGN COMUNICACAO VISUAL LTDA</t>
  </si>
  <si>
    <t>COSTA IMPRESSOES LTDA</t>
  </si>
  <si>
    <t>MOREIRA GODOY COMERCIO E SERVICOS LTDA</t>
  </si>
  <si>
    <t>ODIMILSOM ALVES PEREIRA</t>
  </si>
  <si>
    <t>REIS DO NORTE LTDA</t>
  </si>
  <si>
    <t>RNL TRADE AND FACILITIES LTDA</t>
  </si>
  <si>
    <t>SHOW PRINT GRAFICA E EDITORA LTDA</t>
  </si>
  <si>
    <t>C2VENDAS LTDA</t>
  </si>
  <si>
    <t>EMBALAGENS IMPRESSOS VITORIA LTDA</t>
  </si>
  <si>
    <t>GRAFICA ALTA DEFINICAO LTDA</t>
  </si>
  <si>
    <t>GRAFICA POSITIVA LTDA</t>
  </si>
  <si>
    <t>K7 SOLUCOES - LTDA</t>
  </si>
  <si>
    <t>PRIMAGRAF INDUSTRIA GRAFICA E EDITORA LTDA</t>
  </si>
  <si>
    <t>PRINT ONE NEGOCIOS LTDA</t>
  </si>
  <si>
    <t>DOURAGRAFI GRAFICA E EDITORA LTDA</t>
  </si>
  <si>
    <t>FORTE GRAFICA E EDITORA LTDA</t>
  </si>
  <si>
    <t>GRAFICA E EDITORA PIFFERPRINT LTDA</t>
  </si>
  <si>
    <t>GRAFICA E EDITORA QUALYTA LTDA</t>
  </si>
  <si>
    <t>TT PRODUCOES E EVENTOS LTDA</t>
  </si>
  <si>
    <t>GRAFICA CHOPIM LTDA</t>
  </si>
  <si>
    <t>POLIMPRESSOS SERVICOS GRAFICOS LTDA</t>
  </si>
  <si>
    <t>CHOPIN NET TELECOMUNICACOES LTDA</t>
  </si>
  <si>
    <t>SP MIDIA DIGITAL &amp; COMUNICACAO VISUAL LTDA</t>
  </si>
  <si>
    <t>QUITERIENSE SERVICOS GRAFICOS E EDITORIAIS LTDA</t>
  </si>
  <si>
    <t>41.246.688 ROBSON FERREIRA DOS SANTOS</t>
  </si>
  <si>
    <t>SOMOS CENOGRAFIA LTDA</t>
  </si>
  <si>
    <t>EVENI DA SILVA BRITO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</si>
</sst>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6.vml"/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</v>
      </c>
      <c r="B3" s="33" t="s">
        <v>130</v>
      </c>
      <c r="C3" s="35" t="s">
        <v>35</v>
      </c>
      <c r="D3" s="35">
        <v>500</v>
      </c>
      <c r="E3" s="36">
        <f>IF(C20&lt;=25%,D20,MIN(E20:F20))</f>
        <v>32.14</v>
      </c>
      <c r="F3" s="36">
        <f>MIN(H3:H17)</f>
        <v>26.399847146999999</v>
      </c>
      <c r="G3" s="5" t="s">
        <v>124</v>
      </c>
      <c r="H3" s="16">
        <v>26.399847146999999</v>
      </c>
      <c r="I3" s="17">
        <f>IF(H3="","",(IF($C$20&lt;25%,"n/a",IF(H3&lt;=($D$20+$A$20),H3,"Descartado"))))</f>
        <v>26.399847146999999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31.972806731000002</v>
      </c>
      <c r="I4" s="17">
        <f t="shared" ref="I4:I17" si="0">IF(H4="","",(IF($C$20&lt;25%,"n/a",IF(H4&lt;=($D$20+$A$20),H4,"Descartado"))))</f>
        <v>31.972806731000002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32.136717306999998</v>
      </c>
      <c r="I5" s="17">
        <f t="shared" si="0"/>
        <v>32.136717306999998</v>
      </c>
    </row>
    <row r="6" spans="1:9" x14ac:dyDescent="0.25">
      <c r="A6" s="37"/>
      <c r="B6" s="34"/>
      <c r="C6" s="35"/>
      <c r="D6" s="35"/>
      <c r="E6" s="36"/>
      <c r="F6" s="36"/>
      <c r="G6" s="5" t="s">
        <v>105</v>
      </c>
      <c r="H6" s="16">
        <v>39.656114981000002</v>
      </c>
      <c r="I6" s="17">
        <f t="shared" si="0"/>
        <v>39.656114981000002</v>
      </c>
    </row>
    <row r="7" spans="1:9" x14ac:dyDescent="0.25">
      <c r="A7" s="37"/>
      <c r="B7" s="34"/>
      <c r="C7" s="35"/>
      <c r="D7" s="35"/>
      <c r="E7" s="36"/>
      <c r="F7" s="36"/>
      <c r="G7" s="5" t="s">
        <v>126</v>
      </c>
      <c r="H7" s="16">
        <v>84.557368394000008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23.734763796690807</v>
      </c>
      <c r="B20" s="8">
        <f>COUNT(H3:H17)</f>
        <v>5</v>
      </c>
      <c r="C20" s="9">
        <f>IF(B20&lt;2,"n/a",(A20/D20))</f>
        <v>0.55274251971799737</v>
      </c>
      <c r="D20" s="10">
        <f>IFERROR(ROUND(AVERAGE(H3:H17),2),"")</f>
        <v>42.94</v>
      </c>
      <c r="E20" s="15">
        <f>IFERROR(ROUND(IF(B20&lt;2,"n/a",(IF(C20&lt;=25%,"n/a",AVERAGE(I3:I17)))),2),"n/a")</f>
        <v>32.54</v>
      </c>
      <c r="F20" s="10">
        <f>IFERROR(ROUND(MEDIAN(H3:H17),2),"")</f>
        <v>32.14</v>
      </c>
      <c r="G20" s="11" t="str">
        <f>IFERROR(INDEX(G3:G17,MATCH(H20,H3:H17,0)),"")</f>
        <v>ACDF COMUNICACAO VISUAL E GRAFICA LTDA</v>
      </c>
      <c r="H20" s="12">
        <f>F3</f>
        <v>26.399847146999999</v>
      </c>
    </row>
    <row r="22" spans="1:9" x14ac:dyDescent="0.25">
      <c r="G22" s="13" t="s">
        <v>20</v>
      </c>
      <c r="H22" s="14">
        <f>IF(C20&lt;=25%,D20,MIN(E20:F20))</f>
        <v>32.14</v>
      </c>
    </row>
    <row r="23" spans="1:9" x14ac:dyDescent="0.25">
      <c r="G23" s="13" t="s">
        <v>6</v>
      </c>
      <c r="H23" s="14">
        <f>ROUND(H22,2)*D3</f>
        <v>16070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10</v>
      </c>
      <c r="B3" s="33" t="s">
        <v>139</v>
      </c>
      <c r="C3" s="35" t="s">
        <v>35</v>
      </c>
      <c r="D3" s="35">
        <v>6000</v>
      </c>
      <c r="E3" s="36">
        <f>IF(C20&lt;=25%,D20,MIN(E20:F20))</f>
        <v>1.17</v>
      </c>
      <c r="F3" s="36">
        <f>MIN(H3:H17)</f>
        <v>0.89</v>
      </c>
      <c r="G3" s="5" t="s">
        <v>85</v>
      </c>
      <c r="H3" s="16">
        <v>1.9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240</v>
      </c>
      <c r="H4" s="16">
        <v>1.37</v>
      </c>
      <c r="I4" s="17">
        <f t="shared" ref="I4:I17" si="0">IF(H4="","",(IF($C$20&lt;25%,"n/a",IF(H4&lt;=($D$20+$A$20),H4,"Descartado"))))</f>
        <v>1.37</v>
      </c>
    </row>
    <row r="5" spans="1:9" x14ac:dyDescent="0.25">
      <c r="A5" s="37"/>
      <c r="B5" s="34"/>
      <c r="C5" s="35"/>
      <c r="D5" s="35"/>
      <c r="E5" s="36"/>
      <c r="F5" s="36"/>
      <c r="G5" s="5" t="s">
        <v>107</v>
      </c>
      <c r="H5" s="16">
        <v>1.19</v>
      </c>
      <c r="I5" s="17">
        <f t="shared" si="0"/>
        <v>1.19</v>
      </c>
    </row>
    <row r="6" spans="1:9" x14ac:dyDescent="0.25">
      <c r="A6" s="37"/>
      <c r="B6" s="34"/>
      <c r="C6" s="35"/>
      <c r="D6" s="35"/>
      <c r="E6" s="36"/>
      <c r="F6" s="36"/>
      <c r="G6" s="5" t="s">
        <v>234</v>
      </c>
      <c r="H6" s="16">
        <v>0.93</v>
      </c>
      <c r="I6" s="17">
        <f t="shared" si="0"/>
        <v>0.93</v>
      </c>
    </row>
    <row r="7" spans="1:9" x14ac:dyDescent="0.25">
      <c r="A7" s="37"/>
      <c r="B7" s="34"/>
      <c r="C7" s="35"/>
      <c r="D7" s="35"/>
      <c r="E7" s="36"/>
      <c r="F7" s="36"/>
      <c r="G7" s="5" t="s">
        <v>97</v>
      </c>
      <c r="H7" s="16">
        <v>1.2</v>
      </c>
      <c r="I7" s="17">
        <f t="shared" si="0"/>
        <v>1.2</v>
      </c>
    </row>
    <row r="8" spans="1:9" x14ac:dyDescent="0.25">
      <c r="A8" s="37"/>
      <c r="B8" s="34"/>
      <c r="C8" s="35"/>
      <c r="D8" s="35"/>
      <c r="E8" s="36"/>
      <c r="F8" s="36"/>
      <c r="G8" s="5" t="s">
        <v>196</v>
      </c>
      <c r="H8" s="16">
        <v>0.89</v>
      </c>
      <c r="I8" s="17">
        <f t="shared" si="0"/>
        <v>0.89</v>
      </c>
    </row>
    <row r="9" spans="1:9" x14ac:dyDescent="0.25">
      <c r="A9" s="37"/>
      <c r="B9" s="34"/>
      <c r="C9" s="35"/>
      <c r="D9" s="35"/>
      <c r="E9" s="36"/>
      <c r="F9" s="36"/>
      <c r="G9" s="5" t="s">
        <v>49</v>
      </c>
      <c r="H9" s="16">
        <v>1.75</v>
      </c>
      <c r="I9" s="17" t="str">
        <f t="shared" si="0"/>
        <v>Descartado</v>
      </c>
    </row>
    <row r="10" spans="1:9" x14ac:dyDescent="0.25">
      <c r="A10" s="37"/>
      <c r="B10" s="34"/>
      <c r="C10" s="35"/>
      <c r="D10" s="35"/>
      <c r="E10" s="36"/>
      <c r="F10" s="36"/>
      <c r="G10" s="5" t="s">
        <v>235</v>
      </c>
      <c r="H10" s="16">
        <v>1.5</v>
      </c>
      <c r="I10" s="17">
        <f t="shared" si="0"/>
        <v>1.5</v>
      </c>
    </row>
    <row r="11" spans="1:9" x14ac:dyDescent="0.25">
      <c r="A11" s="37"/>
      <c r="B11" s="34"/>
      <c r="C11" s="35"/>
      <c r="D11" s="35"/>
      <c r="E11" s="36"/>
      <c r="F11" s="36"/>
      <c r="G11" s="5" t="s">
        <v>105</v>
      </c>
      <c r="H11" s="16">
        <v>0.9</v>
      </c>
      <c r="I11" s="17">
        <f t="shared" si="0"/>
        <v>0.9</v>
      </c>
    </row>
    <row r="12" spans="1:9" x14ac:dyDescent="0.25">
      <c r="A12" s="37"/>
      <c r="B12" s="34"/>
      <c r="C12" s="35"/>
      <c r="D12" s="35"/>
      <c r="E12" s="36"/>
      <c r="F12" s="36"/>
      <c r="G12" s="5" t="s">
        <v>236</v>
      </c>
      <c r="H12" s="16">
        <v>1.02</v>
      </c>
      <c r="I12" s="17">
        <f t="shared" si="0"/>
        <v>1.02</v>
      </c>
    </row>
    <row r="13" spans="1:9" x14ac:dyDescent="0.25">
      <c r="A13" s="37"/>
      <c r="B13" s="34"/>
      <c r="C13" s="35"/>
      <c r="D13" s="35"/>
      <c r="E13" s="36"/>
      <c r="F13" s="36"/>
      <c r="G13" s="5" t="s">
        <v>110</v>
      </c>
      <c r="H13" s="16">
        <v>1.29</v>
      </c>
      <c r="I13" s="17">
        <f t="shared" si="0"/>
        <v>1.29</v>
      </c>
    </row>
    <row r="14" spans="1:9" x14ac:dyDescent="0.25">
      <c r="A14" s="37"/>
      <c r="B14" s="34"/>
      <c r="C14" s="35"/>
      <c r="D14" s="35"/>
      <c r="E14" s="36"/>
      <c r="F14" s="36"/>
      <c r="G14" s="5" t="s">
        <v>237</v>
      </c>
      <c r="H14" s="16">
        <v>1.1000000000000001</v>
      </c>
      <c r="I14" s="17">
        <f t="shared" si="0"/>
        <v>1.1000000000000001</v>
      </c>
    </row>
    <row r="15" spans="1:9" x14ac:dyDescent="0.25">
      <c r="A15" s="37"/>
      <c r="B15" s="34"/>
      <c r="C15" s="35"/>
      <c r="D15" s="35"/>
      <c r="E15" s="36"/>
      <c r="F15" s="36"/>
      <c r="G15" s="5" t="s">
        <v>61</v>
      </c>
      <c r="H15" s="16">
        <v>1.1000000000000001</v>
      </c>
      <c r="I15" s="17">
        <f t="shared" si="0"/>
        <v>1.1000000000000001</v>
      </c>
    </row>
    <row r="16" spans="1:9" x14ac:dyDescent="0.25">
      <c r="A16" s="37"/>
      <c r="B16" s="34"/>
      <c r="C16" s="35"/>
      <c r="D16" s="35"/>
      <c r="E16" s="36"/>
      <c r="F16" s="36"/>
      <c r="G16" s="5" t="s">
        <v>238</v>
      </c>
      <c r="H16" s="16">
        <v>1.75</v>
      </c>
      <c r="I16" s="17" t="str">
        <f t="shared" si="0"/>
        <v>Descartado</v>
      </c>
    </row>
    <row r="17" spans="1:9" x14ac:dyDescent="0.25">
      <c r="A17" s="37"/>
      <c r="B17" s="34"/>
      <c r="C17" s="35"/>
      <c r="D17" s="35"/>
      <c r="E17" s="36"/>
      <c r="F17" s="36"/>
      <c r="G17" s="5" t="s">
        <v>46</v>
      </c>
      <c r="H17" s="16">
        <v>1.49</v>
      </c>
      <c r="I17" s="17">
        <f t="shared" si="0"/>
        <v>1.49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0.32630397747236572</v>
      </c>
      <c r="B20" s="8">
        <f>COUNT(H3:H17)</f>
        <v>15</v>
      </c>
      <c r="C20" s="9">
        <f>IF(B20&lt;2,"n/a",(A20/D20))</f>
        <v>0.25294881974601996</v>
      </c>
      <c r="D20" s="10">
        <f>IFERROR(ROUND(AVERAGE(H3:H17),2),"")</f>
        <v>1.29</v>
      </c>
      <c r="E20" s="15">
        <f>IFERROR(ROUND(IF(B20&lt;2,"n/a",(IF(C20&lt;=25%,"n/a",AVERAGE(I3:I17)))),2),"n/a")</f>
        <v>1.17</v>
      </c>
      <c r="F20" s="10">
        <f>IFERROR(ROUND(MEDIAN(H3:H17),2),"")</f>
        <v>1.2</v>
      </c>
      <c r="G20" s="11" t="str">
        <f>IFERROR(INDEX(G3:G17,MATCH(H20,H3:H17,0)),"")</f>
        <v>CGM GRAFICA E COMUNICACAO VISUAL LTDA</v>
      </c>
      <c r="H20" s="12">
        <f>F3</f>
        <v>0.89</v>
      </c>
    </row>
    <row r="22" spans="1:9" x14ac:dyDescent="0.25">
      <c r="G22" s="13" t="s">
        <v>20</v>
      </c>
      <c r="H22" s="14">
        <f>IF(C20&lt;=25%,D20,MIN(E20:F20))</f>
        <v>1.17</v>
      </c>
    </row>
    <row r="23" spans="1:9" x14ac:dyDescent="0.25">
      <c r="G23" s="13" t="s">
        <v>6</v>
      </c>
      <c r="H23" s="14">
        <f>ROUND(H22,2)*D3</f>
        <v>7020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11</v>
      </c>
      <c r="B3" s="33" t="s">
        <v>140</v>
      </c>
      <c r="C3" s="35" t="s">
        <v>35</v>
      </c>
      <c r="D3" s="35">
        <f>6000*0.25</f>
        <v>1500</v>
      </c>
      <c r="E3" s="36">
        <f>IF(C20&lt;=25%,D20,MIN(E20:F20))</f>
        <v>13.78</v>
      </c>
      <c r="F3" s="36">
        <f>MIN(H3:H17)</f>
        <v>9</v>
      </c>
      <c r="G3" s="5" t="s">
        <v>183</v>
      </c>
      <c r="H3" s="16">
        <v>16</v>
      </c>
      <c r="I3" s="17">
        <f>IF(H3="","",(IF($C$20&lt;25%,"n/a",IF(H3&lt;=($D$20+$A$20),H3,"Descartado"))))</f>
        <v>16</v>
      </c>
    </row>
    <row r="4" spans="1:9" x14ac:dyDescent="0.25">
      <c r="A4" s="37"/>
      <c r="B4" s="34"/>
      <c r="C4" s="35"/>
      <c r="D4" s="35"/>
      <c r="E4" s="36"/>
      <c r="F4" s="36"/>
      <c r="G4" s="5" t="s">
        <v>124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37"/>
      <c r="B5" s="34"/>
      <c r="C5" s="35"/>
      <c r="D5" s="35"/>
      <c r="E5" s="36"/>
      <c r="F5" s="36"/>
      <c r="G5" s="5" t="s">
        <v>184</v>
      </c>
      <c r="H5" s="16">
        <v>13</v>
      </c>
      <c r="I5" s="17">
        <f t="shared" si="0"/>
        <v>13</v>
      </c>
    </row>
    <row r="6" spans="1:9" x14ac:dyDescent="0.25">
      <c r="A6" s="37"/>
      <c r="B6" s="34"/>
      <c r="C6" s="35"/>
      <c r="D6" s="35"/>
      <c r="E6" s="36"/>
      <c r="F6" s="36"/>
      <c r="G6" s="5" t="s">
        <v>185</v>
      </c>
      <c r="H6" s="16">
        <v>10</v>
      </c>
      <c r="I6" s="17">
        <f t="shared" si="0"/>
        <v>10</v>
      </c>
    </row>
    <row r="7" spans="1:9" x14ac:dyDescent="0.25">
      <c r="A7" s="37"/>
      <c r="B7" s="34"/>
      <c r="C7" s="35"/>
      <c r="D7" s="35"/>
      <c r="E7" s="36"/>
      <c r="F7" s="36"/>
      <c r="G7" s="5" t="s">
        <v>186</v>
      </c>
      <c r="H7" s="16">
        <v>19</v>
      </c>
      <c r="I7" s="17">
        <f t="shared" si="0"/>
        <v>19</v>
      </c>
    </row>
    <row r="8" spans="1:9" x14ac:dyDescent="0.25">
      <c r="A8" s="37"/>
      <c r="B8" s="34"/>
      <c r="C8" s="35"/>
      <c r="D8" s="35"/>
      <c r="E8" s="36"/>
      <c r="F8" s="36"/>
      <c r="G8" s="5" t="s">
        <v>61</v>
      </c>
      <c r="H8" s="16">
        <v>12.45</v>
      </c>
      <c r="I8" s="17">
        <f t="shared" si="0"/>
        <v>12.45</v>
      </c>
    </row>
    <row r="9" spans="1:9" x14ac:dyDescent="0.25">
      <c r="A9" s="37"/>
      <c r="B9" s="34"/>
      <c r="C9" s="35"/>
      <c r="D9" s="35"/>
      <c r="E9" s="36"/>
      <c r="F9" s="36"/>
      <c r="G9" s="5" t="s">
        <v>187</v>
      </c>
      <c r="H9" s="16">
        <v>15</v>
      </c>
      <c r="I9" s="17">
        <f t="shared" si="0"/>
        <v>15</v>
      </c>
    </row>
    <row r="10" spans="1:9" x14ac:dyDescent="0.25">
      <c r="A10" s="37"/>
      <c r="B10" s="34"/>
      <c r="C10" s="35"/>
      <c r="D10" s="35"/>
      <c r="E10" s="36"/>
      <c r="F10" s="36"/>
      <c r="G10" s="5" t="s">
        <v>121</v>
      </c>
      <c r="H10" s="16">
        <v>14.5</v>
      </c>
      <c r="I10" s="17">
        <f t="shared" si="0"/>
        <v>14.5</v>
      </c>
    </row>
    <row r="11" spans="1:9" x14ac:dyDescent="0.25">
      <c r="A11" s="37"/>
      <c r="B11" s="34"/>
      <c r="C11" s="35"/>
      <c r="D11" s="35"/>
      <c r="E11" s="36"/>
      <c r="F11" s="36"/>
      <c r="G11" s="5" t="s">
        <v>188</v>
      </c>
      <c r="H11" s="16">
        <v>50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89</v>
      </c>
      <c r="H12" s="16">
        <v>11.8</v>
      </c>
      <c r="I12" s="17">
        <f t="shared" si="0"/>
        <v>11.8</v>
      </c>
    </row>
    <row r="13" spans="1:9" x14ac:dyDescent="0.25">
      <c r="A13" s="37"/>
      <c r="B13" s="34"/>
      <c r="C13" s="35"/>
      <c r="D13" s="35"/>
      <c r="E13" s="36"/>
      <c r="F13" s="36"/>
      <c r="G13" s="5" t="s">
        <v>189</v>
      </c>
      <c r="H13" s="16">
        <v>17</v>
      </c>
      <c r="I13" s="17">
        <f t="shared" si="0"/>
        <v>17</v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11.317868013174406</v>
      </c>
      <c r="B20" s="8">
        <f>COUNT(H3:H17)</f>
        <v>11</v>
      </c>
      <c r="C20" s="9">
        <f>IF(B20&lt;2,"n/a",(A20/D20))</f>
        <v>0.66302683146891661</v>
      </c>
      <c r="D20" s="10">
        <f>IFERROR(ROUND(AVERAGE(H3:H17),2),"")</f>
        <v>17.07</v>
      </c>
      <c r="E20" s="15">
        <f>IFERROR(ROUND(IF(B20&lt;2,"n/a",(IF(C20&lt;=25%,"n/a",AVERAGE(I3:I17)))),2),"n/a")</f>
        <v>13.78</v>
      </c>
      <c r="F20" s="10">
        <f>IFERROR(ROUND(MEDIAN(H3:H17),2),"")</f>
        <v>14.5</v>
      </c>
      <c r="G20" s="11" t="str">
        <f>IFERROR(INDEX(G3:G17,MATCH(H20,H3:H17,0)),"")</f>
        <v>ACDF COMUNICACAO VISUAL E GRAFICA LTDA</v>
      </c>
      <c r="H20" s="12">
        <f>F3</f>
        <v>9</v>
      </c>
    </row>
    <row r="22" spans="1:9" x14ac:dyDescent="0.25">
      <c r="G22" s="13" t="s">
        <v>20</v>
      </c>
      <c r="H22" s="14">
        <f>IF(C20&lt;=25%,D20,MIN(E20:F20))</f>
        <v>13.78</v>
      </c>
    </row>
    <row r="23" spans="1:9" x14ac:dyDescent="0.25">
      <c r="G23" s="13" t="s">
        <v>6</v>
      </c>
      <c r="H23" s="14">
        <f>ROUND(H22,2)*D3</f>
        <v>20670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12</v>
      </c>
      <c r="B3" s="33" t="s">
        <v>141</v>
      </c>
      <c r="C3" s="35" t="s">
        <v>7</v>
      </c>
      <c r="D3" s="35">
        <v>2000</v>
      </c>
      <c r="E3" s="36">
        <f>IF(C20&lt;=25%,D20,MIN(E20:F20))</f>
        <v>1.25</v>
      </c>
      <c r="F3" s="36">
        <f>MIN(H3:H17)</f>
        <v>0.60442024899999991</v>
      </c>
      <c r="G3" s="5" t="s">
        <v>84</v>
      </c>
      <c r="H3" s="16">
        <v>0.97321904499999989</v>
      </c>
      <c r="I3" s="17">
        <f>IF(H3="","",(IF($C$20&lt;25%,"n/a",IF(H3&lt;=($D$20+$A$20),H3,"Descartado"))))</f>
        <v>0.97321904499999989</v>
      </c>
    </row>
    <row r="4" spans="1:9" x14ac:dyDescent="0.25">
      <c r="A4" s="37"/>
      <c r="B4" s="34"/>
      <c r="C4" s="35"/>
      <c r="D4" s="35"/>
      <c r="E4" s="36"/>
      <c r="F4" s="36"/>
      <c r="G4" s="5" t="s">
        <v>53</v>
      </c>
      <c r="H4" s="16">
        <v>1.2293293199999999</v>
      </c>
      <c r="I4" s="17">
        <f t="shared" ref="I4:I17" si="0">IF(H4="","",(IF($C$20&lt;25%,"n/a",IF(H4&lt;=($D$20+$A$20),H4,"Descartado"))))</f>
        <v>1.2293293199999999</v>
      </c>
    </row>
    <row r="5" spans="1:9" x14ac:dyDescent="0.25">
      <c r="A5" s="37"/>
      <c r="B5" s="34"/>
      <c r="C5" s="35"/>
      <c r="D5" s="35"/>
      <c r="E5" s="36"/>
      <c r="F5" s="36"/>
      <c r="G5" s="5" t="s">
        <v>79</v>
      </c>
      <c r="H5" s="16">
        <v>1.4342175399999999</v>
      </c>
      <c r="I5" s="17">
        <f t="shared" si="0"/>
        <v>1.4342175399999999</v>
      </c>
    </row>
    <row r="6" spans="1:9" x14ac:dyDescent="0.25">
      <c r="A6" s="37"/>
      <c r="B6" s="34"/>
      <c r="C6" s="35"/>
      <c r="D6" s="35"/>
      <c r="E6" s="36"/>
      <c r="F6" s="36"/>
      <c r="G6" s="5" t="s">
        <v>85</v>
      </c>
      <c r="H6" s="16">
        <v>1.1268852100000002</v>
      </c>
      <c r="I6" s="17">
        <f t="shared" si="0"/>
        <v>1.1268852100000002</v>
      </c>
    </row>
    <row r="7" spans="1:9" x14ac:dyDescent="0.25">
      <c r="A7" s="37"/>
      <c r="B7" s="34"/>
      <c r="C7" s="35"/>
      <c r="D7" s="35"/>
      <c r="E7" s="36"/>
      <c r="F7" s="36"/>
      <c r="G7" s="5" t="s">
        <v>86</v>
      </c>
      <c r="H7" s="16">
        <v>1.3317734300000001</v>
      </c>
      <c r="I7" s="17">
        <f t="shared" si="0"/>
        <v>1.3317734300000001</v>
      </c>
    </row>
    <row r="8" spans="1:9" x14ac:dyDescent="0.25">
      <c r="A8" s="37"/>
      <c r="B8" s="34"/>
      <c r="C8" s="35"/>
      <c r="D8" s="35"/>
      <c r="E8" s="36"/>
      <c r="F8" s="36"/>
      <c r="G8" s="5" t="s">
        <v>87</v>
      </c>
      <c r="H8" s="16">
        <v>1.7415498699999998</v>
      </c>
      <c r="I8" s="17">
        <f t="shared" si="0"/>
        <v>1.7415498699999998</v>
      </c>
    </row>
    <row r="9" spans="1:9" x14ac:dyDescent="0.25">
      <c r="A9" s="37"/>
      <c r="B9" s="34"/>
      <c r="C9" s="35"/>
      <c r="D9" s="35"/>
      <c r="E9" s="36"/>
      <c r="F9" s="36"/>
      <c r="G9" s="5" t="s">
        <v>73</v>
      </c>
      <c r="H9" s="16">
        <v>1.2907957860000001</v>
      </c>
      <c r="I9" s="17">
        <f t="shared" si="0"/>
        <v>1.2907957860000001</v>
      </c>
    </row>
    <row r="10" spans="1:9" x14ac:dyDescent="0.25">
      <c r="A10" s="37"/>
      <c r="B10" s="34"/>
      <c r="C10" s="35"/>
      <c r="D10" s="35"/>
      <c r="E10" s="36"/>
      <c r="F10" s="36"/>
      <c r="G10" s="5" t="s">
        <v>66</v>
      </c>
      <c r="H10" s="16">
        <v>0.67613112600000003</v>
      </c>
      <c r="I10" s="17">
        <f t="shared" si="0"/>
        <v>0.67613112600000003</v>
      </c>
    </row>
    <row r="11" spans="1:9" x14ac:dyDescent="0.25">
      <c r="A11" s="37"/>
      <c r="B11" s="34"/>
      <c r="C11" s="35"/>
      <c r="D11" s="35"/>
      <c r="E11" s="36"/>
      <c r="F11" s="36"/>
      <c r="G11" s="5" t="s">
        <v>46</v>
      </c>
      <c r="H11" s="16">
        <v>0.60442024899999991</v>
      </c>
      <c r="I11" s="17">
        <f t="shared" si="0"/>
        <v>0.60442024899999991</v>
      </c>
    </row>
    <row r="12" spans="1:9" x14ac:dyDescent="0.25">
      <c r="A12" s="37"/>
      <c r="B12" s="34"/>
      <c r="C12" s="35"/>
      <c r="D12" s="35"/>
      <c r="E12" s="36"/>
      <c r="F12" s="36"/>
      <c r="G12" s="5" t="s">
        <v>88</v>
      </c>
      <c r="H12" s="16">
        <v>1.3317734300000001</v>
      </c>
      <c r="I12" s="17">
        <f t="shared" si="0"/>
        <v>1.3317734300000001</v>
      </c>
    </row>
    <row r="13" spans="1:9" x14ac:dyDescent="0.25">
      <c r="A13" s="37"/>
      <c r="B13" s="34"/>
      <c r="C13" s="35"/>
      <c r="D13" s="35"/>
      <c r="E13" s="36"/>
      <c r="F13" s="36"/>
      <c r="G13" s="5" t="s">
        <v>89</v>
      </c>
      <c r="H13" s="16">
        <v>1.5366616500000001</v>
      </c>
      <c r="I13" s="17">
        <f t="shared" si="0"/>
        <v>1.5366616500000001</v>
      </c>
    </row>
    <row r="14" spans="1:9" x14ac:dyDescent="0.25">
      <c r="A14" s="37"/>
      <c r="B14" s="34"/>
      <c r="C14" s="35"/>
      <c r="D14" s="35"/>
      <c r="E14" s="36"/>
      <c r="F14" s="36"/>
      <c r="G14" s="5" t="s">
        <v>81</v>
      </c>
      <c r="H14" s="16">
        <v>1.4342175399999999</v>
      </c>
      <c r="I14" s="17">
        <f t="shared" si="0"/>
        <v>1.4342175399999999</v>
      </c>
    </row>
    <row r="15" spans="1:9" x14ac:dyDescent="0.25">
      <c r="A15" s="37"/>
      <c r="B15" s="34"/>
      <c r="C15" s="35"/>
      <c r="D15" s="35"/>
      <c r="E15" s="36"/>
      <c r="F15" s="36"/>
      <c r="G15" s="5" t="s">
        <v>76</v>
      </c>
      <c r="H15" s="16">
        <v>2.0079045559999997</v>
      </c>
      <c r="I15" s="17" t="str">
        <f t="shared" si="0"/>
        <v>Descartado</v>
      </c>
    </row>
    <row r="16" spans="1:9" x14ac:dyDescent="0.25">
      <c r="A16" s="37"/>
      <c r="B16" s="34"/>
      <c r="C16" s="35"/>
      <c r="D16" s="35"/>
      <c r="E16" s="36"/>
      <c r="F16" s="36"/>
      <c r="G16" s="5" t="s">
        <v>55</v>
      </c>
      <c r="H16" s="16">
        <v>2.0181489670000001</v>
      </c>
      <c r="I16" s="17" t="str">
        <f t="shared" si="0"/>
        <v>Descartado</v>
      </c>
    </row>
    <row r="17" spans="1:9" x14ac:dyDescent="0.25">
      <c r="A17" s="37"/>
      <c r="B17" s="34"/>
      <c r="C17" s="35"/>
      <c r="D17" s="35"/>
      <c r="E17" s="36"/>
      <c r="F17" s="36"/>
      <c r="G17" s="5" t="s">
        <v>82</v>
      </c>
      <c r="H17" s="16">
        <v>1.5366616500000001</v>
      </c>
      <c r="I17" s="17">
        <f t="shared" si="0"/>
        <v>1.5366616500000001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0.40855749343011349</v>
      </c>
      <c r="B20" s="8">
        <f>COUNT(H3:H17)</f>
        <v>15</v>
      </c>
      <c r="C20" s="9">
        <f>IF(B20&lt;2,"n/a",(A20/D20))</f>
        <v>0.30263518031860259</v>
      </c>
      <c r="D20" s="10">
        <f>IFERROR(ROUND(AVERAGE(H3:H17),2),"")</f>
        <v>1.35</v>
      </c>
      <c r="E20" s="15">
        <f>IFERROR(ROUND(IF(B20&lt;2,"n/a",(IF(C20&lt;=25%,"n/a",AVERAGE(I3:I17)))),2),"n/a")</f>
        <v>1.25</v>
      </c>
      <c r="F20" s="10">
        <f>IFERROR(ROUND(MEDIAN(H3:H17),2),"")</f>
        <v>1.33</v>
      </c>
      <c r="G20" s="11" t="str">
        <f>IFERROR(INDEX(G3:G17,MATCH(H20,H3:H17,0)),"")</f>
        <v>RB FLEXO LTDA</v>
      </c>
      <c r="H20" s="12">
        <f>F3</f>
        <v>0.60442024899999991</v>
      </c>
    </row>
    <row r="22" spans="1:9" x14ac:dyDescent="0.25">
      <c r="G22" s="13" t="s">
        <v>20</v>
      </c>
      <c r="H22" s="14">
        <f>IF(C20&lt;=25%,D20,MIN(E20:F20))</f>
        <v>1.25</v>
      </c>
    </row>
    <row r="23" spans="1:9" x14ac:dyDescent="0.25">
      <c r="G23" s="13" t="s">
        <v>6</v>
      </c>
      <c r="H23" s="14">
        <f>ROUND(H22,2)*D3</f>
        <v>2500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13</v>
      </c>
      <c r="B3" s="33" t="s">
        <v>142</v>
      </c>
      <c r="C3" s="35" t="s">
        <v>35</v>
      </c>
      <c r="D3" s="35">
        <v>600</v>
      </c>
      <c r="E3" s="36">
        <f>IF(C20&lt;=25%,D20,MIN(E20:F20))</f>
        <v>7.49</v>
      </c>
      <c r="F3" s="36">
        <f>MIN(H3:H17)</f>
        <v>5.5832039949999999</v>
      </c>
      <c r="G3" s="5" t="s">
        <v>109</v>
      </c>
      <c r="H3" s="16">
        <v>9.2199699000000006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66</v>
      </c>
      <c r="H4" s="16">
        <v>6.4232456969999996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89</v>
      </c>
      <c r="H5" s="16">
        <v>8.1955287999999999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88</v>
      </c>
      <c r="H6" s="16">
        <v>7.1710877000000002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46</v>
      </c>
      <c r="H7" s="16">
        <v>8.7999490490000003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110</v>
      </c>
      <c r="H8" s="16">
        <v>5.8802919139999998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87</v>
      </c>
      <c r="H9" s="16">
        <v>6.1466466000000004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111</v>
      </c>
      <c r="H10" s="16">
        <v>5.5832039949999999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 t="s">
        <v>81</v>
      </c>
      <c r="H11" s="16">
        <v>8.1955287999999999</v>
      </c>
      <c r="I11" s="17" t="str">
        <f t="shared" si="0"/>
        <v>n/a</v>
      </c>
    </row>
    <row r="12" spans="1:9" x14ac:dyDescent="0.25">
      <c r="A12" s="37"/>
      <c r="B12" s="34"/>
      <c r="C12" s="35"/>
      <c r="D12" s="35"/>
      <c r="E12" s="36"/>
      <c r="F12" s="36"/>
      <c r="G12" s="5" t="s">
        <v>112</v>
      </c>
      <c r="H12" s="16">
        <v>6.04420249</v>
      </c>
      <c r="I12" s="17" t="str">
        <f t="shared" si="0"/>
        <v>n/a</v>
      </c>
    </row>
    <row r="13" spans="1:9" x14ac:dyDescent="0.25">
      <c r="A13" s="37"/>
      <c r="B13" s="34"/>
      <c r="C13" s="35"/>
      <c r="D13" s="35"/>
      <c r="E13" s="36"/>
      <c r="F13" s="36"/>
      <c r="G13" s="5" t="s">
        <v>113</v>
      </c>
      <c r="H13" s="16">
        <v>7.6833082499999996</v>
      </c>
      <c r="I13" s="17" t="str">
        <f t="shared" si="0"/>
        <v>n/a</v>
      </c>
    </row>
    <row r="14" spans="1:9" x14ac:dyDescent="0.25">
      <c r="A14" s="37"/>
      <c r="B14" s="34"/>
      <c r="C14" s="35"/>
      <c r="D14" s="35"/>
      <c r="E14" s="36"/>
      <c r="F14" s="36"/>
      <c r="G14" s="5" t="s">
        <v>114</v>
      </c>
      <c r="H14" s="16">
        <v>7.4271979750000003</v>
      </c>
      <c r="I14" s="17" t="str">
        <f t="shared" si="0"/>
        <v>n/a</v>
      </c>
    </row>
    <row r="15" spans="1:9" x14ac:dyDescent="0.25">
      <c r="A15" s="37"/>
      <c r="B15" s="34"/>
      <c r="C15" s="35"/>
      <c r="D15" s="35"/>
      <c r="E15" s="36"/>
      <c r="F15" s="36"/>
      <c r="G15" s="5" t="s">
        <v>115</v>
      </c>
      <c r="H15" s="16">
        <v>6.8125333150000005</v>
      </c>
      <c r="I15" s="17" t="str">
        <f t="shared" si="0"/>
        <v>n/a</v>
      </c>
    </row>
    <row r="16" spans="1:9" x14ac:dyDescent="0.25">
      <c r="A16" s="37"/>
      <c r="B16" s="34"/>
      <c r="C16" s="35"/>
      <c r="D16" s="35"/>
      <c r="E16" s="36"/>
      <c r="F16" s="36"/>
      <c r="G16" s="5" t="s">
        <v>53</v>
      </c>
      <c r="H16" s="16">
        <v>9.2199699000000006</v>
      </c>
      <c r="I16" s="17" t="str">
        <f t="shared" si="0"/>
        <v>n/a</v>
      </c>
    </row>
    <row r="17" spans="1:9" x14ac:dyDescent="0.25">
      <c r="A17" s="37"/>
      <c r="B17" s="34"/>
      <c r="C17" s="35"/>
      <c r="D17" s="35"/>
      <c r="E17" s="36"/>
      <c r="F17" s="36"/>
      <c r="G17" s="5" t="s">
        <v>116</v>
      </c>
      <c r="H17" s="16">
        <v>9.6195019290000001</v>
      </c>
      <c r="I17" s="17" t="str">
        <f t="shared" si="0"/>
        <v>n/a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1.3388010165934345</v>
      </c>
      <c r="B20" s="8">
        <f>COUNT(H3:H17)</f>
        <v>15</v>
      </c>
      <c r="C20" s="9">
        <f>IF(B20&lt;2,"n/a",(A20/D20))</f>
        <v>0.17874512905119286</v>
      </c>
      <c r="D20" s="10">
        <f>IFERROR(ROUND(AVERAGE(H3:H17),2),"")</f>
        <v>7.49</v>
      </c>
      <c r="E20" s="15" t="str">
        <f>IFERROR(ROUND(IF(B20&lt;2,"n/a",(IF(C20&lt;=25%,"n/a",AVERAGE(I3:I17)))),2),"n/a")</f>
        <v>n/a</v>
      </c>
      <c r="F20" s="10">
        <f>IFERROR(ROUND(MEDIAN(H3:H17),2),"")</f>
        <v>7.43</v>
      </c>
      <c r="G20" s="11" t="str">
        <f>IFERROR(INDEX(G3:G17,MATCH(H20,H3:H17,0)),"")</f>
        <v>G.SET EDITORA E INDUSTRIA GRAFICA</v>
      </c>
      <c r="H20" s="12">
        <f>F3</f>
        <v>5.5832039949999999</v>
      </c>
    </row>
    <row r="22" spans="1:9" x14ac:dyDescent="0.25">
      <c r="G22" s="13" t="s">
        <v>20</v>
      </c>
      <c r="H22" s="14">
        <f>IF(C20&lt;=25%,D20,MIN(E20:F20))</f>
        <v>7.49</v>
      </c>
    </row>
    <row r="23" spans="1:9" x14ac:dyDescent="0.25">
      <c r="G23" s="13" t="s">
        <v>6</v>
      </c>
      <c r="H23" s="14">
        <f>ROUND(H22,2)*D3</f>
        <v>4494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14</v>
      </c>
      <c r="B3" s="33" t="s">
        <v>143</v>
      </c>
      <c r="C3" s="35" t="s">
        <v>35</v>
      </c>
      <c r="D3" s="35">
        <v>400</v>
      </c>
      <c r="E3" s="36">
        <f>IF(C20&lt;=25%,D20,MIN(E20:F20))</f>
        <v>37.99</v>
      </c>
      <c r="F3" s="36">
        <f>MIN(H3:H17)</f>
        <v>19</v>
      </c>
      <c r="G3" s="5" t="s">
        <v>190</v>
      </c>
      <c r="H3" s="16">
        <v>65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196</v>
      </c>
      <c r="H4" s="16">
        <v>43</v>
      </c>
      <c r="I4" s="17">
        <f t="shared" ref="I4:I17" si="0">IF(H4="","",(IF($C$20&lt;25%,"n/a",IF(H4&lt;=($D$20+$A$20),H4,"Descartado"))))</f>
        <v>43</v>
      </c>
    </row>
    <row r="5" spans="1:9" x14ac:dyDescent="0.25">
      <c r="A5" s="37"/>
      <c r="B5" s="34"/>
      <c r="C5" s="35"/>
      <c r="D5" s="35"/>
      <c r="E5" s="36"/>
      <c r="F5" s="36"/>
      <c r="G5" s="5" t="s">
        <v>185</v>
      </c>
      <c r="H5" s="16">
        <v>29</v>
      </c>
      <c r="I5" s="17">
        <f t="shared" si="0"/>
        <v>29</v>
      </c>
    </row>
    <row r="6" spans="1:9" x14ac:dyDescent="0.25">
      <c r="A6" s="37"/>
      <c r="B6" s="34"/>
      <c r="C6" s="35"/>
      <c r="D6" s="35"/>
      <c r="E6" s="36"/>
      <c r="F6" s="36"/>
      <c r="G6" s="5" t="s">
        <v>191</v>
      </c>
      <c r="H6" s="16">
        <v>65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 t="s">
        <v>192</v>
      </c>
      <c r="H7" s="16">
        <v>19</v>
      </c>
      <c r="I7" s="17">
        <f t="shared" si="0"/>
        <v>19</v>
      </c>
    </row>
    <row r="8" spans="1:9" x14ac:dyDescent="0.25">
      <c r="A8" s="37"/>
      <c r="B8" s="34"/>
      <c r="C8" s="35"/>
      <c r="D8" s="35"/>
      <c r="E8" s="36"/>
      <c r="F8" s="36"/>
      <c r="G8" s="5" t="s">
        <v>186</v>
      </c>
      <c r="H8" s="16">
        <v>40.4</v>
      </c>
      <c r="I8" s="17">
        <f t="shared" si="0"/>
        <v>40.4</v>
      </c>
    </row>
    <row r="9" spans="1:9" x14ac:dyDescent="0.25">
      <c r="A9" s="37"/>
      <c r="B9" s="34"/>
      <c r="C9" s="35"/>
      <c r="D9" s="35"/>
      <c r="E9" s="36"/>
      <c r="F9" s="36"/>
      <c r="G9" s="5" t="s">
        <v>197</v>
      </c>
      <c r="H9" s="16">
        <v>29</v>
      </c>
      <c r="I9" s="17">
        <f t="shared" si="0"/>
        <v>29</v>
      </c>
    </row>
    <row r="10" spans="1:9" x14ac:dyDescent="0.25">
      <c r="A10" s="37"/>
      <c r="B10" s="34"/>
      <c r="C10" s="35"/>
      <c r="D10" s="35"/>
      <c r="E10" s="36"/>
      <c r="F10" s="36"/>
      <c r="G10" s="5" t="s">
        <v>178</v>
      </c>
      <c r="H10" s="16">
        <v>64.900000000000006</v>
      </c>
      <c r="I10" s="17" t="str">
        <f t="shared" si="0"/>
        <v>Descartado</v>
      </c>
    </row>
    <row r="11" spans="1:9" x14ac:dyDescent="0.25">
      <c r="A11" s="37"/>
      <c r="B11" s="34"/>
      <c r="C11" s="35"/>
      <c r="D11" s="35"/>
      <c r="E11" s="36"/>
      <c r="F11" s="36"/>
      <c r="G11" s="5" t="s">
        <v>46</v>
      </c>
      <c r="H11" s="16">
        <v>65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66</v>
      </c>
      <c r="H12" s="16">
        <v>48.3</v>
      </c>
      <c r="I12" s="17">
        <f t="shared" si="0"/>
        <v>48.3</v>
      </c>
    </row>
    <row r="13" spans="1:9" x14ac:dyDescent="0.25">
      <c r="A13" s="37"/>
      <c r="B13" s="34"/>
      <c r="C13" s="35"/>
      <c r="D13" s="35"/>
      <c r="E13" s="36"/>
      <c r="F13" s="36"/>
      <c r="G13" s="5" t="s">
        <v>195</v>
      </c>
      <c r="H13" s="16">
        <v>57.2</v>
      </c>
      <c r="I13" s="17">
        <f t="shared" si="0"/>
        <v>57.2</v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16.97839803986232</v>
      </c>
      <c r="B20" s="8">
        <f>COUNT(H3:H17)</f>
        <v>11</v>
      </c>
      <c r="C20" s="9">
        <f>IF(B20&lt;2,"n/a",(A20/D20))</f>
        <v>0.35519661171260086</v>
      </c>
      <c r="D20" s="10">
        <f>IFERROR(ROUND(AVERAGE(H3:H17),2),"")</f>
        <v>47.8</v>
      </c>
      <c r="E20" s="15">
        <f>IFERROR(ROUND(IF(B20&lt;2,"n/a",(IF(C20&lt;=25%,"n/a",AVERAGE(I3:I17)))),2),"n/a")</f>
        <v>37.99</v>
      </c>
      <c r="F20" s="10">
        <f>IFERROR(ROUND(MEDIAN(H3:H17),2),"")</f>
        <v>48.3</v>
      </c>
      <c r="G20" s="11" t="str">
        <f>IFERROR(INDEX(G3:G17,MATCH(H20,H3:H17,0)),"")</f>
        <v>FIBRA ATACADISTA IMPORTADORA LTDA</v>
      </c>
      <c r="H20" s="12">
        <f>F3</f>
        <v>19</v>
      </c>
    </row>
    <row r="22" spans="1:9" x14ac:dyDescent="0.25">
      <c r="G22" s="13" t="s">
        <v>20</v>
      </c>
      <c r="H22" s="14">
        <f>IF(C20&lt;=25%,D20,MIN(E20:F20))</f>
        <v>37.99</v>
      </c>
    </row>
    <row r="23" spans="1:9" x14ac:dyDescent="0.25">
      <c r="G23" s="13" t="s">
        <v>6</v>
      </c>
      <c r="H23" s="14">
        <f>ROUND(H22,2)*D3</f>
        <v>15196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15</v>
      </c>
      <c r="B3" s="33" t="s">
        <v>144</v>
      </c>
      <c r="C3" s="35" t="s">
        <v>35</v>
      </c>
      <c r="D3" s="35">
        <v>400</v>
      </c>
      <c r="E3" s="36">
        <f>IF(C20&lt;=25%,D20,MIN(E20:F20))</f>
        <v>4.57</v>
      </c>
      <c r="F3" s="36">
        <f>MIN(H3:H17)</f>
        <v>4.3436302640000006</v>
      </c>
      <c r="G3" s="5" t="s">
        <v>78</v>
      </c>
      <c r="H3" s="16">
        <v>4.3436302640000006</v>
      </c>
      <c r="I3" s="17">
        <f>IF(H3="","",(IF($C$20&lt;25%,"n/a",IF(H3&lt;=($D$20+$A$20),H3,"Descartado"))))</f>
        <v>4.3436302640000006</v>
      </c>
    </row>
    <row r="4" spans="1:9" x14ac:dyDescent="0.25">
      <c r="A4" s="37"/>
      <c r="B4" s="34"/>
      <c r="C4" s="35"/>
      <c r="D4" s="35"/>
      <c r="E4" s="36"/>
      <c r="F4" s="36"/>
      <c r="G4" s="5" t="s">
        <v>66</v>
      </c>
      <c r="H4" s="16">
        <v>4.4050967299999995</v>
      </c>
      <c r="I4" s="17">
        <f t="shared" ref="I4:I17" si="0">IF(H4="","",(IF($C$20&lt;25%,"n/a",IF(H4&lt;=($D$20+$A$20),H4,"Descartado"))))</f>
        <v>4.4050967299999995</v>
      </c>
    </row>
    <row r="5" spans="1:9" x14ac:dyDescent="0.25">
      <c r="A5" s="37"/>
      <c r="B5" s="34"/>
      <c r="C5" s="35"/>
      <c r="D5" s="35"/>
      <c r="E5" s="36"/>
      <c r="F5" s="36"/>
      <c r="G5" s="5" t="s">
        <v>103</v>
      </c>
      <c r="H5" s="16">
        <v>4.4358299629999998</v>
      </c>
      <c r="I5" s="17">
        <f t="shared" si="0"/>
        <v>4.4358299629999998</v>
      </c>
    </row>
    <row r="6" spans="1:9" x14ac:dyDescent="0.25">
      <c r="A6" s="37"/>
      <c r="B6" s="34"/>
      <c r="C6" s="35"/>
      <c r="D6" s="35"/>
      <c r="E6" s="36"/>
      <c r="F6" s="36"/>
      <c r="G6" s="5" t="s">
        <v>104</v>
      </c>
      <c r="H6" s="16">
        <v>4.5075408400000008</v>
      </c>
      <c r="I6" s="17">
        <f t="shared" si="0"/>
        <v>4.5075408400000008</v>
      </c>
    </row>
    <row r="7" spans="1:9" x14ac:dyDescent="0.25">
      <c r="A7" s="37"/>
      <c r="B7" s="34"/>
      <c r="C7" s="35"/>
      <c r="D7" s="35"/>
      <c r="E7" s="36"/>
      <c r="F7" s="36"/>
      <c r="G7" s="5" t="s">
        <v>105</v>
      </c>
      <c r="H7" s="16">
        <v>4.5690073059999996</v>
      </c>
      <c r="I7" s="17">
        <f t="shared" si="0"/>
        <v>4.5690073059999996</v>
      </c>
    </row>
    <row r="8" spans="1:9" x14ac:dyDescent="0.25">
      <c r="A8" s="37"/>
      <c r="B8" s="34"/>
      <c r="C8" s="35"/>
      <c r="D8" s="35"/>
      <c r="E8" s="36"/>
      <c r="F8" s="36"/>
      <c r="G8" s="5" t="s">
        <v>61</v>
      </c>
      <c r="H8" s="16">
        <v>4.5690073059999996</v>
      </c>
      <c r="I8" s="17">
        <f t="shared" si="0"/>
        <v>4.5690073059999996</v>
      </c>
    </row>
    <row r="9" spans="1:9" x14ac:dyDescent="0.25">
      <c r="A9" s="37"/>
      <c r="B9" s="34"/>
      <c r="C9" s="35"/>
      <c r="D9" s="35"/>
      <c r="E9" s="36"/>
      <c r="F9" s="36"/>
      <c r="G9" s="5" t="s">
        <v>88</v>
      </c>
      <c r="H9" s="16">
        <v>4.5690073059999996</v>
      </c>
      <c r="I9" s="17">
        <f t="shared" si="0"/>
        <v>4.5690073059999996</v>
      </c>
    </row>
    <row r="10" spans="1:9" x14ac:dyDescent="0.25">
      <c r="A10" s="37"/>
      <c r="B10" s="34"/>
      <c r="C10" s="35"/>
      <c r="D10" s="35"/>
      <c r="E10" s="36"/>
      <c r="F10" s="36"/>
      <c r="G10" s="5" t="s">
        <v>106</v>
      </c>
      <c r="H10" s="16">
        <v>5.1222054999999997</v>
      </c>
      <c r="I10" s="17">
        <f t="shared" si="0"/>
        <v>5.1222054999999997</v>
      </c>
    </row>
    <row r="11" spans="1:9" x14ac:dyDescent="0.25">
      <c r="A11" s="37"/>
      <c r="B11" s="34"/>
      <c r="C11" s="35"/>
      <c r="D11" s="35"/>
      <c r="E11" s="36"/>
      <c r="F11" s="36"/>
      <c r="G11" s="5" t="s">
        <v>107</v>
      </c>
      <c r="H11" s="16">
        <v>10.244410999999999</v>
      </c>
      <c r="I11" s="17">
        <f t="shared" si="0"/>
        <v>10.244410999999999</v>
      </c>
    </row>
    <row r="12" spans="1:9" x14ac:dyDescent="0.25">
      <c r="A12" s="37"/>
      <c r="B12" s="34"/>
      <c r="C12" s="35"/>
      <c r="D12" s="35"/>
      <c r="E12" s="36"/>
      <c r="F12" s="36"/>
      <c r="G12" s="5" t="s">
        <v>52</v>
      </c>
      <c r="H12" s="16">
        <v>10.244410999999999</v>
      </c>
      <c r="I12" s="17">
        <f t="shared" si="0"/>
        <v>10.244410999999999</v>
      </c>
    </row>
    <row r="13" spans="1:9" x14ac:dyDescent="0.25">
      <c r="A13" s="37"/>
      <c r="B13" s="34"/>
      <c r="C13" s="35"/>
      <c r="D13" s="35"/>
      <c r="E13" s="36"/>
      <c r="F13" s="36"/>
      <c r="G13" s="5" t="s">
        <v>108</v>
      </c>
      <c r="H13" s="16">
        <v>51.222054999999997</v>
      </c>
      <c r="I13" s="17" t="str">
        <f t="shared" si="0"/>
        <v>Descartado</v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13.913294621350053</v>
      </c>
      <c r="B20" s="8">
        <f>COUNT(H3:H17)</f>
        <v>11</v>
      </c>
      <c r="C20" s="9">
        <f>IF(B20&lt;2,"n/a",(A20/D20))</f>
        <v>1.4139527054217533</v>
      </c>
      <c r="D20" s="10">
        <f>IFERROR(ROUND(AVERAGE(H3:H17),2),"")</f>
        <v>9.84</v>
      </c>
      <c r="E20" s="15">
        <f>IFERROR(ROUND(IF(B20&lt;2,"n/a",(IF(C20&lt;=25%,"n/a",AVERAGE(I3:I17)))),2),"n/a")</f>
        <v>5.7</v>
      </c>
      <c r="F20" s="10">
        <f>IFERROR(ROUND(MEDIAN(H3:H17),2),"")</f>
        <v>4.57</v>
      </c>
      <c r="G20" s="11" t="str">
        <f>IFERROR(INDEX(G3:G17,MATCH(H20,H3:H17,0)),"")</f>
        <v>INFLUENTE COMUNICACAO E ESTRATEGIA LTDA</v>
      </c>
      <c r="H20" s="12">
        <f>F3</f>
        <v>4.3436302640000006</v>
      </c>
    </row>
    <row r="22" spans="1:9" x14ac:dyDescent="0.25">
      <c r="G22" s="13" t="s">
        <v>20</v>
      </c>
      <c r="H22" s="14">
        <f>IF(C20&lt;=25%,D20,MIN(E20:F20))</f>
        <v>4.57</v>
      </c>
    </row>
    <row r="23" spans="1:9" x14ac:dyDescent="0.25">
      <c r="G23" s="13" t="s">
        <v>6</v>
      </c>
      <c r="H23" s="14">
        <f>ROUND(H22,2)*D3</f>
        <v>1828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1" sqref="H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16</v>
      </c>
      <c r="B3" s="33" t="s">
        <v>145</v>
      </c>
      <c r="C3" s="35" t="s">
        <v>35</v>
      </c>
      <c r="D3" s="35">
        <v>200</v>
      </c>
      <c r="E3" s="36">
        <f>IF(C20&lt;=25%,D20,MIN(E20:F20))</f>
        <v>12.49</v>
      </c>
      <c r="F3" s="36">
        <f>MIN(H3:H17)</f>
        <v>9.5170578189999997</v>
      </c>
      <c r="G3" s="5" t="s">
        <v>124</v>
      </c>
      <c r="H3" s="16">
        <v>9.5170578189999997</v>
      </c>
      <c r="I3" s="17">
        <f>IF(H3="","",(IF($C$20&lt;25%,"n/a",IF(H3&lt;=($D$20+$A$20),H3,"Descartado"))))</f>
        <v>9.5170578189999997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13.215290190000001</v>
      </c>
      <c r="I4" s="17">
        <f t="shared" ref="I4:I17" si="0">IF(H4="","",(IF($C$20&lt;25%,"n/a",IF(H4&lt;=($D$20+$A$20),H4,"Descartado"))))</f>
        <v>13.215290190000001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13.225534601</v>
      </c>
      <c r="I5" s="17">
        <f t="shared" si="0"/>
        <v>13.225534601</v>
      </c>
    </row>
    <row r="6" spans="1:9" x14ac:dyDescent="0.25">
      <c r="A6" s="37"/>
      <c r="B6" s="34"/>
      <c r="C6" s="35"/>
      <c r="D6" s="35"/>
      <c r="E6" s="36"/>
      <c r="F6" s="36"/>
      <c r="G6" s="5" t="s">
        <v>105</v>
      </c>
      <c r="H6" s="16">
        <v>26.748157120999998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 t="s">
        <v>126</v>
      </c>
      <c r="H7" s="16">
        <v>13.737755151</v>
      </c>
      <c r="I7" s="17">
        <f t="shared" si="0"/>
        <v>13.737755151</v>
      </c>
    </row>
    <row r="8" spans="1:9" x14ac:dyDescent="0.25">
      <c r="A8" s="37"/>
      <c r="B8" s="34"/>
      <c r="C8" s="35"/>
      <c r="D8" s="35"/>
      <c r="E8" s="36"/>
      <c r="F8" s="36"/>
      <c r="G8" s="5" t="s">
        <v>74</v>
      </c>
      <c r="H8" s="16">
        <v>12.764536106000001</v>
      </c>
      <c r="I8" s="17">
        <f t="shared" si="0"/>
        <v>12.764536106000001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6.0150124106410336</v>
      </c>
      <c r="B20" s="8">
        <f>COUNT(H3:H17)</f>
        <v>6</v>
      </c>
      <c r="C20" s="9">
        <f>IF(B20&lt;2,"n/a",(A20/D20))</f>
        <v>0.40450655081647841</v>
      </c>
      <c r="D20" s="10">
        <f>IFERROR(ROUND(AVERAGE(H3:H17),2),"")</f>
        <v>14.87</v>
      </c>
      <c r="E20" s="15">
        <f>IFERROR(ROUND(IF(B20&lt;2,"n/a",(IF(C20&lt;=25%,"n/a",AVERAGE(I3:I17)))),2),"n/a")</f>
        <v>12.49</v>
      </c>
      <c r="F20" s="10">
        <f>IFERROR(ROUND(MEDIAN(H3:H17),2),"")</f>
        <v>13.22</v>
      </c>
      <c r="G20" s="11" t="str">
        <f>IFERROR(INDEX(G3:G17,MATCH(H20,H3:H17,0)),"")</f>
        <v>ACDF COMUNICACAO VISUAL E GRAFICA LTDA</v>
      </c>
      <c r="H20" s="12">
        <f>F3</f>
        <v>9.5170578189999997</v>
      </c>
    </row>
    <row r="22" spans="1:9" x14ac:dyDescent="0.25">
      <c r="G22" s="13" t="s">
        <v>20</v>
      </c>
      <c r="H22" s="14">
        <f>IF(C20&lt;=25%,D20,MIN(E20:F20))</f>
        <v>12.49</v>
      </c>
    </row>
    <row r="23" spans="1:9" x14ac:dyDescent="0.25">
      <c r="G23" s="13" t="s">
        <v>6</v>
      </c>
      <c r="H23" s="14">
        <f>ROUND(H22,2)*D3</f>
        <v>2498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17</v>
      </c>
      <c r="B3" s="33" t="s">
        <v>146</v>
      </c>
      <c r="C3" s="35" t="s">
        <v>35</v>
      </c>
      <c r="D3" s="35">
        <v>10000</v>
      </c>
      <c r="E3" s="36">
        <f>IF(C20&lt;=25%,D20,MIN(E20:F20))</f>
        <v>6.12</v>
      </c>
      <c r="F3" s="36">
        <f>MIN(H3:H17)</f>
        <v>3.63</v>
      </c>
      <c r="G3" s="5" t="s">
        <v>74</v>
      </c>
      <c r="H3" s="16">
        <v>3.63</v>
      </c>
      <c r="I3" s="17">
        <f>IF(H3="","",(IF($C$20&lt;25%,"n/a",IF(H3&lt;=($D$20+$A$20),H3,"Descartado"))))</f>
        <v>3.63</v>
      </c>
    </row>
    <row r="4" spans="1:9" x14ac:dyDescent="0.25">
      <c r="A4" s="37"/>
      <c r="B4" s="34"/>
      <c r="C4" s="35"/>
      <c r="D4" s="35"/>
      <c r="E4" s="36"/>
      <c r="F4" s="36"/>
      <c r="G4" s="5" t="s">
        <v>107</v>
      </c>
      <c r="H4" s="16">
        <v>7.9</v>
      </c>
      <c r="I4" s="17">
        <f t="shared" ref="I4:I17" si="0">IF(H4="","",(IF($C$20&lt;25%,"n/a",IF(H4&lt;=($D$20+$A$20),H4,"Descartado"))))</f>
        <v>7.9</v>
      </c>
    </row>
    <row r="5" spans="1:9" x14ac:dyDescent="0.25">
      <c r="A5" s="37"/>
      <c r="B5" s="34"/>
      <c r="C5" s="35"/>
      <c r="D5" s="35"/>
      <c r="E5" s="36"/>
      <c r="F5" s="36"/>
      <c r="G5" s="5" t="s">
        <v>178</v>
      </c>
      <c r="H5" s="16">
        <v>8.25</v>
      </c>
      <c r="I5" s="17">
        <f t="shared" si="0"/>
        <v>8.25</v>
      </c>
    </row>
    <row r="6" spans="1:9" x14ac:dyDescent="0.25">
      <c r="A6" s="37"/>
      <c r="B6" s="34"/>
      <c r="C6" s="35"/>
      <c r="D6" s="35"/>
      <c r="E6" s="36"/>
      <c r="F6" s="36"/>
      <c r="G6" s="5" t="s">
        <v>103</v>
      </c>
      <c r="H6" s="16">
        <v>8.2799999999999994</v>
      </c>
      <c r="I6" s="17">
        <f t="shared" si="0"/>
        <v>8.2799999999999994</v>
      </c>
    </row>
    <row r="7" spans="1:9" x14ac:dyDescent="0.25">
      <c r="A7" s="37"/>
      <c r="B7" s="34"/>
      <c r="C7" s="35"/>
      <c r="D7" s="35"/>
      <c r="E7" s="36"/>
      <c r="F7" s="36"/>
      <c r="G7" s="5" t="s">
        <v>207</v>
      </c>
      <c r="H7" s="16">
        <v>8.2799999999999994</v>
      </c>
      <c r="I7" s="17">
        <f t="shared" si="0"/>
        <v>8.2799999999999994</v>
      </c>
    </row>
    <row r="8" spans="1:9" x14ac:dyDescent="0.25">
      <c r="A8" s="37"/>
      <c r="B8" s="34"/>
      <c r="C8" s="35"/>
      <c r="D8" s="35"/>
      <c r="E8" s="36"/>
      <c r="F8" s="36"/>
      <c r="G8" s="5" t="s">
        <v>123</v>
      </c>
      <c r="H8" s="16">
        <v>4.8</v>
      </c>
      <c r="I8" s="17">
        <f t="shared" si="0"/>
        <v>4.8</v>
      </c>
    </row>
    <row r="9" spans="1:9" x14ac:dyDescent="0.25">
      <c r="A9" s="37"/>
      <c r="B9" s="34"/>
      <c r="C9" s="35"/>
      <c r="D9" s="35"/>
      <c r="E9" s="36"/>
      <c r="F9" s="36"/>
      <c r="G9" s="5" t="s">
        <v>61</v>
      </c>
      <c r="H9" s="16">
        <v>6</v>
      </c>
      <c r="I9" s="17">
        <f t="shared" si="0"/>
        <v>6</v>
      </c>
    </row>
    <row r="10" spans="1:9" x14ac:dyDescent="0.25">
      <c r="A10" s="37"/>
      <c r="B10" s="34"/>
      <c r="C10" s="35"/>
      <c r="D10" s="35"/>
      <c r="E10" s="36"/>
      <c r="F10" s="36"/>
      <c r="G10" s="5" t="s">
        <v>208</v>
      </c>
      <c r="H10" s="16">
        <v>9</v>
      </c>
      <c r="I10" s="17" t="str">
        <f t="shared" si="0"/>
        <v>Descartado</v>
      </c>
    </row>
    <row r="11" spans="1:9" x14ac:dyDescent="0.25">
      <c r="A11" s="37"/>
      <c r="B11" s="34"/>
      <c r="C11" s="35"/>
      <c r="D11" s="35"/>
      <c r="E11" s="36"/>
      <c r="F11" s="36"/>
      <c r="G11" s="5" t="s">
        <v>50</v>
      </c>
      <c r="H11" s="16">
        <v>6.01</v>
      </c>
      <c r="I11" s="17">
        <f t="shared" si="0"/>
        <v>6.01</v>
      </c>
    </row>
    <row r="12" spans="1:9" x14ac:dyDescent="0.25">
      <c r="A12" s="37"/>
      <c r="B12" s="34"/>
      <c r="C12" s="35"/>
      <c r="D12" s="35"/>
      <c r="E12" s="36"/>
      <c r="F12" s="36"/>
      <c r="G12" s="5" t="s">
        <v>209</v>
      </c>
      <c r="H12" s="16">
        <v>5.77</v>
      </c>
      <c r="I12" s="17">
        <f t="shared" si="0"/>
        <v>5.77</v>
      </c>
    </row>
    <row r="13" spans="1:9" x14ac:dyDescent="0.25">
      <c r="A13" s="37"/>
      <c r="B13" s="34"/>
      <c r="C13" s="35"/>
      <c r="D13" s="35"/>
      <c r="E13" s="36"/>
      <c r="F13" s="36"/>
      <c r="G13" s="5" t="s">
        <v>210</v>
      </c>
      <c r="H13" s="16">
        <v>4.95</v>
      </c>
      <c r="I13" s="17">
        <f t="shared" si="0"/>
        <v>4.95</v>
      </c>
    </row>
    <row r="14" spans="1:9" x14ac:dyDescent="0.25">
      <c r="A14" s="37"/>
      <c r="B14" s="34"/>
      <c r="C14" s="35"/>
      <c r="D14" s="35"/>
      <c r="E14" s="36"/>
      <c r="F14" s="36"/>
      <c r="G14" s="5" t="s">
        <v>211</v>
      </c>
      <c r="H14" s="16">
        <v>6.23</v>
      </c>
      <c r="I14" s="17">
        <f t="shared" si="0"/>
        <v>6.23</v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1.7091669067564783</v>
      </c>
      <c r="B20" s="8">
        <f>COUNT(H3:H17)</f>
        <v>12</v>
      </c>
      <c r="C20" s="9">
        <f>IF(B20&lt;2,"n/a",(A20/D20))</f>
        <v>0.25935764897670383</v>
      </c>
      <c r="D20" s="10">
        <f>IFERROR(ROUND(AVERAGE(H3:H17),2),"")</f>
        <v>6.59</v>
      </c>
      <c r="E20" s="15">
        <f>IFERROR(ROUND(IF(B20&lt;2,"n/a",(IF(C20&lt;=25%,"n/a",AVERAGE(I3:I17)))),2),"n/a")</f>
        <v>6.37</v>
      </c>
      <c r="F20" s="10">
        <f>IFERROR(ROUND(MEDIAN(H3:H17),2),"")</f>
        <v>6.12</v>
      </c>
      <c r="G20" s="11" t="str">
        <f>IFERROR(INDEX(G3:G17,MATCH(H20,H3:H17,0)),"")</f>
        <v>GRAFICA E EDITORA ALIANCA LTDA</v>
      </c>
      <c r="H20" s="12">
        <f>F3</f>
        <v>3.63</v>
      </c>
    </row>
    <row r="22" spans="1:9" x14ac:dyDescent="0.25">
      <c r="G22" s="13" t="s">
        <v>20</v>
      </c>
      <c r="H22" s="14">
        <f>IF(C20&lt;=25%,D20,MIN(E20:F20))</f>
        <v>6.12</v>
      </c>
    </row>
    <row r="23" spans="1:9" x14ac:dyDescent="0.25">
      <c r="G23" s="13" t="s">
        <v>6</v>
      </c>
      <c r="H23" s="14">
        <f>ROUND(H22,2)*D3</f>
        <v>61200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18</v>
      </c>
      <c r="B3" s="33" t="s">
        <v>36</v>
      </c>
      <c r="C3" s="35" t="s">
        <v>37</v>
      </c>
      <c r="D3" s="35">
        <f>100*0.25</f>
        <v>25</v>
      </c>
      <c r="E3" s="36">
        <f>IF(C20&lt;=25%,D20,MIN(E20:F20))</f>
        <v>2083.5100000000002</v>
      </c>
      <c r="F3" s="36">
        <f>MIN(H3:H17)</f>
        <v>1408.6065125</v>
      </c>
      <c r="G3" s="5" t="s">
        <v>45</v>
      </c>
      <c r="H3" s="16">
        <v>1408.6065125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46</v>
      </c>
      <c r="H4" s="16">
        <v>1516.172828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47</v>
      </c>
      <c r="H5" s="16">
        <v>1639.1057599999999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48</v>
      </c>
      <c r="H6" s="16">
        <v>1680.083404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49</v>
      </c>
      <c r="H7" s="16">
        <v>1721.061048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50</v>
      </c>
      <c r="H8" s="16">
        <v>1861.4094786999999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51</v>
      </c>
      <c r="H9" s="16">
        <v>1946.4380899999999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52</v>
      </c>
      <c r="H10" s="16">
        <v>2048.8822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 t="s">
        <v>53</v>
      </c>
      <c r="H11" s="16">
        <v>2151.3263099999999</v>
      </c>
      <c r="I11" s="17" t="str">
        <f t="shared" si="0"/>
        <v>n/a</v>
      </c>
    </row>
    <row r="12" spans="1:9" x14ac:dyDescent="0.25">
      <c r="A12" s="37"/>
      <c r="B12" s="34"/>
      <c r="C12" s="35"/>
      <c r="D12" s="35"/>
      <c r="E12" s="36"/>
      <c r="F12" s="36"/>
      <c r="G12" s="5" t="s">
        <v>54</v>
      </c>
      <c r="H12" s="16">
        <v>2182.0595429999998</v>
      </c>
      <c r="I12" s="17" t="str">
        <f t="shared" si="0"/>
        <v>n/a</v>
      </c>
    </row>
    <row r="13" spans="1:9" x14ac:dyDescent="0.25">
      <c r="A13" s="37"/>
      <c r="B13" s="34"/>
      <c r="C13" s="35"/>
      <c r="D13" s="35"/>
      <c r="E13" s="36"/>
      <c r="F13" s="36"/>
      <c r="G13" s="5" t="s">
        <v>55</v>
      </c>
      <c r="H13" s="16">
        <v>2345.9701190000001</v>
      </c>
      <c r="I13" s="17" t="str">
        <f t="shared" si="0"/>
        <v>n/a</v>
      </c>
    </row>
    <row r="14" spans="1:9" x14ac:dyDescent="0.25">
      <c r="A14" s="37"/>
      <c r="B14" s="34"/>
      <c r="C14" s="35"/>
      <c r="D14" s="35"/>
      <c r="E14" s="36"/>
      <c r="F14" s="36"/>
      <c r="G14" s="5" t="s">
        <v>56</v>
      </c>
      <c r="H14" s="16">
        <v>2643.0580380000001</v>
      </c>
      <c r="I14" s="17" t="str">
        <f t="shared" si="0"/>
        <v>n/a</v>
      </c>
    </row>
    <row r="15" spans="1:9" x14ac:dyDescent="0.25">
      <c r="A15" s="37"/>
      <c r="B15" s="34"/>
      <c r="C15" s="35"/>
      <c r="D15" s="35"/>
      <c r="E15" s="36"/>
      <c r="F15" s="36"/>
      <c r="G15" s="5" t="s">
        <v>57</v>
      </c>
      <c r="H15" s="16">
        <v>2653.2922045889995</v>
      </c>
      <c r="I15" s="17" t="str">
        <f t="shared" si="0"/>
        <v>n/a</v>
      </c>
    </row>
    <row r="16" spans="1:9" x14ac:dyDescent="0.25">
      <c r="A16" s="37"/>
      <c r="B16" s="34"/>
      <c r="C16" s="35"/>
      <c r="D16" s="35"/>
      <c r="E16" s="36"/>
      <c r="F16" s="36"/>
      <c r="G16" s="5" t="s">
        <v>58</v>
      </c>
      <c r="H16" s="16">
        <v>2684.0356820000002</v>
      </c>
      <c r="I16" s="17" t="str">
        <f t="shared" si="0"/>
        <v>n/a</v>
      </c>
    </row>
    <row r="17" spans="1:9" x14ac:dyDescent="0.25">
      <c r="A17" s="37"/>
      <c r="B17" s="34"/>
      <c r="C17" s="35"/>
      <c r="D17" s="35"/>
      <c r="E17" s="36"/>
      <c r="F17" s="36"/>
      <c r="G17" s="5" t="s">
        <v>59</v>
      </c>
      <c r="H17" s="16">
        <v>2771.1131755000001</v>
      </c>
      <c r="I17" s="17" t="str">
        <f t="shared" si="0"/>
        <v>n/a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454.55404958973241</v>
      </c>
      <c r="B20" s="8">
        <f>COUNT(H3:H17)</f>
        <v>15</v>
      </c>
      <c r="C20" s="9">
        <f>IF(B20&lt;2,"n/a",(A20/D20))</f>
        <v>0.21816744320388784</v>
      </c>
      <c r="D20" s="10">
        <f>IFERROR(ROUND(AVERAGE(H3:H17),2),"")</f>
        <v>2083.5100000000002</v>
      </c>
      <c r="E20" s="15" t="str">
        <f>IFERROR(ROUND(IF(B20&lt;2,"n/a",(IF(C20&lt;=25%,"n/a",AVERAGE(I3:I17)))),2),"n/a")</f>
        <v>n/a</v>
      </c>
      <c r="F20" s="10">
        <f>IFERROR(ROUND(MEDIAN(H3:H17),2),"")</f>
        <v>2048.88</v>
      </c>
      <c r="G20" s="11" t="str">
        <f>IFERROR(INDEX(G3:G17,MATCH(H20,H3:H17,0)),"")</f>
        <v>GRAFICA E EDITORA JEP LTDA</v>
      </c>
      <c r="H20" s="12">
        <f>F3</f>
        <v>1408.6065125</v>
      </c>
    </row>
    <row r="22" spans="1:9" x14ac:dyDescent="0.25">
      <c r="G22" s="13" t="s">
        <v>20</v>
      </c>
      <c r="H22" s="14">
        <f>IF(C20&lt;=25%,D20,MIN(E20:F20))</f>
        <v>2083.5100000000002</v>
      </c>
    </row>
    <row r="23" spans="1:9" x14ac:dyDescent="0.25">
      <c r="G23" s="13" t="s">
        <v>6</v>
      </c>
      <c r="H23" s="14">
        <f>ROUND(H22,2)*D3</f>
        <v>52087.750000000007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19</v>
      </c>
      <c r="B3" s="33" t="s">
        <v>147</v>
      </c>
      <c r="C3" s="35" t="s">
        <v>7</v>
      </c>
      <c r="D3" s="35">
        <v>8000</v>
      </c>
      <c r="E3" s="36">
        <f>IF(C20&lt;=25%,D20,MIN(E20:F20))</f>
        <v>0.4</v>
      </c>
      <c r="F3" s="36">
        <f>MIN(H3:H17)</f>
        <v>0.133177343</v>
      </c>
      <c r="G3" s="5" t="s">
        <v>124</v>
      </c>
      <c r="H3" s="16">
        <v>0.53270937200000001</v>
      </c>
      <c r="I3" s="17">
        <f>IF(H3="","",(IF($C$20&lt;25%,"n/a",IF(H3&lt;=($D$20+$A$20),H3,"Descartado"))))</f>
        <v>0.53270937200000001</v>
      </c>
    </row>
    <row r="4" spans="1:9" x14ac:dyDescent="0.25">
      <c r="A4" s="37"/>
      <c r="B4" s="34"/>
      <c r="C4" s="35"/>
      <c r="D4" s="35"/>
      <c r="E4" s="36"/>
      <c r="F4" s="36"/>
      <c r="G4" s="5" t="s">
        <v>125</v>
      </c>
      <c r="H4" s="16">
        <v>2.1103486660000002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7"/>
      <c r="B5" s="34"/>
      <c r="C5" s="35"/>
      <c r="D5" s="35"/>
      <c r="E5" s="36"/>
      <c r="F5" s="36"/>
      <c r="G5" s="5" t="s">
        <v>126</v>
      </c>
      <c r="H5" s="16">
        <v>0.53270937200000001</v>
      </c>
      <c r="I5" s="17">
        <f t="shared" si="0"/>
        <v>0.53270937200000001</v>
      </c>
    </row>
    <row r="6" spans="1:9" x14ac:dyDescent="0.25">
      <c r="A6" s="37"/>
      <c r="B6" s="34"/>
      <c r="C6" s="35"/>
      <c r="D6" s="35"/>
      <c r="E6" s="36"/>
      <c r="F6" s="36"/>
      <c r="G6" s="5" t="s">
        <v>127</v>
      </c>
      <c r="H6" s="16">
        <v>0.133177343</v>
      </c>
      <c r="I6" s="17">
        <f t="shared" si="0"/>
        <v>0.133177343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0.87589714050000012</v>
      </c>
      <c r="B20" s="8">
        <f>COUNT(H3:H17)</f>
        <v>4</v>
      </c>
      <c r="C20" s="9">
        <f>IF(B20&lt;2,"n/a",(A20/D20))</f>
        <v>1.0552977596385544</v>
      </c>
      <c r="D20" s="10">
        <f>IFERROR(ROUND(AVERAGE(H3:H17),2),"")</f>
        <v>0.83</v>
      </c>
      <c r="E20" s="15">
        <f>IFERROR(ROUND(IF(B20&lt;2,"n/a",(IF(C20&lt;=25%,"n/a",AVERAGE(I3:I17)))),2),"n/a")</f>
        <v>0.4</v>
      </c>
      <c r="F20" s="10">
        <f>IFERROR(ROUND(MEDIAN(H3:H17),2),"")</f>
        <v>0.53</v>
      </c>
      <c r="G20" s="11" t="str">
        <f>IFERROR(INDEX(G3:G17,MATCH(H20,H3:H17,0)),"")</f>
        <v>GRAFICA E EDITORA LICEU LTDA</v>
      </c>
      <c r="H20" s="12">
        <f>F3</f>
        <v>0.133177343</v>
      </c>
    </row>
    <row r="22" spans="1:9" x14ac:dyDescent="0.25">
      <c r="G22" s="13" t="s">
        <v>20</v>
      </c>
      <c r="H22" s="14">
        <f>IF(C20&lt;=25%,D20,MIN(E20:F20))</f>
        <v>0.4</v>
      </c>
    </row>
    <row r="23" spans="1:9" x14ac:dyDescent="0.25">
      <c r="G23" s="13" t="s">
        <v>6</v>
      </c>
      <c r="H23" s="14">
        <f>ROUND(H22,2)*D3</f>
        <v>3200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2</v>
      </c>
      <c r="B3" s="33" t="s">
        <v>131</v>
      </c>
      <c r="C3" s="35" t="s">
        <v>35</v>
      </c>
      <c r="D3" s="35">
        <v>1000</v>
      </c>
      <c r="E3" s="36">
        <f>IF(C20&lt;=25%,D20,MIN(E20:F20))</f>
        <v>32</v>
      </c>
      <c r="F3" s="36">
        <f>MIN(H3:H17)</f>
        <v>27</v>
      </c>
      <c r="G3" s="5" t="s">
        <v>183</v>
      </c>
      <c r="H3" s="16">
        <v>33</v>
      </c>
      <c r="I3" s="17">
        <f>IF(H3="","",(IF($C$20&lt;25%,"n/a",IF(H3&lt;=($D$20+$A$20),H3,"Descartado"))))</f>
        <v>33</v>
      </c>
    </row>
    <row r="4" spans="1:9" x14ac:dyDescent="0.25">
      <c r="A4" s="37"/>
      <c r="B4" s="34"/>
      <c r="C4" s="35"/>
      <c r="D4" s="35"/>
      <c r="E4" s="36"/>
      <c r="F4" s="36"/>
      <c r="G4" s="5" t="s">
        <v>124</v>
      </c>
      <c r="H4" s="16">
        <v>29</v>
      </c>
      <c r="I4" s="17">
        <f t="shared" ref="I4:I17" si="0">IF(H4="","",(IF($C$20&lt;25%,"n/a",IF(H4&lt;=($D$20+$A$20),H4,"Descartado"))))</f>
        <v>29</v>
      </c>
    </row>
    <row r="5" spans="1:9" x14ac:dyDescent="0.25">
      <c r="A5" s="37"/>
      <c r="B5" s="34"/>
      <c r="C5" s="35"/>
      <c r="D5" s="35"/>
      <c r="E5" s="36"/>
      <c r="F5" s="36"/>
      <c r="G5" s="5" t="s">
        <v>184</v>
      </c>
      <c r="H5" s="16">
        <v>28</v>
      </c>
      <c r="I5" s="17">
        <f t="shared" si="0"/>
        <v>28</v>
      </c>
    </row>
    <row r="6" spans="1:9" x14ac:dyDescent="0.25">
      <c r="A6" s="37"/>
      <c r="B6" s="34"/>
      <c r="C6" s="35"/>
      <c r="D6" s="35"/>
      <c r="E6" s="36"/>
      <c r="F6" s="36"/>
      <c r="G6" s="5" t="s">
        <v>185</v>
      </c>
      <c r="H6" s="16">
        <v>27</v>
      </c>
      <c r="I6" s="17">
        <f t="shared" si="0"/>
        <v>27</v>
      </c>
    </row>
    <row r="7" spans="1:9" x14ac:dyDescent="0.25">
      <c r="A7" s="37"/>
      <c r="B7" s="34"/>
      <c r="C7" s="35"/>
      <c r="D7" s="35"/>
      <c r="E7" s="36"/>
      <c r="F7" s="36"/>
      <c r="G7" s="5" t="s">
        <v>186</v>
      </c>
      <c r="H7" s="16">
        <v>40</v>
      </c>
      <c r="I7" s="17">
        <f t="shared" si="0"/>
        <v>40</v>
      </c>
    </row>
    <row r="8" spans="1:9" x14ac:dyDescent="0.25">
      <c r="A8" s="37"/>
      <c r="B8" s="34"/>
      <c r="C8" s="35"/>
      <c r="D8" s="35"/>
      <c r="E8" s="36"/>
      <c r="F8" s="36"/>
      <c r="G8" s="5" t="s">
        <v>61</v>
      </c>
      <c r="H8" s="16">
        <v>31.5</v>
      </c>
      <c r="I8" s="17">
        <f t="shared" si="0"/>
        <v>31.5</v>
      </c>
    </row>
    <row r="9" spans="1:9" x14ac:dyDescent="0.25">
      <c r="A9" s="37"/>
      <c r="B9" s="34"/>
      <c r="C9" s="35"/>
      <c r="D9" s="35"/>
      <c r="E9" s="36"/>
      <c r="F9" s="36"/>
      <c r="G9" s="5" t="s">
        <v>187</v>
      </c>
      <c r="H9" s="16">
        <v>32</v>
      </c>
      <c r="I9" s="17">
        <f t="shared" si="0"/>
        <v>32</v>
      </c>
    </row>
    <row r="10" spans="1:9" x14ac:dyDescent="0.25">
      <c r="A10" s="37"/>
      <c r="B10" s="34"/>
      <c r="C10" s="35"/>
      <c r="D10" s="35"/>
      <c r="E10" s="36"/>
      <c r="F10" s="36"/>
      <c r="G10" s="5" t="s">
        <v>121</v>
      </c>
      <c r="H10" s="16">
        <v>31.2</v>
      </c>
      <c r="I10" s="17">
        <f t="shared" si="0"/>
        <v>31.2</v>
      </c>
    </row>
    <row r="11" spans="1:9" x14ac:dyDescent="0.25">
      <c r="A11" s="37"/>
      <c r="B11" s="34"/>
      <c r="C11" s="35"/>
      <c r="D11" s="35"/>
      <c r="E11" s="36"/>
      <c r="F11" s="36"/>
      <c r="G11" s="5" t="s">
        <v>188</v>
      </c>
      <c r="H11" s="16">
        <v>100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89</v>
      </c>
      <c r="H12" s="16">
        <v>35</v>
      </c>
      <c r="I12" s="17">
        <f t="shared" si="0"/>
        <v>35</v>
      </c>
    </row>
    <row r="13" spans="1:9" x14ac:dyDescent="0.25">
      <c r="A13" s="37"/>
      <c r="B13" s="34"/>
      <c r="C13" s="35"/>
      <c r="D13" s="35"/>
      <c r="E13" s="36"/>
      <c r="F13" s="36"/>
      <c r="G13" s="5" t="s">
        <v>189</v>
      </c>
      <c r="H13" s="16">
        <v>35</v>
      </c>
      <c r="I13" s="17">
        <f t="shared" si="0"/>
        <v>35</v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20.775575694900621</v>
      </c>
      <c r="B20" s="8">
        <f>COUNT(H3:H17)</f>
        <v>11</v>
      </c>
      <c r="C20" s="9">
        <f>IF(B20&lt;2,"n/a",(A20/D20))</f>
        <v>0.54187730033647941</v>
      </c>
      <c r="D20" s="10">
        <f>IFERROR(ROUND(AVERAGE(H3:H17),2),"")</f>
        <v>38.340000000000003</v>
      </c>
      <c r="E20" s="15">
        <f>IFERROR(ROUND(IF(B20&lt;2,"n/a",(IF(C20&lt;=25%,"n/a",AVERAGE(I3:I17)))),2),"n/a")</f>
        <v>32.17</v>
      </c>
      <c r="F20" s="10">
        <f>IFERROR(ROUND(MEDIAN(H3:H17),2),"")</f>
        <v>32</v>
      </c>
      <c r="G20" s="11" t="str">
        <f>IFERROR(INDEX(G3:G17,MATCH(H20,H3:H17,0)),"")</f>
        <v>CROMOS EDITORA E INDUSTRIA GRAFICA LTDA</v>
      </c>
      <c r="H20" s="12">
        <f>F3</f>
        <v>27</v>
      </c>
    </row>
    <row r="22" spans="1:9" x14ac:dyDescent="0.25">
      <c r="G22" s="13" t="s">
        <v>20</v>
      </c>
      <c r="H22" s="14">
        <f>IF(C20&lt;=25%,D20,MIN(E20:F20))</f>
        <v>32</v>
      </c>
    </row>
    <row r="23" spans="1:9" x14ac:dyDescent="0.25">
      <c r="G23" s="13" t="s">
        <v>6</v>
      </c>
      <c r="H23" s="14">
        <f>ROUND(H22,2)*D3</f>
        <v>32000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20</v>
      </c>
      <c r="B3" s="33" t="s">
        <v>148</v>
      </c>
      <c r="C3" s="35" t="s">
        <v>7</v>
      </c>
      <c r="D3" s="35">
        <v>3000</v>
      </c>
      <c r="E3" s="36">
        <f>IF(C20&lt;=25%,D20,MIN(E20:F20))</f>
        <v>0.45</v>
      </c>
      <c r="F3" s="36">
        <f>MIN(H3:H17)</f>
        <v>0.389287618</v>
      </c>
      <c r="G3" s="5" t="s">
        <v>64</v>
      </c>
      <c r="H3" s="16">
        <v>0.43026526199999998</v>
      </c>
      <c r="I3" s="17">
        <f>IF(H3="","",(IF($C$20&lt;25%,"n/a",IF(H3&lt;=($D$20+$A$20),H3,"Descartado"))))</f>
        <v>0.43026526199999998</v>
      </c>
    </row>
    <row r="4" spans="1:9" x14ac:dyDescent="0.25">
      <c r="A4" s="37"/>
      <c r="B4" s="34"/>
      <c r="C4" s="35"/>
      <c r="D4" s="35"/>
      <c r="E4" s="36"/>
      <c r="F4" s="36"/>
      <c r="G4" s="5" t="s">
        <v>125</v>
      </c>
      <c r="H4" s="16">
        <v>2.1103486660000002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7"/>
      <c r="B5" s="34"/>
      <c r="C5" s="35"/>
      <c r="D5" s="35"/>
      <c r="E5" s="36"/>
      <c r="F5" s="36"/>
      <c r="G5" s="5" t="s">
        <v>126</v>
      </c>
      <c r="H5" s="16">
        <v>0.53270937200000001</v>
      </c>
      <c r="I5" s="17">
        <f t="shared" si="0"/>
        <v>0.53270937200000001</v>
      </c>
    </row>
    <row r="6" spans="1:9" x14ac:dyDescent="0.25">
      <c r="A6" s="37"/>
      <c r="B6" s="34"/>
      <c r="C6" s="35"/>
      <c r="D6" s="35"/>
      <c r="E6" s="36"/>
      <c r="F6" s="36"/>
      <c r="G6" s="5" t="s">
        <v>127</v>
      </c>
      <c r="H6" s="16">
        <v>0.389287618</v>
      </c>
      <c r="I6" s="17">
        <f t="shared" si="0"/>
        <v>0.389287618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0.83198662247928323</v>
      </c>
      <c r="B20" s="8">
        <f>COUNT(H3:H17)</f>
        <v>4</v>
      </c>
      <c r="C20" s="9">
        <f>IF(B20&lt;2,"n/a",(A20/D20))</f>
        <v>0.95630646261986574</v>
      </c>
      <c r="D20" s="10">
        <f>IFERROR(ROUND(AVERAGE(H3:H17),2),"")</f>
        <v>0.87</v>
      </c>
      <c r="E20" s="15">
        <f>IFERROR(ROUND(IF(B20&lt;2,"n/a",(IF(C20&lt;=25%,"n/a",AVERAGE(I3:I17)))),2),"n/a")</f>
        <v>0.45</v>
      </c>
      <c r="F20" s="10">
        <f>IFERROR(ROUND(MEDIAN(H3:H17),2),"")</f>
        <v>0.48</v>
      </c>
      <c r="G20" s="11" t="str">
        <f>IFERROR(INDEX(G3:G17,MATCH(H20,H3:H17,0)),"")</f>
        <v>GRAFICA E EDITORA LICEU LTDA</v>
      </c>
      <c r="H20" s="12">
        <f>F3</f>
        <v>0.389287618</v>
      </c>
    </row>
    <row r="22" spans="1:9" x14ac:dyDescent="0.25">
      <c r="G22" s="13" t="s">
        <v>20</v>
      </c>
      <c r="H22" s="14">
        <f>IF(C20&lt;=25%,D20,MIN(E20:F20))</f>
        <v>0.45</v>
      </c>
    </row>
    <row r="23" spans="1:9" x14ac:dyDescent="0.25">
      <c r="G23" s="13" t="s">
        <v>6</v>
      </c>
      <c r="H23" s="14">
        <f>ROUND(H22,2)*D3</f>
        <v>1350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1" sqref="H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21</v>
      </c>
      <c r="B3" s="33" t="s">
        <v>149</v>
      </c>
      <c r="C3" s="35" t="s">
        <v>35</v>
      </c>
      <c r="D3" s="35">
        <v>1000</v>
      </c>
      <c r="E3" s="36">
        <f>IF(C20&lt;=25%,D20,MIN(E20:F20))</f>
        <v>0.61</v>
      </c>
      <c r="F3" s="36">
        <f>MIN(H3:H17)</f>
        <v>0.5634426050000001</v>
      </c>
      <c r="G3" s="5" t="s">
        <v>97</v>
      </c>
      <c r="H3" s="16">
        <v>0.5634426050000001</v>
      </c>
      <c r="I3" s="17">
        <f>IF(H3="","",(IF($C$20&lt;25%,"n/a",IF(H3&lt;=($D$20+$A$20),H3,"Descartado"))))</f>
        <v>0.5634426050000001</v>
      </c>
    </row>
    <row r="4" spans="1:9" x14ac:dyDescent="0.25">
      <c r="A4" s="37"/>
      <c r="B4" s="34"/>
      <c r="C4" s="35"/>
      <c r="D4" s="35"/>
      <c r="E4" s="36"/>
      <c r="F4" s="36"/>
      <c r="G4" s="5" t="s">
        <v>98</v>
      </c>
      <c r="H4" s="16">
        <v>0.60442024899999991</v>
      </c>
      <c r="I4" s="17">
        <f t="shared" ref="I4:I17" si="0">IF(H4="","",(IF($C$20&lt;25%,"n/a",IF(H4&lt;=($D$20+$A$20),H4,"Descartado"))))</f>
        <v>0.60442024899999991</v>
      </c>
    </row>
    <row r="5" spans="1:9" x14ac:dyDescent="0.25">
      <c r="A5" s="37"/>
      <c r="B5" s="34"/>
      <c r="C5" s="35"/>
      <c r="D5" s="35"/>
      <c r="E5" s="36"/>
      <c r="F5" s="36"/>
      <c r="G5" s="5" t="s">
        <v>99</v>
      </c>
      <c r="H5" s="16">
        <v>0.92199699000000002</v>
      </c>
      <c r="I5" s="17">
        <f t="shared" si="0"/>
        <v>0.92199699000000002</v>
      </c>
    </row>
    <row r="6" spans="1:9" x14ac:dyDescent="0.25">
      <c r="A6" s="37"/>
      <c r="B6" s="34"/>
      <c r="C6" s="35"/>
      <c r="D6" s="35"/>
      <c r="E6" s="36"/>
      <c r="F6" s="36"/>
      <c r="G6" s="5" t="s">
        <v>100</v>
      </c>
      <c r="H6" s="16">
        <v>0.61466465999999997</v>
      </c>
      <c r="I6" s="17">
        <f t="shared" si="0"/>
        <v>0.61466465999999997</v>
      </c>
    </row>
    <row r="7" spans="1:9" x14ac:dyDescent="0.25">
      <c r="A7" s="37"/>
      <c r="B7" s="34"/>
      <c r="C7" s="35"/>
      <c r="D7" s="35"/>
      <c r="E7" s="36"/>
      <c r="F7" s="36"/>
      <c r="G7" s="5" t="s">
        <v>101</v>
      </c>
      <c r="H7" s="16">
        <v>1.270306964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 t="s">
        <v>102</v>
      </c>
      <c r="H8" s="16">
        <v>0.60442024899999991</v>
      </c>
      <c r="I8" s="17">
        <f t="shared" si="0"/>
        <v>0.60442024899999991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0.28098460429921368</v>
      </c>
      <c r="B20" s="8">
        <f>COUNT(H3:H17)</f>
        <v>6</v>
      </c>
      <c r="C20" s="9">
        <f>IF(B20&lt;2,"n/a",(A20/D20))</f>
        <v>0.36971658460422852</v>
      </c>
      <c r="D20" s="10">
        <f>IFERROR(ROUND(AVERAGE(H3:H17),2),"")</f>
        <v>0.76</v>
      </c>
      <c r="E20" s="15">
        <f>IFERROR(ROUND(IF(B20&lt;2,"n/a",(IF(C20&lt;=25%,"n/a",AVERAGE(I3:I17)))),2),"n/a")</f>
        <v>0.66</v>
      </c>
      <c r="F20" s="10">
        <f>IFERROR(ROUND(MEDIAN(H3:H17),2),"")</f>
        <v>0.61</v>
      </c>
      <c r="G20" s="11" t="str">
        <f>IFERROR(INDEX(G3:G17,MATCH(H20,H3:H17,0)),"")</f>
        <v>CARINE POLETTO FONTANA LTDA</v>
      </c>
      <c r="H20" s="12">
        <f>F3</f>
        <v>0.5634426050000001</v>
      </c>
    </row>
    <row r="22" spans="1:9" x14ac:dyDescent="0.25">
      <c r="G22" s="13" t="s">
        <v>20</v>
      </c>
      <c r="H22" s="14">
        <f>IF(C20&lt;=25%,D20,MIN(E20:F20))</f>
        <v>0.61</v>
      </c>
    </row>
    <row r="23" spans="1:9" x14ac:dyDescent="0.25">
      <c r="G23" s="13" t="s">
        <v>6</v>
      </c>
      <c r="H23" s="14">
        <f>ROUND(H22,2)*D3</f>
        <v>610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22</v>
      </c>
      <c r="B3" s="33" t="s">
        <v>150</v>
      </c>
      <c r="C3" s="35" t="s">
        <v>35</v>
      </c>
      <c r="D3" s="35">
        <v>4000</v>
      </c>
      <c r="E3" s="36">
        <f>IF(C20&lt;=25%,D20,MIN(E20:F20))</f>
        <v>2.68</v>
      </c>
      <c r="F3" s="36">
        <f>MIN(H3:H17)</f>
        <v>1.4751951839999999</v>
      </c>
      <c r="G3" s="5" t="s">
        <v>53</v>
      </c>
      <c r="H3" s="16">
        <v>2.8684350799999998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52</v>
      </c>
      <c r="H4" s="16">
        <v>2.0488822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76</v>
      </c>
      <c r="H5" s="16">
        <v>3.0733233000000002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73</v>
      </c>
      <c r="H6" s="16">
        <v>2.1001042549999998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46</v>
      </c>
      <c r="H7" s="16">
        <v>1.4751951839999999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68</v>
      </c>
      <c r="H8" s="16">
        <v>2.0488822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77</v>
      </c>
      <c r="H9" s="16">
        <v>3.0835677109999997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78</v>
      </c>
      <c r="H10" s="16">
        <v>2.9708791899999998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 t="s">
        <v>66</v>
      </c>
      <c r="H11" s="16">
        <v>2.2025483649999997</v>
      </c>
      <c r="I11" s="17" t="str">
        <f t="shared" si="0"/>
        <v>n/a</v>
      </c>
    </row>
    <row r="12" spans="1:9" x14ac:dyDescent="0.25">
      <c r="A12" s="37"/>
      <c r="B12" s="34"/>
      <c r="C12" s="35"/>
      <c r="D12" s="35"/>
      <c r="E12" s="36"/>
      <c r="F12" s="36"/>
      <c r="G12" s="5" t="s">
        <v>69</v>
      </c>
      <c r="H12" s="16">
        <v>3.0835677109999997</v>
      </c>
      <c r="I12" s="17" t="str">
        <f t="shared" si="0"/>
        <v>n/a</v>
      </c>
    </row>
    <row r="13" spans="1:9" x14ac:dyDescent="0.25">
      <c r="A13" s="37"/>
      <c r="B13" s="34"/>
      <c r="C13" s="35"/>
      <c r="D13" s="35"/>
      <c r="E13" s="36"/>
      <c r="F13" s="36"/>
      <c r="G13" s="5" t="s">
        <v>79</v>
      </c>
      <c r="H13" s="16">
        <v>3.0733233000000002</v>
      </c>
      <c r="I13" s="17" t="str">
        <f t="shared" si="0"/>
        <v>n/a</v>
      </c>
    </row>
    <row r="14" spans="1:9" x14ac:dyDescent="0.25">
      <c r="A14" s="37"/>
      <c r="B14" s="34"/>
      <c r="C14" s="35"/>
      <c r="D14" s="35"/>
      <c r="E14" s="36"/>
      <c r="F14" s="36"/>
      <c r="G14" s="5" t="s">
        <v>80</v>
      </c>
      <c r="H14" s="16">
        <v>2.9708791899999998</v>
      </c>
      <c r="I14" s="17" t="str">
        <f t="shared" si="0"/>
        <v>n/a</v>
      </c>
    </row>
    <row r="15" spans="1:9" x14ac:dyDescent="0.25">
      <c r="A15" s="37"/>
      <c r="B15" s="34"/>
      <c r="C15" s="35"/>
      <c r="D15" s="35"/>
      <c r="E15" s="36"/>
      <c r="F15" s="36"/>
      <c r="G15" s="5" t="s">
        <v>81</v>
      </c>
      <c r="H15" s="16">
        <v>3.0835677109999997</v>
      </c>
      <c r="I15" s="17" t="str">
        <f t="shared" si="0"/>
        <v>n/a</v>
      </c>
    </row>
    <row r="16" spans="1:9" x14ac:dyDescent="0.25">
      <c r="A16" s="37"/>
      <c r="B16" s="34"/>
      <c r="C16" s="35"/>
      <c r="D16" s="35"/>
      <c r="E16" s="36"/>
      <c r="F16" s="36"/>
      <c r="G16" s="5" t="s">
        <v>82</v>
      </c>
      <c r="H16" s="16">
        <v>2.9708791899999998</v>
      </c>
      <c r="I16" s="17" t="str">
        <f t="shared" si="0"/>
        <v>n/a</v>
      </c>
    </row>
    <row r="17" spans="1:9" x14ac:dyDescent="0.25">
      <c r="A17" s="37"/>
      <c r="B17" s="34"/>
      <c r="C17" s="35"/>
      <c r="D17" s="35"/>
      <c r="E17" s="36"/>
      <c r="F17" s="36"/>
      <c r="G17" s="5" t="s">
        <v>83</v>
      </c>
      <c r="H17" s="16">
        <v>3.0835677109999997</v>
      </c>
      <c r="I17" s="17" t="str">
        <f t="shared" si="0"/>
        <v>n/a</v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0.53867346911221881</v>
      </c>
      <c r="B20" s="8">
        <f>COUNT(H3:H17)</f>
        <v>15</v>
      </c>
      <c r="C20" s="9">
        <f>IF(B20&lt;2,"n/a",(A20/D20))</f>
        <v>0.20099756310157416</v>
      </c>
      <c r="D20" s="10">
        <f>IFERROR(ROUND(AVERAGE(H3:H17),2),"")</f>
        <v>2.68</v>
      </c>
      <c r="E20" s="15" t="str">
        <f>IFERROR(ROUND(IF(B20&lt;2,"n/a",(IF(C20&lt;=25%,"n/a",AVERAGE(I3:I17)))),2),"n/a")</f>
        <v>n/a</v>
      </c>
      <c r="F20" s="10">
        <f>IFERROR(ROUND(MEDIAN(H3:H17),2),"")</f>
        <v>2.97</v>
      </c>
      <c r="G20" s="11" t="str">
        <f>IFERROR(INDEX(G3:G17,MATCH(H20,H3:H17,0)),"")</f>
        <v>RB FLEXO LTDA</v>
      </c>
      <c r="H20" s="12">
        <f>F3</f>
        <v>1.4751951839999999</v>
      </c>
    </row>
    <row r="22" spans="1:9" x14ac:dyDescent="0.25">
      <c r="G22" s="13" t="s">
        <v>20</v>
      </c>
      <c r="H22" s="14">
        <f>IF(C20&lt;=25%,D20,MIN(E20:F20))</f>
        <v>2.68</v>
      </c>
    </row>
    <row r="23" spans="1:9" x14ac:dyDescent="0.25">
      <c r="G23" s="13" t="s">
        <v>6</v>
      </c>
      <c r="H23" s="14">
        <f>ROUND(H22,2)*D3</f>
        <v>10720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23</v>
      </c>
      <c r="B3" s="33" t="s">
        <v>151</v>
      </c>
      <c r="C3" s="35" t="s">
        <v>35</v>
      </c>
      <c r="D3" s="35">
        <v>10000</v>
      </c>
      <c r="E3" s="36">
        <f>IF(C20&lt;=25%,D20,MIN(E20:F20))</f>
        <v>2.0299999999999998</v>
      </c>
      <c r="F3" s="36">
        <f>MIN(H3:H17)</f>
        <v>1.5366616500000001</v>
      </c>
      <c r="G3" s="5" t="s">
        <v>53</v>
      </c>
      <c r="H3" s="16">
        <v>1.7415498699999998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52</v>
      </c>
      <c r="H4" s="16">
        <v>2.15132631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76</v>
      </c>
      <c r="H5" s="16">
        <v>2.15132631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73</v>
      </c>
      <c r="H6" s="16">
        <v>1.6391057600000001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46</v>
      </c>
      <c r="H7" s="16">
        <v>2.1615707209999999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68</v>
      </c>
      <c r="H8" s="16">
        <v>2.0488822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77</v>
      </c>
      <c r="H9" s="16">
        <v>1.5366616500000001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78</v>
      </c>
      <c r="H10" s="16">
        <v>2.1615707209999999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 t="s">
        <v>66</v>
      </c>
      <c r="H11" s="16">
        <v>1.997660145</v>
      </c>
      <c r="I11" s="17" t="str">
        <f t="shared" si="0"/>
        <v>n/a</v>
      </c>
    </row>
    <row r="12" spans="1:9" x14ac:dyDescent="0.25">
      <c r="A12" s="37"/>
      <c r="B12" s="34"/>
      <c r="C12" s="35"/>
      <c r="D12" s="35"/>
      <c r="E12" s="36"/>
      <c r="F12" s="36"/>
      <c r="G12" s="5" t="s">
        <v>69</v>
      </c>
      <c r="H12" s="16">
        <v>2.1615707209999999</v>
      </c>
      <c r="I12" s="17" t="str">
        <f t="shared" si="0"/>
        <v>n/a</v>
      </c>
    </row>
    <row r="13" spans="1:9" x14ac:dyDescent="0.25">
      <c r="A13" s="37"/>
      <c r="B13" s="34"/>
      <c r="C13" s="35"/>
      <c r="D13" s="35"/>
      <c r="E13" s="36"/>
      <c r="F13" s="36"/>
      <c r="G13" s="5" t="s">
        <v>79</v>
      </c>
      <c r="H13" s="16">
        <v>2.0488822</v>
      </c>
      <c r="I13" s="17" t="str">
        <f t="shared" si="0"/>
        <v>n/a</v>
      </c>
    </row>
    <row r="14" spans="1:9" x14ac:dyDescent="0.25">
      <c r="A14" s="37"/>
      <c r="B14" s="34"/>
      <c r="C14" s="35"/>
      <c r="D14" s="35"/>
      <c r="E14" s="36"/>
      <c r="F14" s="36"/>
      <c r="G14" s="5" t="s">
        <v>80</v>
      </c>
      <c r="H14" s="16">
        <v>2.1615707209999999</v>
      </c>
      <c r="I14" s="17" t="str">
        <f t="shared" si="0"/>
        <v>n/a</v>
      </c>
    </row>
    <row r="15" spans="1:9" x14ac:dyDescent="0.25">
      <c r="A15" s="37"/>
      <c r="B15" s="34"/>
      <c r="C15" s="35"/>
      <c r="D15" s="35"/>
      <c r="E15" s="36"/>
      <c r="F15" s="36"/>
      <c r="G15" s="5" t="s">
        <v>81</v>
      </c>
      <c r="H15" s="16">
        <v>2.1615707209999999</v>
      </c>
      <c r="I15" s="17" t="str">
        <f t="shared" si="0"/>
        <v>n/a</v>
      </c>
    </row>
    <row r="16" spans="1:9" x14ac:dyDescent="0.25">
      <c r="A16" s="37"/>
      <c r="B16" s="34"/>
      <c r="C16" s="35"/>
      <c r="D16" s="35"/>
      <c r="E16" s="36"/>
      <c r="F16" s="36"/>
      <c r="G16" s="5" t="s">
        <v>82</v>
      </c>
      <c r="H16" s="16">
        <v>2.15132631</v>
      </c>
      <c r="I16" s="17" t="str">
        <f t="shared" si="0"/>
        <v>n/a</v>
      </c>
    </row>
    <row r="17" spans="1:9" x14ac:dyDescent="0.25">
      <c r="A17" s="37"/>
      <c r="B17" s="34"/>
      <c r="C17" s="35"/>
      <c r="D17" s="35"/>
      <c r="E17" s="36"/>
      <c r="F17" s="36"/>
      <c r="G17" s="5" t="s">
        <v>83</v>
      </c>
      <c r="H17" s="16">
        <v>2.1615707209999999</v>
      </c>
      <c r="I17" s="17" t="str">
        <f t="shared" si="0"/>
        <v>n/a</v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0.21198989263429291</v>
      </c>
      <c r="B20" s="8">
        <f>COUNT(H3:H17)</f>
        <v>15</v>
      </c>
      <c r="C20" s="9">
        <f>IF(B20&lt;2,"n/a",(A20/D20))</f>
        <v>0.10442851853906056</v>
      </c>
      <c r="D20" s="10">
        <f>IFERROR(ROUND(AVERAGE(H3:H17),2),"")</f>
        <v>2.0299999999999998</v>
      </c>
      <c r="E20" s="15" t="str">
        <f>IFERROR(ROUND(IF(B20&lt;2,"n/a",(IF(C20&lt;=25%,"n/a",AVERAGE(I3:I17)))),2),"n/a")</f>
        <v>n/a</v>
      </c>
      <c r="F20" s="10">
        <f>IFERROR(ROUND(MEDIAN(H3:H17),2),"")</f>
        <v>2.15</v>
      </c>
      <c r="G20" s="11" t="str">
        <f>IFERROR(INDEX(G3:G17,MATCH(H20,H3:H17,0)),"")</f>
        <v>AGENCIA BRASPUB &amp; EMPREENDIMENTOS LTDA</v>
      </c>
      <c r="H20" s="12">
        <f>F3</f>
        <v>1.5366616500000001</v>
      </c>
    </row>
    <row r="22" spans="1:9" x14ac:dyDescent="0.25">
      <c r="G22" s="13" t="s">
        <v>20</v>
      </c>
      <c r="H22" s="14">
        <f>IF(C20&lt;=25%,D20,MIN(E20:F20))</f>
        <v>2.0299999999999998</v>
      </c>
    </row>
    <row r="23" spans="1:9" x14ac:dyDescent="0.25">
      <c r="G23" s="13" t="s">
        <v>6</v>
      </c>
      <c r="H23" s="14">
        <f>ROUND(H22,2)*D3</f>
        <v>20299.999999999996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24</v>
      </c>
      <c r="B3" s="33" t="s">
        <v>152</v>
      </c>
      <c r="C3" s="35" t="s">
        <v>37</v>
      </c>
      <c r="D3" s="35">
        <v>500</v>
      </c>
      <c r="E3" s="36">
        <f>IF(C20&lt;=25%,D20,MIN(E20:F20))</f>
        <v>5.0599999999999996</v>
      </c>
      <c r="F3" s="36">
        <f>MIN(H3:H17)</f>
        <v>4.0158091119999995</v>
      </c>
      <c r="G3" s="5" t="s">
        <v>124</v>
      </c>
      <c r="H3" s="16">
        <v>4.0158091119999995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5.2758716650000004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5.2861160759999999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126</v>
      </c>
      <c r="H6" s="16">
        <v>5.2861160759999999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74</v>
      </c>
      <c r="H7" s="16">
        <v>5.2348940210000006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60</v>
      </c>
      <c r="H8" s="16">
        <v>5.2348940210000006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0.50995150945792567</v>
      </c>
      <c r="B20" s="8">
        <f>COUNT(H3:H17)</f>
        <v>6</v>
      </c>
      <c r="C20" s="9">
        <f>IF(B20&lt;2,"n/a",(A20/D20))</f>
        <v>0.10078093072291022</v>
      </c>
      <c r="D20" s="10">
        <f>IFERROR(ROUND(AVERAGE(H3:H17),2),"")</f>
        <v>5.0599999999999996</v>
      </c>
      <c r="E20" s="15" t="str">
        <f>IFERROR(ROUND(IF(B20&lt;2,"n/a",(IF(C20&lt;=25%,"n/a",AVERAGE(I3:I17)))),2),"n/a")</f>
        <v>n/a</v>
      </c>
      <c r="F20" s="10">
        <f>IFERROR(ROUND(MEDIAN(H3:H17),2),"")</f>
        <v>5.26</v>
      </c>
      <c r="G20" s="11" t="str">
        <f>IFERROR(INDEX(G3:G17,MATCH(H20,H3:H17,0)),"")</f>
        <v>ACDF COMUNICACAO VISUAL E GRAFICA LTDA</v>
      </c>
      <c r="H20" s="12">
        <f>F3</f>
        <v>4.0158091119999995</v>
      </c>
    </row>
    <row r="22" spans="1:9" x14ac:dyDescent="0.25">
      <c r="G22" s="13" t="s">
        <v>20</v>
      </c>
      <c r="H22" s="14">
        <f>IF(C20&lt;=25%,D20,MIN(E20:F20))</f>
        <v>5.0599999999999996</v>
      </c>
    </row>
    <row r="23" spans="1:9" x14ac:dyDescent="0.25">
      <c r="G23" s="13" t="s">
        <v>6</v>
      </c>
      <c r="H23" s="14">
        <f>ROUND(H22,2)*D3</f>
        <v>2530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25</v>
      </c>
      <c r="B3" s="33" t="s">
        <v>153</v>
      </c>
      <c r="C3" s="35" t="s">
        <v>35</v>
      </c>
      <c r="D3" s="35">
        <v>4000</v>
      </c>
      <c r="E3" s="36">
        <f>IF(C20&lt;=25%,D20,MIN(E20:F20))</f>
        <v>1.39</v>
      </c>
      <c r="F3" s="36">
        <f>MIN(H3:H17)</f>
        <v>1</v>
      </c>
      <c r="G3" s="5" t="s">
        <v>190</v>
      </c>
      <c r="H3" s="16">
        <v>1.64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191</v>
      </c>
      <c r="H4" s="16">
        <v>1.64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192</v>
      </c>
      <c r="H5" s="16">
        <v>1.1000000000000001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178</v>
      </c>
      <c r="H6" s="16">
        <v>1.63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193</v>
      </c>
      <c r="H7" s="16">
        <v>1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194</v>
      </c>
      <c r="H8" s="16">
        <v>1.64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66</v>
      </c>
      <c r="H9" s="16">
        <v>1.4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195</v>
      </c>
      <c r="H10" s="16">
        <v>1.0900000000000001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0.28569464218187207</v>
      </c>
      <c r="B20" s="8">
        <f>COUNT(H3:H17)</f>
        <v>8</v>
      </c>
      <c r="C20" s="9">
        <f>IF(B20&lt;2,"n/a",(A20/D20))</f>
        <v>0.20553571379990798</v>
      </c>
      <c r="D20" s="10">
        <f>IFERROR(ROUND(AVERAGE(H3:H17),2),"")</f>
        <v>1.39</v>
      </c>
      <c r="E20" s="15" t="str">
        <f>IFERROR(ROUND(IF(B20&lt;2,"n/a",(IF(C20&lt;=25%,"n/a",AVERAGE(I3:I17)))),2),"n/a")</f>
        <v>n/a</v>
      </c>
      <c r="F20" s="10">
        <f>IFERROR(ROUND(MEDIAN(H3:H17),2),"")</f>
        <v>1.52</v>
      </c>
      <c r="G20" s="11" t="str">
        <f>IFERROR(INDEX(G3:G17,MATCH(H20,H3:H17,0)),"")</f>
        <v>MARCOS J. C. SIQUEIRA LTDA</v>
      </c>
      <c r="H20" s="12">
        <f>F3</f>
        <v>1</v>
      </c>
    </row>
    <row r="22" spans="1:9" x14ac:dyDescent="0.25">
      <c r="G22" s="13" t="s">
        <v>20</v>
      </c>
      <c r="H22" s="14">
        <f>IF(C20&lt;=25%,D20,MIN(E20:F20))</f>
        <v>1.39</v>
      </c>
    </row>
    <row r="23" spans="1:9" x14ac:dyDescent="0.25">
      <c r="G23" s="13" t="s">
        <v>6</v>
      </c>
      <c r="H23" s="14">
        <f>ROUND(H22,2)*D3</f>
        <v>5560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sortState ref="G3:H17">
    <sortCondition ref="H3:H17"/>
  </sortState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26</v>
      </c>
      <c r="B3" s="33" t="s">
        <v>154</v>
      </c>
      <c r="C3" s="35" t="s">
        <v>35</v>
      </c>
      <c r="D3" s="35">
        <v>1000</v>
      </c>
      <c r="E3" s="36">
        <f>IF(C20&lt;=25%,D20,MIN(E20:F20))</f>
        <v>8.58</v>
      </c>
      <c r="F3" s="36">
        <f>MIN(H3:H17)</f>
        <v>5</v>
      </c>
      <c r="G3" s="5" t="s">
        <v>228</v>
      </c>
      <c r="H3" s="16">
        <v>7.6</v>
      </c>
      <c r="I3" s="17">
        <f>IF(H3="","",(IF($C$20&lt;25%,"n/a",IF(H3&lt;=($D$20+$A$20),H3,"Descartado"))))</f>
        <v>7.6</v>
      </c>
    </row>
    <row r="4" spans="1:9" x14ac:dyDescent="0.25">
      <c r="A4" s="37"/>
      <c r="B4" s="34"/>
      <c r="C4" s="35"/>
      <c r="D4" s="35"/>
      <c r="E4" s="36"/>
      <c r="F4" s="36"/>
      <c r="G4" s="5" t="s">
        <v>202</v>
      </c>
      <c r="H4" s="16">
        <v>10</v>
      </c>
      <c r="I4" s="17">
        <f t="shared" ref="I4:I17" si="0">IF(H4="","",(IF($C$20&lt;25%,"n/a",IF(H4&lt;=($D$20+$A$20),H4,"Descartado"))))</f>
        <v>10</v>
      </c>
    </row>
    <row r="5" spans="1:9" x14ac:dyDescent="0.25">
      <c r="A5" s="37"/>
      <c r="B5" s="34"/>
      <c r="C5" s="35"/>
      <c r="D5" s="35"/>
      <c r="E5" s="36"/>
      <c r="F5" s="36"/>
      <c r="G5" s="5" t="s">
        <v>64</v>
      </c>
      <c r="H5" s="16">
        <v>8</v>
      </c>
      <c r="I5" s="17">
        <f t="shared" si="0"/>
        <v>8</v>
      </c>
    </row>
    <row r="6" spans="1:9" x14ac:dyDescent="0.25">
      <c r="A6" s="37"/>
      <c r="B6" s="34"/>
      <c r="C6" s="35"/>
      <c r="D6" s="35"/>
      <c r="E6" s="36"/>
      <c r="F6" s="36"/>
      <c r="G6" s="5" t="s">
        <v>118</v>
      </c>
      <c r="H6" s="16">
        <v>5</v>
      </c>
      <c r="I6" s="17">
        <f t="shared" si="0"/>
        <v>5</v>
      </c>
    </row>
    <row r="7" spans="1:9" x14ac:dyDescent="0.25">
      <c r="A7" s="37"/>
      <c r="B7" s="34"/>
      <c r="C7" s="35"/>
      <c r="D7" s="35"/>
      <c r="E7" s="36"/>
      <c r="F7" s="36"/>
      <c r="G7" s="5" t="s">
        <v>61</v>
      </c>
      <c r="H7" s="16">
        <v>12.83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 t="s">
        <v>93</v>
      </c>
      <c r="H8" s="16">
        <v>13</v>
      </c>
      <c r="I8" s="17" t="str">
        <f t="shared" si="0"/>
        <v>Descartado</v>
      </c>
    </row>
    <row r="9" spans="1:9" x14ac:dyDescent="0.25">
      <c r="A9" s="37"/>
      <c r="B9" s="34"/>
      <c r="C9" s="35"/>
      <c r="D9" s="35"/>
      <c r="E9" s="36"/>
      <c r="F9" s="36"/>
      <c r="G9" s="5" t="s">
        <v>221</v>
      </c>
      <c r="H9" s="16">
        <v>11</v>
      </c>
      <c r="I9" s="17">
        <f t="shared" si="0"/>
        <v>11</v>
      </c>
    </row>
    <row r="10" spans="1:9" x14ac:dyDescent="0.25">
      <c r="A10" s="37"/>
      <c r="B10" s="34"/>
      <c r="C10" s="35"/>
      <c r="D10" s="35"/>
      <c r="E10" s="36"/>
      <c r="F10" s="36"/>
      <c r="G10" s="5" t="s">
        <v>229</v>
      </c>
      <c r="H10" s="16">
        <v>11</v>
      </c>
      <c r="I10" s="17">
        <f t="shared" si="0"/>
        <v>11</v>
      </c>
    </row>
    <row r="11" spans="1:9" x14ac:dyDescent="0.25">
      <c r="A11" s="37"/>
      <c r="B11" s="34"/>
      <c r="C11" s="35"/>
      <c r="D11" s="35"/>
      <c r="E11" s="36"/>
      <c r="F11" s="36"/>
      <c r="G11" s="5" t="s">
        <v>230</v>
      </c>
      <c r="H11" s="16">
        <v>10.199999999999999</v>
      </c>
      <c r="I11" s="17">
        <f t="shared" si="0"/>
        <v>10.199999999999999</v>
      </c>
    </row>
    <row r="12" spans="1:9" x14ac:dyDescent="0.25">
      <c r="A12" s="37"/>
      <c r="B12" s="34"/>
      <c r="C12" s="35"/>
      <c r="D12" s="35"/>
      <c r="E12" s="36"/>
      <c r="F12" s="36"/>
      <c r="G12" s="5" t="s">
        <v>231</v>
      </c>
      <c r="H12" s="16">
        <v>6.38</v>
      </c>
      <c r="I12" s="17">
        <f t="shared" si="0"/>
        <v>6.38</v>
      </c>
    </row>
    <row r="13" spans="1:9" x14ac:dyDescent="0.25">
      <c r="A13" s="37"/>
      <c r="B13" s="34"/>
      <c r="C13" s="35"/>
      <c r="D13" s="35"/>
      <c r="E13" s="36"/>
      <c r="F13" s="36"/>
      <c r="G13" s="5" t="s">
        <v>232</v>
      </c>
      <c r="H13" s="16">
        <v>13.022399999999999</v>
      </c>
      <c r="I13" s="17" t="str">
        <f t="shared" si="0"/>
        <v>Descartado</v>
      </c>
    </row>
    <row r="14" spans="1:9" x14ac:dyDescent="0.25">
      <c r="A14" s="37"/>
      <c r="B14" s="34"/>
      <c r="C14" s="35"/>
      <c r="D14" s="35"/>
      <c r="E14" s="36"/>
      <c r="F14" s="36"/>
      <c r="G14" s="5" t="s">
        <v>103</v>
      </c>
      <c r="H14" s="16">
        <v>12.83</v>
      </c>
      <c r="I14" s="17" t="str">
        <f t="shared" si="0"/>
        <v>Descartado</v>
      </c>
    </row>
    <row r="15" spans="1:9" x14ac:dyDescent="0.25">
      <c r="A15" s="37"/>
      <c r="B15" s="34"/>
      <c r="C15" s="35"/>
      <c r="D15" s="35"/>
      <c r="E15" s="36"/>
      <c r="F15" s="36"/>
      <c r="G15" s="5" t="s">
        <v>233</v>
      </c>
      <c r="H15" s="16">
        <v>8</v>
      </c>
      <c r="I15" s="17">
        <f t="shared" si="0"/>
        <v>8</v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2.7073596148466414</v>
      </c>
      <c r="B20" s="8">
        <f>COUNT(H3:H17)</f>
        <v>13</v>
      </c>
      <c r="C20" s="9">
        <f>IF(B20&lt;2,"n/a",(A20/D20))</f>
        <v>0.27319471390985284</v>
      </c>
      <c r="D20" s="10">
        <f>IFERROR(ROUND(AVERAGE(H3:H17),2),"")</f>
        <v>9.91</v>
      </c>
      <c r="E20" s="15">
        <f>IFERROR(ROUND(IF(B20&lt;2,"n/a",(IF(C20&lt;=25%,"n/a",AVERAGE(I3:I17)))),2),"n/a")</f>
        <v>8.58</v>
      </c>
      <c r="F20" s="10">
        <f>IFERROR(ROUND(MEDIAN(H3:H17),2),"")</f>
        <v>10.199999999999999</v>
      </c>
      <c r="G20" s="11" t="str">
        <f>IFERROR(INDEX(G3:G17,MATCH(H20,H3:H17,0)),"")</f>
        <v>GRAFICA E EDITORA SANTA CRUZ LTDA</v>
      </c>
      <c r="H20" s="12">
        <f>F3</f>
        <v>5</v>
      </c>
    </row>
    <row r="22" spans="1:9" x14ac:dyDescent="0.25">
      <c r="G22" s="13" t="s">
        <v>20</v>
      </c>
      <c r="H22" s="14">
        <f>IF(C20&lt;=25%,D20,MIN(E20:F20))</f>
        <v>8.58</v>
      </c>
    </row>
    <row r="23" spans="1:9" x14ac:dyDescent="0.25">
      <c r="G23" s="13" t="s">
        <v>6</v>
      </c>
      <c r="H23" s="14">
        <f>ROUND(H22,2)*D3</f>
        <v>8580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7" sqref="G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27</v>
      </c>
      <c r="B3" s="33" t="s">
        <v>155</v>
      </c>
      <c r="C3" s="35" t="s">
        <v>35</v>
      </c>
      <c r="D3" s="35">
        <v>1000</v>
      </c>
      <c r="E3" s="36">
        <f>IF(C20&lt;=25%,D20,MIN(E20:F20))</f>
        <v>3.14</v>
      </c>
      <c r="F3" s="36">
        <f>MIN(H3:H17)</f>
        <v>0.7</v>
      </c>
      <c r="G3" s="5" t="s">
        <v>198</v>
      </c>
      <c r="H3" s="16">
        <v>0.7</v>
      </c>
      <c r="I3" s="17">
        <f>IF(H3="","",(IF($C$20&lt;25%,"n/a",IF(H3&lt;=($D$20+$A$20),H3,"Descartado"))))</f>
        <v>0.7</v>
      </c>
    </row>
    <row r="4" spans="1:9" x14ac:dyDescent="0.25">
      <c r="A4" s="37"/>
      <c r="B4" s="34"/>
      <c r="C4" s="35"/>
      <c r="D4" s="35"/>
      <c r="E4" s="36"/>
      <c r="F4" s="36"/>
      <c r="G4" s="5" t="s">
        <v>199</v>
      </c>
      <c r="H4" s="16">
        <v>6.8</v>
      </c>
      <c r="I4" s="17">
        <f t="shared" ref="I4:I17" si="0">IF(H4="","",(IF($C$20&lt;25%,"n/a",IF(H4&lt;=($D$20+$A$20),H4,"Descartado"))))</f>
        <v>6.8</v>
      </c>
    </row>
    <row r="5" spans="1:9" x14ac:dyDescent="0.25">
      <c r="A5" s="37"/>
      <c r="B5" s="34"/>
      <c r="C5" s="35"/>
      <c r="D5" s="35"/>
      <c r="E5" s="36"/>
      <c r="F5" s="36"/>
      <c r="G5" s="5" t="s">
        <v>118</v>
      </c>
      <c r="H5" s="16">
        <v>0.8</v>
      </c>
      <c r="I5" s="17">
        <f t="shared" si="0"/>
        <v>0.8</v>
      </c>
    </row>
    <row r="6" spans="1:9" x14ac:dyDescent="0.25">
      <c r="A6" s="37"/>
      <c r="B6" s="34"/>
      <c r="C6" s="35"/>
      <c r="D6" s="35"/>
      <c r="E6" s="36"/>
      <c r="F6" s="36"/>
      <c r="G6" s="5" t="s">
        <v>202</v>
      </c>
      <c r="H6" s="16">
        <v>11.3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 t="s">
        <v>205</v>
      </c>
      <c r="H7" s="16">
        <v>1.3</v>
      </c>
      <c r="I7" s="17">
        <f t="shared" si="0"/>
        <v>1.3</v>
      </c>
    </row>
    <row r="8" spans="1:9" x14ac:dyDescent="0.25">
      <c r="A8" s="37"/>
      <c r="B8" s="34"/>
      <c r="C8" s="35"/>
      <c r="D8" s="35"/>
      <c r="E8" s="36"/>
      <c r="F8" s="36"/>
      <c r="G8" s="5" t="s">
        <v>206</v>
      </c>
      <c r="H8" s="16">
        <v>1.35</v>
      </c>
      <c r="I8" s="17">
        <f t="shared" si="0"/>
        <v>1.35</v>
      </c>
    </row>
    <row r="9" spans="1:9" x14ac:dyDescent="0.25">
      <c r="A9" s="37"/>
      <c r="B9" s="34"/>
      <c r="C9" s="35"/>
      <c r="D9" s="35"/>
      <c r="E9" s="36"/>
      <c r="F9" s="36"/>
      <c r="G9" s="5" t="s">
        <v>46</v>
      </c>
      <c r="H9" s="16">
        <v>1.61</v>
      </c>
      <c r="I9" s="17">
        <f t="shared" si="0"/>
        <v>1.61</v>
      </c>
    </row>
    <row r="10" spans="1:9" x14ac:dyDescent="0.25">
      <c r="A10" s="37"/>
      <c r="B10" s="34"/>
      <c r="C10" s="35"/>
      <c r="D10" s="35"/>
      <c r="E10" s="36"/>
      <c r="F10" s="36"/>
      <c r="G10" s="5" t="s">
        <v>200</v>
      </c>
      <c r="H10" s="16">
        <v>5.2</v>
      </c>
      <c r="I10" s="17">
        <f t="shared" si="0"/>
        <v>5.2</v>
      </c>
    </row>
    <row r="11" spans="1:9" x14ac:dyDescent="0.25">
      <c r="A11" s="37"/>
      <c r="B11" s="34"/>
      <c r="C11" s="35"/>
      <c r="D11" s="35"/>
      <c r="E11" s="36"/>
      <c r="F11" s="36"/>
      <c r="G11" s="5" t="s">
        <v>204</v>
      </c>
      <c r="H11" s="16">
        <v>5.19</v>
      </c>
      <c r="I11" s="17">
        <f t="shared" si="0"/>
        <v>5.19</v>
      </c>
    </row>
    <row r="12" spans="1:9" x14ac:dyDescent="0.25">
      <c r="A12" s="37"/>
      <c r="B12" s="34"/>
      <c r="C12" s="35"/>
      <c r="D12" s="35"/>
      <c r="E12" s="36"/>
      <c r="F12" s="36"/>
      <c r="G12" s="5" t="s">
        <v>93</v>
      </c>
      <c r="H12" s="16">
        <v>3.83</v>
      </c>
      <c r="I12" s="17">
        <f t="shared" si="0"/>
        <v>3.83</v>
      </c>
    </row>
    <row r="13" spans="1:9" x14ac:dyDescent="0.25">
      <c r="A13" s="37"/>
      <c r="B13" s="34"/>
      <c r="C13" s="35"/>
      <c r="D13" s="35"/>
      <c r="E13" s="36"/>
      <c r="F13" s="36"/>
      <c r="G13" s="5" t="s">
        <v>203</v>
      </c>
      <c r="H13" s="16">
        <v>8</v>
      </c>
      <c r="I13" s="17" t="str">
        <f t="shared" si="0"/>
        <v>Descartado</v>
      </c>
    </row>
    <row r="14" spans="1:9" x14ac:dyDescent="0.25">
      <c r="A14" s="37"/>
      <c r="B14" s="34"/>
      <c r="C14" s="35"/>
      <c r="D14" s="35"/>
      <c r="E14" s="36"/>
      <c r="F14" s="36"/>
      <c r="G14" s="5" t="s">
        <v>69</v>
      </c>
      <c r="H14" s="16">
        <v>1</v>
      </c>
      <c r="I14" s="17">
        <f t="shared" si="0"/>
        <v>1</v>
      </c>
    </row>
    <row r="15" spans="1:9" x14ac:dyDescent="0.25">
      <c r="A15" s="37"/>
      <c r="B15" s="34"/>
      <c r="C15" s="35"/>
      <c r="D15" s="35"/>
      <c r="E15" s="36"/>
      <c r="F15" s="36"/>
      <c r="G15" s="5" t="s">
        <v>177</v>
      </c>
      <c r="H15" s="16">
        <v>10</v>
      </c>
      <c r="I15" s="17" t="str">
        <f t="shared" si="0"/>
        <v>Descartado</v>
      </c>
    </row>
    <row r="16" spans="1:9" x14ac:dyDescent="0.25">
      <c r="A16" s="37"/>
      <c r="B16" s="34"/>
      <c r="C16" s="35"/>
      <c r="D16" s="35"/>
      <c r="E16" s="36"/>
      <c r="F16" s="36"/>
      <c r="G16" s="5" t="s">
        <v>74</v>
      </c>
      <c r="H16" s="16">
        <v>3.6</v>
      </c>
      <c r="I16" s="17">
        <f t="shared" si="0"/>
        <v>3.6</v>
      </c>
    </row>
    <row r="17" spans="1:9" x14ac:dyDescent="0.25">
      <c r="A17" s="37"/>
      <c r="B17" s="34"/>
      <c r="C17" s="35"/>
      <c r="D17" s="35"/>
      <c r="E17" s="36"/>
      <c r="F17" s="36"/>
      <c r="G17" s="5" t="s">
        <v>201</v>
      </c>
      <c r="H17" s="16">
        <v>6.25</v>
      </c>
      <c r="I17" s="17">
        <f t="shared" si="0"/>
        <v>6.25</v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3.4660644623467194</v>
      </c>
      <c r="B20" s="8">
        <f>COUNT(H3:H17)</f>
        <v>15</v>
      </c>
      <c r="C20" s="9">
        <f>IF(B20&lt;2,"n/a",(A20/D20))</f>
        <v>0.77714449828401777</v>
      </c>
      <c r="D20" s="10">
        <f>IFERROR(ROUND(AVERAGE(H3:H17),2),"")</f>
        <v>4.46</v>
      </c>
      <c r="E20" s="15">
        <f>IFERROR(ROUND(IF(B20&lt;2,"n/a",(IF(C20&lt;=25%,"n/a",AVERAGE(I3:I17)))),2),"n/a")</f>
        <v>3.14</v>
      </c>
      <c r="F20" s="10">
        <f>IFERROR(ROUND(MEDIAN(H3:H17),2),"")</f>
        <v>3.83</v>
      </c>
      <c r="G20" s="11" t="str">
        <f>IFERROR(INDEX(G3:G17,MATCH(H20,H3:H17,0)),"")</f>
        <v>ED INFO SUPRIMENTOS DE INFORMATICA INDUSTRIA EDITORIAL COMERCIO E SERVICOS GRAFI</v>
      </c>
      <c r="H20" s="12">
        <f>F3</f>
        <v>0.7</v>
      </c>
    </row>
    <row r="22" spans="1:9" x14ac:dyDescent="0.25">
      <c r="G22" s="13" t="s">
        <v>20</v>
      </c>
      <c r="H22" s="14">
        <f>IF(C20&lt;=25%,D20,MIN(E20:F20))</f>
        <v>3.14</v>
      </c>
    </row>
    <row r="23" spans="1:9" x14ac:dyDescent="0.25">
      <c r="G23" s="13" t="s">
        <v>6</v>
      </c>
      <c r="H23" s="14">
        <f>ROUND(H22,2)*D3</f>
        <v>3140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28</v>
      </c>
      <c r="B3" s="33" t="s">
        <v>156</v>
      </c>
      <c r="C3" s="35" t="s">
        <v>35</v>
      </c>
      <c r="D3" s="35">
        <v>1000</v>
      </c>
      <c r="E3" s="36">
        <f>IF(C20&lt;=25%,D20,MIN(E20:F20))</f>
        <v>8.58</v>
      </c>
      <c r="F3" s="36">
        <f>MIN(H3:H17)</f>
        <v>5</v>
      </c>
      <c r="G3" s="5" t="s">
        <v>228</v>
      </c>
      <c r="H3" s="16">
        <v>7.6</v>
      </c>
      <c r="I3" s="17">
        <f>IF(H3="","",(IF($C$20&lt;25%,"n/a",IF(H3&lt;=($D$20+$A$20),H3,"Descartado"))))</f>
        <v>7.6</v>
      </c>
    </row>
    <row r="4" spans="1:9" x14ac:dyDescent="0.25">
      <c r="A4" s="37"/>
      <c r="B4" s="34"/>
      <c r="C4" s="35"/>
      <c r="D4" s="35"/>
      <c r="E4" s="36"/>
      <c r="F4" s="36"/>
      <c r="G4" s="5" t="s">
        <v>202</v>
      </c>
      <c r="H4" s="16">
        <v>10</v>
      </c>
      <c r="I4" s="17">
        <f t="shared" ref="I4:I17" si="0">IF(H4="","",(IF($C$20&lt;25%,"n/a",IF(H4&lt;=($D$20+$A$20),H4,"Descartado"))))</f>
        <v>10</v>
      </c>
    </row>
    <row r="5" spans="1:9" x14ac:dyDescent="0.25">
      <c r="A5" s="37"/>
      <c r="B5" s="34"/>
      <c r="C5" s="35"/>
      <c r="D5" s="35"/>
      <c r="E5" s="36"/>
      <c r="F5" s="36"/>
      <c r="G5" s="5" t="s">
        <v>64</v>
      </c>
      <c r="H5" s="16">
        <v>8</v>
      </c>
      <c r="I5" s="17">
        <f t="shared" si="0"/>
        <v>8</v>
      </c>
    </row>
    <row r="6" spans="1:9" x14ac:dyDescent="0.25">
      <c r="A6" s="37"/>
      <c r="B6" s="34"/>
      <c r="C6" s="35"/>
      <c r="D6" s="35"/>
      <c r="E6" s="36"/>
      <c r="F6" s="36"/>
      <c r="G6" s="5" t="s">
        <v>118</v>
      </c>
      <c r="H6" s="16">
        <v>5</v>
      </c>
      <c r="I6" s="17">
        <f t="shared" si="0"/>
        <v>5</v>
      </c>
    </row>
    <row r="7" spans="1:9" x14ac:dyDescent="0.25">
      <c r="A7" s="37"/>
      <c r="B7" s="34"/>
      <c r="C7" s="35"/>
      <c r="D7" s="35"/>
      <c r="E7" s="36"/>
      <c r="F7" s="36"/>
      <c r="G7" s="5" t="s">
        <v>61</v>
      </c>
      <c r="H7" s="16">
        <v>12.83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 t="s">
        <v>93</v>
      </c>
      <c r="H8" s="16">
        <v>13</v>
      </c>
      <c r="I8" s="17" t="str">
        <f t="shared" si="0"/>
        <v>Descartado</v>
      </c>
    </row>
    <row r="9" spans="1:9" x14ac:dyDescent="0.25">
      <c r="A9" s="37"/>
      <c r="B9" s="34"/>
      <c r="C9" s="35"/>
      <c r="D9" s="35"/>
      <c r="E9" s="36"/>
      <c r="F9" s="36"/>
      <c r="G9" s="5" t="s">
        <v>221</v>
      </c>
      <c r="H9" s="16">
        <v>11</v>
      </c>
      <c r="I9" s="17">
        <f t="shared" si="0"/>
        <v>11</v>
      </c>
    </row>
    <row r="10" spans="1:9" x14ac:dyDescent="0.25">
      <c r="A10" s="37"/>
      <c r="B10" s="34"/>
      <c r="C10" s="35"/>
      <c r="D10" s="35"/>
      <c r="E10" s="36"/>
      <c r="F10" s="36"/>
      <c r="G10" s="5" t="s">
        <v>229</v>
      </c>
      <c r="H10" s="16">
        <v>11</v>
      </c>
      <c r="I10" s="17">
        <f t="shared" si="0"/>
        <v>11</v>
      </c>
    </row>
    <row r="11" spans="1:9" x14ac:dyDescent="0.25">
      <c r="A11" s="37"/>
      <c r="B11" s="34"/>
      <c r="C11" s="35"/>
      <c r="D11" s="35"/>
      <c r="E11" s="36"/>
      <c r="F11" s="36"/>
      <c r="G11" s="5" t="s">
        <v>230</v>
      </c>
      <c r="H11" s="16">
        <v>10.199999999999999</v>
      </c>
      <c r="I11" s="17">
        <f t="shared" si="0"/>
        <v>10.199999999999999</v>
      </c>
    </row>
    <row r="12" spans="1:9" x14ac:dyDescent="0.25">
      <c r="A12" s="37"/>
      <c r="B12" s="34"/>
      <c r="C12" s="35"/>
      <c r="D12" s="35"/>
      <c r="E12" s="36"/>
      <c r="F12" s="36"/>
      <c r="G12" s="5" t="s">
        <v>231</v>
      </c>
      <c r="H12" s="16">
        <v>6.38</v>
      </c>
      <c r="I12" s="17">
        <f t="shared" si="0"/>
        <v>6.38</v>
      </c>
    </row>
    <row r="13" spans="1:9" x14ac:dyDescent="0.25">
      <c r="A13" s="37"/>
      <c r="B13" s="34"/>
      <c r="C13" s="35"/>
      <c r="D13" s="35"/>
      <c r="E13" s="36"/>
      <c r="F13" s="36"/>
      <c r="G13" s="5" t="s">
        <v>232</v>
      </c>
      <c r="H13" s="16">
        <v>13.022399999999999</v>
      </c>
      <c r="I13" s="17" t="str">
        <f t="shared" si="0"/>
        <v>Descartado</v>
      </c>
    </row>
    <row r="14" spans="1:9" x14ac:dyDescent="0.25">
      <c r="A14" s="37"/>
      <c r="B14" s="34"/>
      <c r="C14" s="35"/>
      <c r="D14" s="35"/>
      <c r="E14" s="36"/>
      <c r="F14" s="36"/>
      <c r="G14" s="5" t="s">
        <v>103</v>
      </c>
      <c r="H14" s="16">
        <v>12.83</v>
      </c>
      <c r="I14" s="17" t="str">
        <f t="shared" si="0"/>
        <v>Descartado</v>
      </c>
    </row>
    <row r="15" spans="1:9" x14ac:dyDescent="0.25">
      <c r="A15" s="37"/>
      <c r="B15" s="34"/>
      <c r="C15" s="35"/>
      <c r="D15" s="35"/>
      <c r="E15" s="36"/>
      <c r="F15" s="36"/>
      <c r="G15" s="5" t="s">
        <v>233</v>
      </c>
      <c r="H15" s="16">
        <v>8</v>
      </c>
      <c r="I15" s="17">
        <f t="shared" si="0"/>
        <v>8</v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2.7073596148466414</v>
      </c>
      <c r="B20" s="8">
        <f>COUNT(H3:H17)</f>
        <v>13</v>
      </c>
      <c r="C20" s="9">
        <f>IF(B20&lt;2,"n/a",(A20/D20))</f>
        <v>0.27319471390985284</v>
      </c>
      <c r="D20" s="10">
        <f>IFERROR(ROUND(AVERAGE(H3:H17),2),"")</f>
        <v>9.91</v>
      </c>
      <c r="E20" s="15">
        <f>IFERROR(ROUND(IF(B20&lt;2,"n/a",(IF(C20&lt;=25%,"n/a",AVERAGE(I3:I17)))),2),"n/a")</f>
        <v>8.58</v>
      </c>
      <c r="F20" s="10">
        <f>IFERROR(ROUND(MEDIAN(H3:H17),2),"")</f>
        <v>10.199999999999999</v>
      </c>
      <c r="G20" s="11" t="str">
        <f>IFERROR(INDEX(G3:G17,MATCH(H20,H3:H17,0)),"")</f>
        <v>GRAFICA E EDITORA SANTA CRUZ LTDA</v>
      </c>
      <c r="H20" s="12">
        <f>F3</f>
        <v>5</v>
      </c>
    </row>
    <row r="22" spans="1:9" x14ac:dyDescent="0.25">
      <c r="G22" s="13" t="s">
        <v>20</v>
      </c>
      <c r="H22" s="14">
        <f>IF(C20&lt;=25%,D20,MIN(E20:F20))</f>
        <v>8.58</v>
      </c>
    </row>
    <row r="23" spans="1:9" x14ac:dyDescent="0.25">
      <c r="G23" s="13" t="s">
        <v>6</v>
      </c>
      <c r="H23" s="14">
        <f>ROUND(H22,2)*D3</f>
        <v>8580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29</v>
      </c>
      <c r="B3" s="33" t="s">
        <v>157</v>
      </c>
      <c r="C3" s="35" t="s">
        <v>35</v>
      </c>
      <c r="D3" s="35">
        <v>1000</v>
      </c>
      <c r="E3" s="36">
        <f>IF(C20&lt;=25%,D20,MIN(E20:F20))</f>
        <v>2.87</v>
      </c>
      <c r="F3" s="36">
        <f>MIN(H3:H17)</f>
        <v>0.92199699000000002</v>
      </c>
      <c r="G3" s="5" t="s">
        <v>53</v>
      </c>
      <c r="H3" s="16">
        <v>4.6099849500000003</v>
      </c>
      <c r="I3" s="17">
        <f>IF(H3="","",(IF($C$20&lt;25%,"n/a",IF(H3&lt;=($D$20+$A$20),H3,"Descartado"))))</f>
        <v>4.6099849500000003</v>
      </c>
    </row>
    <row r="4" spans="1:9" x14ac:dyDescent="0.25">
      <c r="A4" s="37"/>
      <c r="B4" s="34"/>
      <c r="C4" s="35"/>
      <c r="D4" s="35"/>
      <c r="E4" s="36"/>
      <c r="F4" s="36"/>
      <c r="G4" s="5" t="s">
        <v>52</v>
      </c>
      <c r="H4" s="16">
        <v>3.0733233000000002</v>
      </c>
      <c r="I4" s="17">
        <f t="shared" ref="I4:I17" si="0">IF(H4="","",(IF($C$20&lt;25%,"n/a",IF(H4&lt;=($D$20+$A$20),H4,"Descartado"))))</f>
        <v>3.0733233000000002</v>
      </c>
    </row>
    <row r="5" spans="1:9" x14ac:dyDescent="0.25">
      <c r="A5" s="37"/>
      <c r="B5" s="34"/>
      <c r="C5" s="35"/>
      <c r="D5" s="35"/>
      <c r="E5" s="36"/>
      <c r="F5" s="36"/>
      <c r="G5" s="5" t="s">
        <v>76</v>
      </c>
      <c r="H5" s="16">
        <v>8.1955287999999999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 t="s">
        <v>73</v>
      </c>
      <c r="H6" s="16">
        <v>3.6879879600000001</v>
      </c>
      <c r="I6" s="17">
        <f t="shared" si="0"/>
        <v>3.6879879600000001</v>
      </c>
    </row>
    <row r="7" spans="1:9" x14ac:dyDescent="0.25">
      <c r="A7" s="37"/>
      <c r="B7" s="34"/>
      <c r="C7" s="35"/>
      <c r="D7" s="35"/>
      <c r="E7" s="36"/>
      <c r="F7" s="36"/>
      <c r="G7" s="5" t="s">
        <v>46</v>
      </c>
      <c r="H7" s="16">
        <v>1.505928417</v>
      </c>
      <c r="I7" s="17">
        <f t="shared" si="0"/>
        <v>1.505928417</v>
      </c>
    </row>
    <row r="8" spans="1:9" x14ac:dyDescent="0.25">
      <c r="A8" s="37"/>
      <c r="B8" s="34"/>
      <c r="C8" s="35"/>
      <c r="D8" s="35"/>
      <c r="E8" s="36"/>
      <c r="F8" s="36"/>
      <c r="G8" s="5" t="s">
        <v>68</v>
      </c>
      <c r="H8" s="16">
        <v>0.97321904499999989</v>
      </c>
      <c r="I8" s="17">
        <f t="shared" si="0"/>
        <v>0.97321904499999989</v>
      </c>
    </row>
    <row r="9" spans="1:9" x14ac:dyDescent="0.25">
      <c r="A9" s="37"/>
      <c r="B9" s="34"/>
      <c r="C9" s="35"/>
      <c r="D9" s="35"/>
      <c r="E9" s="36"/>
      <c r="F9" s="36"/>
      <c r="G9" s="5" t="s">
        <v>77</v>
      </c>
      <c r="H9" s="16">
        <v>4.6099849500000003</v>
      </c>
      <c r="I9" s="17">
        <f t="shared" si="0"/>
        <v>4.6099849500000003</v>
      </c>
    </row>
    <row r="10" spans="1:9" x14ac:dyDescent="0.25">
      <c r="A10" s="37"/>
      <c r="B10" s="34"/>
      <c r="C10" s="35"/>
      <c r="D10" s="35"/>
      <c r="E10" s="36"/>
      <c r="F10" s="36"/>
      <c r="G10" s="5" t="s">
        <v>78</v>
      </c>
      <c r="H10" s="16">
        <v>8.8101934599999989</v>
      </c>
      <c r="I10" s="17" t="str">
        <f t="shared" si="0"/>
        <v>Descartado</v>
      </c>
    </row>
    <row r="11" spans="1:9" x14ac:dyDescent="0.25">
      <c r="A11" s="37"/>
      <c r="B11" s="34"/>
      <c r="C11" s="35"/>
      <c r="D11" s="35"/>
      <c r="E11" s="36"/>
      <c r="F11" s="36"/>
      <c r="G11" s="5" t="s">
        <v>66</v>
      </c>
      <c r="H11" s="16">
        <v>1.997660145</v>
      </c>
      <c r="I11" s="17">
        <f t="shared" si="0"/>
        <v>1.997660145</v>
      </c>
    </row>
    <row r="12" spans="1:9" x14ac:dyDescent="0.25">
      <c r="A12" s="37"/>
      <c r="B12" s="34"/>
      <c r="C12" s="35"/>
      <c r="D12" s="35"/>
      <c r="E12" s="36"/>
      <c r="F12" s="36"/>
      <c r="G12" s="5" t="s">
        <v>69</v>
      </c>
      <c r="H12" s="16">
        <v>1.0244411</v>
      </c>
      <c r="I12" s="17">
        <f t="shared" si="0"/>
        <v>1.0244411</v>
      </c>
    </row>
    <row r="13" spans="1:9" x14ac:dyDescent="0.25">
      <c r="A13" s="37"/>
      <c r="B13" s="34"/>
      <c r="C13" s="35"/>
      <c r="D13" s="35"/>
      <c r="E13" s="36"/>
      <c r="F13" s="36"/>
      <c r="G13" s="5" t="s">
        <v>79</v>
      </c>
      <c r="H13" s="16">
        <v>0.92199699000000002</v>
      </c>
      <c r="I13" s="17">
        <f t="shared" si="0"/>
        <v>0.92199699000000002</v>
      </c>
    </row>
    <row r="14" spans="1:9" x14ac:dyDescent="0.25">
      <c r="A14" s="37"/>
      <c r="B14" s="34"/>
      <c r="C14" s="35"/>
      <c r="D14" s="35"/>
      <c r="E14" s="36"/>
      <c r="F14" s="36"/>
      <c r="G14" s="5" t="s">
        <v>80</v>
      </c>
      <c r="H14" s="16">
        <v>4.0977644</v>
      </c>
      <c r="I14" s="17">
        <f t="shared" si="0"/>
        <v>4.0977644</v>
      </c>
    </row>
    <row r="15" spans="1:9" x14ac:dyDescent="0.25">
      <c r="A15" s="37"/>
      <c r="B15" s="34"/>
      <c r="C15" s="35"/>
      <c r="D15" s="35"/>
      <c r="E15" s="36"/>
      <c r="F15" s="36"/>
      <c r="G15" s="5" t="s">
        <v>81</v>
      </c>
      <c r="H15" s="16">
        <v>8.9536152140000009</v>
      </c>
      <c r="I15" s="17" t="str">
        <f t="shared" si="0"/>
        <v>Descartado</v>
      </c>
    </row>
    <row r="16" spans="1:9" x14ac:dyDescent="0.25">
      <c r="A16" s="37"/>
      <c r="B16" s="34"/>
      <c r="C16" s="35"/>
      <c r="D16" s="35"/>
      <c r="E16" s="36"/>
      <c r="F16" s="36"/>
      <c r="G16" s="5" t="s">
        <v>82</v>
      </c>
      <c r="H16" s="16">
        <v>5.1222054999999997</v>
      </c>
      <c r="I16" s="17">
        <f t="shared" si="0"/>
        <v>5.1222054999999997</v>
      </c>
    </row>
    <row r="17" spans="1:9" x14ac:dyDescent="0.25">
      <c r="A17" s="37"/>
      <c r="B17" s="34"/>
      <c r="C17" s="35"/>
      <c r="D17" s="35"/>
      <c r="E17" s="36"/>
      <c r="F17" s="36"/>
      <c r="G17" s="5" t="s">
        <v>83</v>
      </c>
      <c r="H17" s="16">
        <v>8.9536152140000009</v>
      </c>
      <c r="I17" s="17" t="str">
        <f t="shared" si="0"/>
        <v>Descartado</v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3.0196520119263162</v>
      </c>
      <c r="B20" s="8">
        <f>COUNT(H3:H17)</f>
        <v>15</v>
      </c>
      <c r="C20" s="9">
        <f>IF(B20&lt;2,"n/a",(A20/D20))</f>
        <v>0.68010180448790902</v>
      </c>
      <c r="D20" s="10">
        <f>IFERROR(ROUND(AVERAGE(H3:H17),2),"")</f>
        <v>4.4400000000000004</v>
      </c>
      <c r="E20" s="15">
        <f>IFERROR(ROUND(IF(B20&lt;2,"n/a",(IF(C20&lt;=25%,"n/a",AVERAGE(I3:I17)))),2),"n/a")</f>
        <v>2.87</v>
      </c>
      <c r="F20" s="10">
        <f>IFERROR(ROUND(MEDIAN(H3:H17),2),"")</f>
        <v>4.0999999999999996</v>
      </c>
      <c r="G20" s="11" t="str">
        <f>IFERROR(INDEX(G3:G17,MATCH(H20,H3:H17,0)),"")</f>
        <v>R SILVA E SOUSA LTDA</v>
      </c>
      <c r="H20" s="12">
        <f>F3</f>
        <v>0.92199699000000002</v>
      </c>
    </row>
    <row r="22" spans="1:9" x14ac:dyDescent="0.25">
      <c r="G22" s="13" t="s">
        <v>20</v>
      </c>
      <c r="H22" s="14">
        <f>IF(C20&lt;=25%,D20,MIN(E20:F20))</f>
        <v>2.87</v>
      </c>
    </row>
    <row r="23" spans="1:9" x14ac:dyDescent="0.25">
      <c r="G23" s="13" t="s">
        <v>6</v>
      </c>
      <c r="H23" s="14">
        <f>ROUND(H22,2)*D3</f>
        <v>2870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3</v>
      </c>
      <c r="B3" s="33" t="s">
        <v>132</v>
      </c>
      <c r="C3" s="35" t="s">
        <v>35</v>
      </c>
      <c r="D3" s="35">
        <f>1000*0.25</f>
        <v>250</v>
      </c>
      <c r="E3" s="36">
        <f>IF(C20&lt;=25%,D20,MIN(E20:F20))</f>
        <v>136.72999999999999</v>
      </c>
      <c r="F3" s="36">
        <f>MIN(H3:H17)</f>
        <v>84.946656012000005</v>
      </c>
      <c r="G3" s="5" t="s">
        <v>66</v>
      </c>
      <c r="H3" s="16">
        <v>84.946656012000005</v>
      </c>
      <c r="I3" s="17">
        <f>IF(H3="","",(IF($C$20&lt;25%,"n/a",IF(H3&lt;=($D$20+$A$20),H3,"Descartado"))))</f>
        <v>84.946656012000005</v>
      </c>
    </row>
    <row r="4" spans="1:9" x14ac:dyDescent="0.25">
      <c r="A4" s="37"/>
      <c r="B4" s="34"/>
      <c r="C4" s="35"/>
      <c r="D4" s="35"/>
      <c r="E4" s="36"/>
      <c r="F4" s="36"/>
      <c r="G4" s="5" t="s">
        <v>46</v>
      </c>
      <c r="H4" s="16">
        <v>85.807186536000003</v>
      </c>
      <c r="I4" s="17">
        <f t="shared" ref="I4:I17" si="0">IF(H4="","",(IF($C$20&lt;25%,"n/a",IF(H4&lt;=($D$20+$A$20),H4,"Descartado"))))</f>
        <v>85.807186536000003</v>
      </c>
    </row>
    <row r="5" spans="1:9" x14ac:dyDescent="0.25">
      <c r="A5" s="37"/>
      <c r="B5" s="34"/>
      <c r="C5" s="35"/>
      <c r="D5" s="35"/>
      <c r="E5" s="36"/>
      <c r="F5" s="36"/>
      <c r="G5" s="5" t="s">
        <v>105</v>
      </c>
      <c r="H5" s="16">
        <v>126.00625529999999</v>
      </c>
      <c r="I5" s="17">
        <f t="shared" si="0"/>
        <v>126.00625529999999</v>
      </c>
    </row>
    <row r="6" spans="1:9" x14ac:dyDescent="0.25">
      <c r="A6" s="37"/>
      <c r="B6" s="34"/>
      <c r="C6" s="35"/>
      <c r="D6" s="35"/>
      <c r="E6" s="36"/>
      <c r="F6" s="36"/>
      <c r="G6" s="5" t="s">
        <v>119</v>
      </c>
      <c r="H6" s="16">
        <v>358.55438500000002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 t="s">
        <v>120</v>
      </c>
      <c r="H7" s="16">
        <v>118.73272349000001</v>
      </c>
      <c r="I7" s="17">
        <f t="shared" si="0"/>
        <v>118.73272349000001</v>
      </c>
    </row>
    <row r="8" spans="1:9" x14ac:dyDescent="0.25">
      <c r="A8" s="37"/>
      <c r="B8" s="34"/>
      <c r="C8" s="35"/>
      <c r="D8" s="35"/>
      <c r="E8" s="36"/>
      <c r="F8" s="36"/>
      <c r="G8" s="5" t="s">
        <v>123</v>
      </c>
      <c r="H8" s="16">
        <v>203.8637789</v>
      </c>
      <c r="I8" s="17">
        <f t="shared" si="0"/>
        <v>203.8637789</v>
      </c>
    </row>
    <row r="9" spans="1:9" x14ac:dyDescent="0.25">
      <c r="A9" s="37"/>
      <c r="B9" s="34"/>
      <c r="C9" s="35"/>
      <c r="D9" s="35"/>
      <c r="E9" s="36"/>
      <c r="F9" s="36"/>
      <c r="G9" s="5" t="s">
        <v>107</v>
      </c>
      <c r="H9" s="16">
        <v>142.90953345</v>
      </c>
      <c r="I9" s="17">
        <f t="shared" si="0"/>
        <v>142.90953345</v>
      </c>
    </row>
    <row r="10" spans="1:9" x14ac:dyDescent="0.25">
      <c r="A10" s="37"/>
      <c r="B10" s="34"/>
      <c r="C10" s="35"/>
      <c r="D10" s="35"/>
      <c r="E10" s="36"/>
      <c r="F10" s="36"/>
      <c r="G10" s="5" t="s">
        <v>64</v>
      </c>
      <c r="H10" s="16">
        <v>307.20939706799999</v>
      </c>
      <c r="I10" s="17" t="str">
        <f t="shared" si="0"/>
        <v>Descartado</v>
      </c>
    </row>
    <row r="11" spans="1:9" x14ac:dyDescent="0.25">
      <c r="A11" s="37"/>
      <c r="B11" s="34"/>
      <c r="C11" s="35"/>
      <c r="D11" s="35"/>
      <c r="E11" s="36"/>
      <c r="F11" s="36"/>
      <c r="G11" s="5" t="s">
        <v>81</v>
      </c>
      <c r="H11" s="16">
        <v>284.79462580000001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53</v>
      </c>
      <c r="H12" s="16">
        <v>168.52056095</v>
      </c>
      <c r="I12" s="17">
        <f t="shared" si="0"/>
        <v>168.52056095</v>
      </c>
    </row>
    <row r="13" spans="1:9" x14ac:dyDescent="0.25">
      <c r="A13" s="37"/>
      <c r="B13" s="34"/>
      <c r="C13" s="35"/>
      <c r="D13" s="35"/>
      <c r="E13" s="36"/>
      <c r="F13" s="36"/>
      <c r="G13" s="5" t="s">
        <v>117</v>
      </c>
      <c r="H13" s="16">
        <v>143.42175399999999</v>
      </c>
      <c r="I13" s="17">
        <f t="shared" si="0"/>
        <v>143.42175399999999</v>
      </c>
    </row>
    <row r="14" spans="1:9" x14ac:dyDescent="0.25">
      <c r="A14" s="37"/>
      <c r="B14" s="34"/>
      <c r="C14" s="35"/>
      <c r="D14" s="35"/>
      <c r="E14" s="36"/>
      <c r="F14" s="36"/>
      <c r="G14" s="5" t="s">
        <v>121</v>
      </c>
      <c r="H14" s="16">
        <v>184.39939799999999</v>
      </c>
      <c r="I14" s="17">
        <f t="shared" si="0"/>
        <v>184.39939799999999</v>
      </c>
    </row>
    <row r="15" spans="1:9" x14ac:dyDescent="0.25">
      <c r="A15" s="37"/>
      <c r="B15" s="34"/>
      <c r="C15" s="35"/>
      <c r="D15" s="35"/>
      <c r="E15" s="36"/>
      <c r="F15" s="36"/>
      <c r="G15" s="5" t="s">
        <v>50</v>
      </c>
      <c r="H15" s="16">
        <v>143.42175399999999</v>
      </c>
      <c r="I15" s="17">
        <f t="shared" si="0"/>
        <v>143.42175399999999</v>
      </c>
    </row>
    <row r="16" spans="1:9" x14ac:dyDescent="0.25">
      <c r="A16" s="37"/>
      <c r="B16" s="34"/>
      <c r="C16" s="35"/>
      <c r="D16" s="35"/>
      <c r="E16" s="36"/>
      <c r="F16" s="36"/>
      <c r="G16" s="5" t="s">
        <v>122</v>
      </c>
      <c r="H16" s="16">
        <v>126.00625529999999</v>
      </c>
      <c r="I16" s="17">
        <f t="shared" si="0"/>
        <v>126.00625529999999</v>
      </c>
    </row>
    <row r="17" spans="1:9" x14ac:dyDescent="0.25">
      <c r="A17" s="37"/>
      <c r="B17" s="34"/>
      <c r="C17" s="35"/>
      <c r="D17" s="35"/>
      <c r="E17" s="36"/>
      <c r="F17" s="36"/>
      <c r="G17" s="5" t="s">
        <v>118</v>
      </c>
      <c r="H17" s="16">
        <v>112.68852099999999</v>
      </c>
      <c r="I17" s="17">
        <f t="shared" si="0"/>
        <v>112.68852099999999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82.398287589562187</v>
      </c>
      <c r="B20" s="8">
        <f>COUNT(H3:H17)</f>
        <v>15</v>
      </c>
      <c r="C20" s="9">
        <f>IF(B20&lt;2,"n/a",(A20/D20))</f>
        <v>0.47697995710310964</v>
      </c>
      <c r="D20" s="10">
        <f>IFERROR(ROUND(AVERAGE(H3:H17),2),"")</f>
        <v>172.75</v>
      </c>
      <c r="E20" s="15">
        <f>IFERROR(ROUND(IF(B20&lt;2,"n/a",(IF(C20&lt;=25%,"n/a",AVERAGE(I3:I17)))),2),"n/a")</f>
        <v>136.72999999999999</v>
      </c>
      <c r="F20" s="10">
        <f>IFERROR(ROUND(MEDIAN(H3:H17),2),"")</f>
        <v>143.41999999999999</v>
      </c>
      <c r="G20" s="11" t="str">
        <f>IFERROR(INDEX(G3:G17,MATCH(H20,H3:H17,0)),"")</f>
        <v>TEIXEIRA IMPRESSAO DIGITAL E SOLUCOES GRAFICAS LTDA</v>
      </c>
      <c r="H20" s="12">
        <f>F3</f>
        <v>84.946656012000005</v>
      </c>
    </row>
    <row r="22" spans="1:9" x14ac:dyDescent="0.25">
      <c r="G22" s="13" t="s">
        <v>20</v>
      </c>
      <c r="H22" s="14">
        <f>IF(C20&lt;=25%,D20,MIN(E20:F20))</f>
        <v>136.72999999999999</v>
      </c>
    </row>
    <row r="23" spans="1:9" x14ac:dyDescent="0.25">
      <c r="G23" s="13" t="s">
        <v>6</v>
      </c>
      <c r="H23" s="14">
        <f>ROUND(H22,2)*D3</f>
        <v>34182.5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30</v>
      </c>
      <c r="B3" s="33" t="s">
        <v>158</v>
      </c>
      <c r="C3" s="35" t="s">
        <v>35</v>
      </c>
      <c r="D3" s="35">
        <v>5000</v>
      </c>
      <c r="E3" s="36">
        <f>IF(C20&lt;=25%,D20,MIN(E20:F20))</f>
        <v>2.97</v>
      </c>
      <c r="F3" s="36">
        <f>MIN(H3:H17)</f>
        <v>2</v>
      </c>
      <c r="G3" s="5" t="s">
        <v>227</v>
      </c>
      <c r="H3" s="16">
        <v>2.6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228</v>
      </c>
      <c r="H4" s="16">
        <v>2.5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202</v>
      </c>
      <c r="H5" s="16">
        <v>3.5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118</v>
      </c>
      <c r="H6" s="16">
        <v>2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93</v>
      </c>
      <c r="H7" s="16">
        <v>2.8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221</v>
      </c>
      <c r="H8" s="16">
        <v>3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229</v>
      </c>
      <c r="H9" s="16">
        <v>3.4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230</v>
      </c>
      <c r="H10" s="16">
        <v>3.49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 t="s">
        <v>231</v>
      </c>
      <c r="H11" s="16">
        <v>2.8</v>
      </c>
      <c r="I11" s="17" t="str">
        <f t="shared" si="0"/>
        <v>n/a</v>
      </c>
    </row>
    <row r="12" spans="1:9" x14ac:dyDescent="0.25">
      <c r="A12" s="37"/>
      <c r="B12" s="34"/>
      <c r="C12" s="35"/>
      <c r="D12" s="35"/>
      <c r="E12" s="36"/>
      <c r="F12" s="36"/>
      <c r="G12" s="5" t="s">
        <v>232</v>
      </c>
      <c r="H12" s="16">
        <v>3.6109</v>
      </c>
      <c r="I12" s="17" t="str">
        <f t="shared" si="0"/>
        <v>n/a</v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0.527504895079972</v>
      </c>
      <c r="B20" s="8">
        <f>COUNT(H3:H17)</f>
        <v>10</v>
      </c>
      <c r="C20" s="9">
        <f>IF(B20&lt;2,"n/a",(A20/D20))</f>
        <v>0.17761107578450236</v>
      </c>
      <c r="D20" s="10">
        <f>IFERROR(ROUND(AVERAGE(H3:H17),2),"")</f>
        <v>2.97</v>
      </c>
      <c r="E20" s="15" t="str">
        <f>IFERROR(ROUND(IF(B20&lt;2,"n/a",(IF(C20&lt;=25%,"n/a",AVERAGE(I3:I17)))),2),"n/a")</f>
        <v>n/a</v>
      </c>
      <c r="F20" s="10">
        <f>IFERROR(ROUND(MEDIAN(H3:H17),2),"")</f>
        <v>2.9</v>
      </c>
      <c r="G20" s="11" t="str">
        <f>IFERROR(INDEX(G3:G17,MATCH(H20,H3:H17,0)),"")</f>
        <v>GRAFICA E EDITORA SANTA CRUZ LTDA</v>
      </c>
      <c r="H20" s="12">
        <f>F3</f>
        <v>2</v>
      </c>
    </row>
    <row r="22" spans="1:9" x14ac:dyDescent="0.25">
      <c r="G22" s="13" t="s">
        <v>20</v>
      </c>
      <c r="H22" s="14">
        <f>IF(C20&lt;=25%,D20,MIN(E20:F20))</f>
        <v>2.97</v>
      </c>
    </row>
    <row r="23" spans="1:9" x14ac:dyDescent="0.25">
      <c r="G23" s="13" t="s">
        <v>6</v>
      </c>
      <c r="H23" s="14">
        <f>ROUND(H22,2)*D3</f>
        <v>14850.000000000002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31</v>
      </c>
      <c r="B3" s="33" t="s">
        <v>159</v>
      </c>
      <c r="C3" s="35" t="s">
        <v>35</v>
      </c>
      <c r="D3" s="35">
        <v>3000</v>
      </c>
      <c r="E3" s="36">
        <f>IF(C20&lt;=25%,D20,MIN(E20:F20))</f>
        <v>4.66</v>
      </c>
      <c r="F3" s="36">
        <f>MIN(H3:H17)</f>
        <v>1.4</v>
      </c>
      <c r="G3" s="5" t="s">
        <v>226</v>
      </c>
      <c r="H3" s="16">
        <v>3.5</v>
      </c>
      <c r="I3" s="17">
        <f>IF(H3="","",(IF($C$20&lt;25%,"n/a",IF(H3&lt;=($D$20+$A$20),H3,"Descartado"))))</f>
        <v>3.5</v>
      </c>
    </row>
    <row r="4" spans="1:9" x14ac:dyDescent="0.25">
      <c r="A4" s="37"/>
      <c r="B4" s="34"/>
      <c r="C4" s="35"/>
      <c r="D4" s="35"/>
      <c r="E4" s="36"/>
      <c r="F4" s="36"/>
      <c r="G4" s="5" t="s">
        <v>190</v>
      </c>
      <c r="H4" s="16">
        <v>6.5</v>
      </c>
      <c r="I4" s="17">
        <f t="shared" ref="I4:I17" si="0">IF(H4="","",(IF($C$20&lt;25%,"n/a",IF(H4&lt;=($D$20+$A$20),H4,"Descartado"))))</f>
        <v>6.5</v>
      </c>
    </row>
    <row r="5" spans="1:9" x14ac:dyDescent="0.25">
      <c r="A5" s="37"/>
      <c r="B5" s="34"/>
      <c r="C5" s="35"/>
      <c r="D5" s="35"/>
      <c r="E5" s="36"/>
      <c r="F5" s="36"/>
      <c r="G5" s="5" t="s">
        <v>80</v>
      </c>
      <c r="H5" s="16">
        <v>6.5</v>
      </c>
      <c r="I5" s="17">
        <f t="shared" si="0"/>
        <v>6.5</v>
      </c>
    </row>
    <row r="6" spans="1:9" x14ac:dyDescent="0.25">
      <c r="A6" s="37"/>
      <c r="B6" s="34"/>
      <c r="C6" s="35"/>
      <c r="D6" s="35"/>
      <c r="E6" s="36"/>
      <c r="F6" s="36"/>
      <c r="G6" s="5" t="s">
        <v>216</v>
      </c>
      <c r="H6" s="16">
        <v>1.4</v>
      </c>
      <c r="I6" s="17">
        <f t="shared" si="0"/>
        <v>1.4</v>
      </c>
    </row>
    <row r="7" spans="1:9" x14ac:dyDescent="0.25">
      <c r="A7" s="37"/>
      <c r="B7" s="34"/>
      <c r="C7" s="35"/>
      <c r="D7" s="35"/>
      <c r="E7" s="36"/>
      <c r="F7" s="36"/>
      <c r="G7" s="5" t="s">
        <v>217</v>
      </c>
      <c r="H7" s="16">
        <v>6.5</v>
      </c>
      <c r="I7" s="17">
        <f t="shared" si="0"/>
        <v>6.5</v>
      </c>
    </row>
    <row r="8" spans="1:9" x14ac:dyDescent="0.25">
      <c r="A8" s="37"/>
      <c r="B8" s="34"/>
      <c r="C8" s="35"/>
      <c r="D8" s="35"/>
      <c r="E8" s="36"/>
      <c r="F8" s="36"/>
      <c r="G8" s="5" t="s">
        <v>218</v>
      </c>
      <c r="H8" s="16">
        <v>5.5</v>
      </c>
      <c r="I8" s="17">
        <f t="shared" si="0"/>
        <v>5.5</v>
      </c>
    </row>
    <row r="9" spans="1:9" x14ac:dyDescent="0.25">
      <c r="A9" s="37"/>
      <c r="B9" s="34"/>
      <c r="C9" s="35"/>
      <c r="D9" s="35"/>
      <c r="E9" s="36"/>
      <c r="F9" s="36"/>
      <c r="G9" s="5" t="s">
        <v>64</v>
      </c>
      <c r="H9" s="16">
        <v>6.47</v>
      </c>
      <c r="I9" s="17">
        <f t="shared" si="0"/>
        <v>6.47</v>
      </c>
    </row>
    <row r="10" spans="1:9" x14ac:dyDescent="0.25">
      <c r="A10" s="37"/>
      <c r="B10" s="34"/>
      <c r="C10" s="35"/>
      <c r="D10" s="35"/>
      <c r="E10" s="36"/>
      <c r="F10" s="36"/>
      <c r="G10" s="5" t="s">
        <v>219</v>
      </c>
      <c r="H10" s="16">
        <v>4.9000000000000004</v>
      </c>
      <c r="I10" s="17">
        <f t="shared" si="0"/>
        <v>4.9000000000000004</v>
      </c>
    </row>
    <row r="11" spans="1:9" x14ac:dyDescent="0.25">
      <c r="A11" s="37"/>
      <c r="B11" s="34"/>
      <c r="C11" s="35"/>
      <c r="D11" s="35"/>
      <c r="E11" s="36"/>
      <c r="F11" s="36"/>
      <c r="G11" s="5" t="s">
        <v>118</v>
      </c>
      <c r="H11" s="16">
        <v>1.5</v>
      </c>
      <c r="I11" s="17">
        <f t="shared" si="0"/>
        <v>1.5</v>
      </c>
    </row>
    <row r="12" spans="1:9" x14ac:dyDescent="0.25">
      <c r="A12" s="37"/>
      <c r="B12" s="34"/>
      <c r="C12" s="35"/>
      <c r="D12" s="35"/>
      <c r="E12" s="36"/>
      <c r="F12" s="36"/>
      <c r="G12" s="5" t="s">
        <v>220</v>
      </c>
      <c r="H12" s="16">
        <v>6.3</v>
      </c>
      <c r="I12" s="17">
        <f t="shared" si="0"/>
        <v>6.3</v>
      </c>
    </row>
    <row r="13" spans="1:9" x14ac:dyDescent="0.25">
      <c r="A13" s="37"/>
      <c r="B13" s="34"/>
      <c r="C13" s="35"/>
      <c r="D13" s="35"/>
      <c r="E13" s="36"/>
      <c r="F13" s="36"/>
      <c r="G13" s="5" t="s">
        <v>221</v>
      </c>
      <c r="H13" s="16">
        <v>3.6</v>
      </c>
      <c r="I13" s="17">
        <f t="shared" si="0"/>
        <v>3.6</v>
      </c>
    </row>
    <row r="14" spans="1:9" x14ac:dyDescent="0.25">
      <c r="A14" s="37"/>
      <c r="B14" s="34"/>
      <c r="C14" s="35"/>
      <c r="D14" s="35"/>
      <c r="E14" s="36"/>
      <c r="F14" s="36"/>
      <c r="G14" s="5" t="s">
        <v>222</v>
      </c>
      <c r="H14" s="16">
        <v>6</v>
      </c>
      <c r="I14" s="17">
        <f t="shared" si="0"/>
        <v>6</v>
      </c>
    </row>
    <row r="15" spans="1:9" x14ac:dyDescent="0.25">
      <c r="A15" s="37"/>
      <c r="B15" s="34"/>
      <c r="C15" s="35"/>
      <c r="D15" s="35"/>
      <c r="E15" s="36"/>
      <c r="F15" s="36"/>
      <c r="G15" s="5" t="s">
        <v>223</v>
      </c>
      <c r="H15" s="16">
        <v>3.25</v>
      </c>
      <c r="I15" s="17">
        <f t="shared" si="0"/>
        <v>3.25</v>
      </c>
    </row>
    <row r="16" spans="1:9" x14ac:dyDescent="0.25">
      <c r="A16" s="37"/>
      <c r="B16" s="34"/>
      <c r="C16" s="35"/>
      <c r="D16" s="35"/>
      <c r="E16" s="36"/>
      <c r="F16" s="36"/>
      <c r="G16" s="5" t="s">
        <v>224</v>
      </c>
      <c r="H16" s="16">
        <v>6.5</v>
      </c>
      <c r="I16" s="17">
        <f t="shared" si="0"/>
        <v>6.5</v>
      </c>
    </row>
    <row r="17" spans="1:9" x14ac:dyDescent="0.25">
      <c r="A17" s="37"/>
      <c r="B17" s="34"/>
      <c r="C17" s="35"/>
      <c r="D17" s="35"/>
      <c r="E17" s="36"/>
      <c r="F17" s="36"/>
      <c r="G17" s="5" t="s">
        <v>225</v>
      </c>
      <c r="H17" s="16">
        <v>1.49</v>
      </c>
      <c r="I17" s="17">
        <f t="shared" si="0"/>
        <v>1.49</v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2.0210727938635076</v>
      </c>
      <c r="B20" s="8">
        <f>COUNT(H3:H17)</f>
        <v>15</v>
      </c>
      <c r="C20" s="9">
        <f>IF(B20&lt;2,"n/a",(A20/D20))</f>
        <v>0.43370660812521622</v>
      </c>
      <c r="D20" s="10">
        <f>IFERROR(ROUND(AVERAGE(H3:H17),2),"")</f>
        <v>4.66</v>
      </c>
      <c r="E20" s="15">
        <f>IFERROR(ROUND(IF(B20&lt;2,"n/a",(IF(C20&lt;=25%,"n/a",AVERAGE(I3:I17)))),2),"n/a")</f>
        <v>4.66</v>
      </c>
      <c r="F20" s="10">
        <f>IFERROR(ROUND(MEDIAN(H3:H17),2),"")</f>
        <v>5.5</v>
      </c>
      <c r="G20" s="11" t="str">
        <f>IFERROR(INDEX(G3:G17,MATCH(H20,H3:H17,0)),"")</f>
        <v>C GALATI LTDA</v>
      </c>
      <c r="H20" s="12">
        <f>F3</f>
        <v>1.4</v>
      </c>
    </row>
    <row r="22" spans="1:9" x14ac:dyDescent="0.25">
      <c r="G22" s="13" t="s">
        <v>20</v>
      </c>
      <c r="H22" s="14">
        <f>IF(C20&lt;=25%,D20,MIN(E20:F20))</f>
        <v>4.66</v>
      </c>
    </row>
    <row r="23" spans="1:9" x14ac:dyDescent="0.25">
      <c r="G23" s="13" t="s">
        <v>6</v>
      </c>
      <c r="H23" s="14">
        <f>ROUND(H22,2)*D3</f>
        <v>13980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32</v>
      </c>
      <c r="B3" s="33" t="s">
        <v>160</v>
      </c>
      <c r="C3" s="35" t="s">
        <v>35</v>
      </c>
      <c r="D3" s="35">
        <v>3000</v>
      </c>
      <c r="E3" s="36">
        <f>IF(C20&lt;=25%,D20,MIN(E20:F20))</f>
        <v>1.37</v>
      </c>
      <c r="F3" s="36">
        <f>MIN(H3:H17)</f>
        <v>1.3317734300000001</v>
      </c>
      <c r="G3" s="5" t="s">
        <v>124</v>
      </c>
      <c r="H3" s="16">
        <v>1.3317734300000001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1.3727510740000002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1.3829954850000001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126</v>
      </c>
      <c r="H6" s="16">
        <v>1.3829954850000001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127</v>
      </c>
      <c r="H7" s="16">
        <v>1.3727510740000002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2.1243262790088539E-2</v>
      </c>
      <c r="B20" s="8">
        <f>COUNT(H3:H17)</f>
        <v>5</v>
      </c>
      <c r="C20" s="9">
        <f>IF(B20&lt;2,"n/a",(A20/D20))</f>
        <v>1.5506031233641268E-2</v>
      </c>
      <c r="D20" s="10">
        <f>IFERROR(ROUND(AVERAGE(H3:H17),2),"")</f>
        <v>1.37</v>
      </c>
      <c r="E20" s="15" t="str">
        <f>IFERROR(ROUND(IF(B20&lt;2,"n/a",(IF(C20&lt;=25%,"n/a",AVERAGE(I3:I17)))),2),"n/a")</f>
        <v>n/a</v>
      </c>
      <c r="F20" s="10">
        <f>IFERROR(ROUND(MEDIAN(H3:H17),2),"")</f>
        <v>1.37</v>
      </c>
      <c r="G20" s="11" t="str">
        <f>IFERROR(INDEX(G3:G17,MATCH(H20,H3:H17,0)),"")</f>
        <v>ACDF COMUNICACAO VISUAL E GRAFICA LTDA</v>
      </c>
      <c r="H20" s="12">
        <f>F3</f>
        <v>1.3317734300000001</v>
      </c>
    </row>
    <row r="22" spans="1:9" x14ac:dyDescent="0.25">
      <c r="G22" s="13" t="s">
        <v>20</v>
      </c>
      <c r="H22" s="14">
        <f>IF(C20&lt;=25%,D20,MIN(E20:F20))</f>
        <v>1.37</v>
      </c>
    </row>
    <row r="23" spans="1:9" x14ac:dyDescent="0.25">
      <c r="G23" s="13" t="s">
        <v>6</v>
      </c>
      <c r="H23" s="14">
        <f>ROUND(H22,2)*D3</f>
        <v>4110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33</v>
      </c>
      <c r="B3" s="33" t="s">
        <v>161</v>
      </c>
      <c r="C3" s="35" t="s">
        <v>35</v>
      </c>
      <c r="D3" s="35">
        <v>1500</v>
      </c>
      <c r="E3" s="36">
        <f>IF(C20&lt;=25%,D20,MIN(E20:F20))</f>
        <v>0.95</v>
      </c>
      <c r="F3" s="36">
        <f>MIN(H3:H17)</f>
        <v>0.8502861129999999</v>
      </c>
      <c r="G3" s="5" t="s">
        <v>124</v>
      </c>
      <c r="H3" s="16">
        <v>0.8502861129999999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125</v>
      </c>
      <c r="H4" s="16">
        <v>0.94248581200000003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126</v>
      </c>
      <c r="H5" s="16">
        <v>1.0551743330000001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127</v>
      </c>
      <c r="H6" s="16">
        <v>0.94248581200000003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8.3854117975050685E-2</v>
      </c>
      <c r="B20" s="8">
        <f>COUNT(H3:H17)</f>
        <v>4</v>
      </c>
      <c r="C20" s="9">
        <f>IF(B20&lt;2,"n/a",(A20/D20))</f>
        <v>8.8267492605316508E-2</v>
      </c>
      <c r="D20" s="10">
        <f>IFERROR(ROUND(AVERAGE(H3:H17),2),"")</f>
        <v>0.95</v>
      </c>
      <c r="E20" s="15" t="str">
        <f>IFERROR(ROUND(IF(B20&lt;2,"n/a",(IF(C20&lt;=25%,"n/a",AVERAGE(I3:I17)))),2),"n/a")</f>
        <v>n/a</v>
      </c>
      <c r="F20" s="10">
        <f>IFERROR(ROUND(MEDIAN(H3:H17),2),"")</f>
        <v>0.94</v>
      </c>
      <c r="G20" s="11" t="str">
        <f>IFERROR(INDEX(G3:G17,MATCH(H20,H3:H17,0)),"")</f>
        <v>ACDF COMUNICACAO VISUAL E GRAFICA LTDA</v>
      </c>
      <c r="H20" s="12">
        <f>F3</f>
        <v>0.8502861129999999</v>
      </c>
    </row>
    <row r="22" spans="1:9" x14ac:dyDescent="0.25">
      <c r="G22" s="13" t="s">
        <v>20</v>
      </c>
      <c r="H22" s="14">
        <f>IF(C20&lt;=25%,D20,MIN(E20:F20))</f>
        <v>0.95</v>
      </c>
    </row>
    <row r="23" spans="1:9" x14ac:dyDescent="0.25">
      <c r="G23" s="13" t="s">
        <v>6</v>
      </c>
      <c r="H23" s="14">
        <f>ROUND(H22,2)*D3</f>
        <v>1425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34</v>
      </c>
      <c r="B3" s="33" t="s">
        <v>162</v>
      </c>
      <c r="C3" s="35" t="s">
        <v>35</v>
      </c>
      <c r="D3" s="35">
        <v>700</v>
      </c>
      <c r="E3" s="36">
        <f>IF(C20&lt;=25%,D20,MIN(E20:F20))</f>
        <v>5.09</v>
      </c>
      <c r="F3" s="36">
        <f>MIN(H3:H17)</f>
        <v>4.9173172799999998</v>
      </c>
      <c r="G3" s="5" t="s">
        <v>203</v>
      </c>
      <c r="H3" s="16">
        <v>4.9173172799999998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250</v>
      </c>
      <c r="H4" s="16">
        <v>5.1222054999999997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198</v>
      </c>
      <c r="H5" s="16">
        <v>5.1222054999999997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251</v>
      </c>
      <c r="H6" s="16">
        <v>5.1222054999999997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252</v>
      </c>
      <c r="H7" s="16">
        <v>5.1222054999999997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70</v>
      </c>
      <c r="H8" s="16">
        <v>5.1222054999999997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253</v>
      </c>
      <c r="H9" s="16">
        <v>5.1222054999999997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7.7440468098098597E-2</v>
      </c>
      <c r="B20" s="8">
        <f>COUNT(H3:H17)</f>
        <v>7</v>
      </c>
      <c r="C20" s="9">
        <f>IF(B20&lt;2,"n/a",(A20/D20))</f>
        <v>1.5214237347367111E-2</v>
      </c>
      <c r="D20" s="10">
        <f>IFERROR(ROUND(AVERAGE(H3:H17),2),"")</f>
        <v>5.09</v>
      </c>
      <c r="E20" s="15" t="str">
        <f>IFERROR(ROUND(IF(B20&lt;2,"n/a",(IF(C20&lt;=25%,"n/a",AVERAGE(I3:I17)))),2),"n/a")</f>
        <v>n/a</v>
      </c>
      <c r="F20" s="10">
        <f>IFERROR(ROUND(MEDIAN(H3:H17),2),"")</f>
        <v>5.12</v>
      </c>
      <c r="G20" s="11" t="str">
        <f>IFERROR(INDEX(G3:G17,MATCH(H20,H3:H17,0)),"")</f>
        <v>INGRAFOTO REPRODUCOES EM FOTOLITO LTDA</v>
      </c>
      <c r="H20" s="12">
        <f>F3</f>
        <v>4.9173172799999998</v>
      </c>
    </row>
    <row r="22" spans="1:9" x14ac:dyDescent="0.25">
      <c r="G22" s="13" t="s">
        <v>20</v>
      </c>
      <c r="H22" s="14">
        <f>IF(C20&lt;=25%,D20,MIN(E20:F20))</f>
        <v>5.09</v>
      </c>
    </row>
    <row r="23" spans="1:9" x14ac:dyDescent="0.25">
      <c r="G23" s="13" t="s">
        <v>6</v>
      </c>
      <c r="H23" s="14">
        <f>ROUND(H22,2)*D3</f>
        <v>3563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4" sqref="H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35</v>
      </c>
      <c r="B3" s="33" t="s">
        <v>163</v>
      </c>
      <c r="C3" s="35" t="s">
        <v>35</v>
      </c>
      <c r="D3" s="35">
        <v>3000</v>
      </c>
      <c r="E3" s="36">
        <f>IF(C20&lt;=25%,D20,MIN(E20:F20))</f>
        <v>0.41</v>
      </c>
      <c r="F3" s="36">
        <f>MIN(H3:H17)</f>
        <v>0.15</v>
      </c>
      <c r="G3" s="5" t="s">
        <v>82</v>
      </c>
      <c r="H3" s="16">
        <v>0.15</v>
      </c>
      <c r="I3" s="17">
        <f>IF(H3="","",(IF($C$20&lt;25%,"n/a",IF(H3&lt;=($D$20+$A$20),H3,"Descartado"))))</f>
        <v>0.15</v>
      </c>
    </row>
    <row r="4" spans="1:9" x14ac:dyDescent="0.25">
      <c r="A4" s="37"/>
      <c r="B4" s="34"/>
      <c r="C4" s="35"/>
      <c r="D4" s="35"/>
      <c r="E4" s="36"/>
      <c r="F4" s="36"/>
      <c r="G4" s="5" t="s">
        <v>175</v>
      </c>
      <c r="H4" s="16">
        <v>0.25</v>
      </c>
      <c r="I4" s="17">
        <f t="shared" ref="I4:I17" si="0">IF(H4="","",(IF($C$20&lt;25%,"n/a",IF(H4&lt;=($D$20+$A$20),H4,"Descartado"))))</f>
        <v>0.25</v>
      </c>
    </row>
    <row r="5" spans="1:9" x14ac:dyDescent="0.25">
      <c r="A5" s="37"/>
      <c r="B5" s="34"/>
      <c r="C5" s="35"/>
      <c r="D5" s="35"/>
      <c r="E5" s="36"/>
      <c r="F5" s="36"/>
      <c r="G5" s="5" t="s">
        <v>176</v>
      </c>
      <c r="H5" s="16">
        <v>0.35</v>
      </c>
      <c r="I5" s="17">
        <f t="shared" si="0"/>
        <v>0.35</v>
      </c>
    </row>
    <row r="6" spans="1:9" x14ac:dyDescent="0.25">
      <c r="A6" s="37"/>
      <c r="B6" s="34"/>
      <c r="C6" s="35"/>
      <c r="D6" s="35"/>
      <c r="E6" s="36"/>
      <c r="F6" s="36"/>
      <c r="G6" s="5" t="s">
        <v>177</v>
      </c>
      <c r="H6" s="16">
        <v>0.46</v>
      </c>
      <c r="I6" s="17">
        <f t="shared" si="0"/>
        <v>0.46</v>
      </c>
    </row>
    <row r="7" spans="1:9" x14ac:dyDescent="0.25">
      <c r="A7" s="37"/>
      <c r="B7" s="34"/>
      <c r="C7" s="35"/>
      <c r="D7" s="35"/>
      <c r="E7" s="36"/>
      <c r="F7" s="36"/>
      <c r="G7" s="5" t="s">
        <v>64</v>
      </c>
      <c r="H7" s="16">
        <v>0.47</v>
      </c>
      <c r="I7" s="17">
        <f t="shared" si="0"/>
        <v>0.47</v>
      </c>
    </row>
    <row r="8" spans="1:9" x14ac:dyDescent="0.25">
      <c r="A8" s="37"/>
      <c r="B8" s="34"/>
      <c r="C8" s="35"/>
      <c r="D8" s="35"/>
      <c r="E8" s="36"/>
      <c r="F8" s="36"/>
      <c r="G8" s="5" t="s">
        <v>79</v>
      </c>
      <c r="H8" s="16">
        <v>0.48</v>
      </c>
      <c r="I8" s="17">
        <f t="shared" si="0"/>
        <v>0.48</v>
      </c>
    </row>
    <row r="9" spans="1:9" x14ac:dyDescent="0.25">
      <c r="A9" s="37"/>
      <c r="B9" s="34"/>
      <c r="C9" s="35"/>
      <c r="D9" s="35"/>
      <c r="E9" s="36"/>
      <c r="F9" s="36"/>
      <c r="G9" s="5" t="s">
        <v>178</v>
      </c>
      <c r="H9" s="16">
        <v>0.48</v>
      </c>
      <c r="I9" s="17">
        <f t="shared" si="0"/>
        <v>0.48</v>
      </c>
    </row>
    <row r="10" spans="1:9" x14ac:dyDescent="0.25">
      <c r="A10" s="37"/>
      <c r="B10" s="34"/>
      <c r="C10" s="35"/>
      <c r="D10" s="35"/>
      <c r="E10" s="36"/>
      <c r="F10" s="36"/>
      <c r="G10" s="5" t="s">
        <v>179</v>
      </c>
      <c r="H10" s="16">
        <v>0.48</v>
      </c>
      <c r="I10" s="17">
        <f t="shared" si="0"/>
        <v>0.48</v>
      </c>
    </row>
    <row r="11" spans="1:9" x14ac:dyDescent="0.25">
      <c r="A11" s="37"/>
      <c r="B11" s="34"/>
      <c r="C11" s="35"/>
      <c r="D11" s="35"/>
      <c r="E11" s="36"/>
      <c r="F11" s="36"/>
      <c r="G11" s="5" t="s">
        <v>180</v>
      </c>
      <c r="H11" s="16">
        <v>0.48</v>
      </c>
      <c r="I11" s="17">
        <f t="shared" si="0"/>
        <v>0.48</v>
      </c>
    </row>
    <row r="12" spans="1:9" x14ac:dyDescent="0.25">
      <c r="A12" s="37"/>
      <c r="B12" s="34"/>
      <c r="C12" s="35"/>
      <c r="D12" s="35"/>
      <c r="E12" s="36"/>
      <c r="F12" s="36"/>
      <c r="G12" s="5" t="s">
        <v>181</v>
      </c>
      <c r="H12" s="16">
        <v>0.5</v>
      </c>
      <c r="I12" s="17">
        <f t="shared" si="0"/>
        <v>0.5</v>
      </c>
    </row>
    <row r="13" spans="1:9" x14ac:dyDescent="0.25">
      <c r="A13" s="37"/>
      <c r="B13" s="34"/>
      <c r="C13" s="35"/>
      <c r="D13" s="35"/>
      <c r="E13" s="36"/>
      <c r="F13" s="36"/>
      <c r="G13" s="5" t="s">
        <v>182</v>
      </c>
      <c r="H13" s="16">
        <v>3</v>
      </c>
      <c r="I13" s="17" t="str">
        <f t="shared" si="0"/>
        <v>Descartado</v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0.78923207786257199</v>
      </c>
      <c r="B20" s="8">
        <f>COUNT(H3:H17)</f>
        <v>11</v>
      </c>
      <c r="C20" s="9">
        <f>IF(B20&lt;2,"n/a",(A20/D20))</f>
        <v>1.2142031967116491</v>
      </c>
      <c r="D20" s="10">
        <f>IFERROR(ROUND(AVERAGE(H3:H17),2),"")</f>
        <v>0.65</v>
      </c>
      <c r="E20" s="15">
        <f>IFERROR(ROUND(IF(B20&lt;2,"n/a",(IF(C20&lt;=25%,"n/a",AVERAGE(I3:I17)))),2),"n/a")</f>
        <v>0.41</v>
      </c>
      <c r="F20" s="10">
        <f>IFERROR(ROUND(MEDIAN(H3:H17),2),"")</f>
        <v>0.48</v>
      </c>
      <c r="G20" s="11" t="str">
        <f>IFERROR(INDEX(G3:G17,MATCH(H20,H3:H17,0)),"")</f>
        <v>R &amp; S COMUNICACAO VISUAL LTDA</v>
      </c>
      <c r="H20" s="12">
        <f>F3</f>
        <v>0.15</v>
      </c>
    </row>
    <row r="22" spans="1:9" x14ac:dyDescent="0.25">
      <c r="G22" s="13" t="s">
        <v>20</v>
      </c>
      <c r="H22" s="14">
        <f>IF(C20&lt;=25%,D20,MIN(E20:F20))</f>
        <v>0.41</v>
      </c>
    </row>
    <row r="23" spans="1:9" x14ac:dyDescent="0.25">
      <c r="G23" s="13" t="s">
        <v>6</v>
      </c>
      <c r="H23" s="14">
        <f>ROUND(H22,2)*D3</f>
        <v>1230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36</v>
      </c>
      <c r="B3" s="33" t="s">
        <v>164</v>
      </c>
      <c r="C3" s="35" t="s">
        <v>37</v>
      </c>
      <c r="D3" s="35">
        <v>100</v>
      </c>
      <c r="E3" s="36">
        <f>IF(C20&lt;=25%,D20,MIN(E20:F20))</f>
        <v>270.32</v>
      </c>
      <c r="F3" s="36">
        <f>MIN(H3:H17)</f>
        <v>189.5216035</v>
      </c>
      <c r="G3" s="5" t="s">
        <v>51</v>
      </c>
      <c r="H3" s="16">
        <v>189.5216035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46</v>
      </c>
      <c r="H4" s="16">
        <v>204.88821999999999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47</v>
      </c>
      <c r="H5" s="16">
        <v>220.25483650000001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60</v>
      </c>
      <c r="H6" s="16">
        <v>225.37704199999999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68</v>
      </c>
      <c r="H7" s="16">
        <v>230.4992475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56</v>
      </c>
      <c r="H8" s="16">
        <v>234.39212368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74</v>
      </c>
      <c r="H9" s="16">
        <v>256.10003058900003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53</v>
      </c>
      <c r="H10" s="16">
        <v>256.110275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 t="s">
        <v>69</v>
      </c>
      <c r="H11" s="16">
        <v>276.59909699999997</v>
      </c>
      <c r="I11" s="17" t="str">
        <f t="shared" si="0"/>
        <v>n/a</v>
      </c>
    </row>
    <row r="12" spans="1:9" x14ac:dyDescent="0.25">
      <c r="A12" s="37"/>
      <c r="B12" s="34"/>
      <c r="C12" s="35"/>
      <c r="D12" s="35"/>
      <c r="E12" s="36"/>
      <c r="F12" s="36"/>
      <c r="G12" s="5" t="s">
        <v>70</v>
      </c>
      <c r="H12" s="16">
        <v>303.22432118900002</v>
      </c>
      <c r="I12" s="17" t="str">
        <f t="shared" si="0"/>
        <v>n/a</v>
      </c>
    </row>
    <row r="13" spans="1:9" x14ac:dyDescent="0.25">
      <c r="A13" s="37"/>
      <c r="B13" s="34"/>
      <c r="C13" s="35"/>
      <c r="D13" s="35"/>
      <c r="E13" s="36"/>
      <c r="F13" s="36"/>
      <c r="G13" s="5" t="s">
        <v>62</v>
      </c>
      <c r="H13" s="16">
        <v>303.2345656</v>
      </c>
      <c r="I13" s="17" t="str">
        <f t="shared" si="0"/>
        <v>n/a</v>
      </c>
    </row>
    <row r="14" spans="1:9" x14ac:dyDescent="0.25">
      <c r="A14" s="37"/>
      <c r="B14" s="34"/>
      <c r="C14" s="35"/>
      <c r="D14" s="35"/>
      <c r="E14" s="36"/>
      <c r="F14" s="36"/>
      <c r="G14" s="5" t="s">
        <v>63</v>
      </c>
      <c r="H14" s="16">
        <v>307.33233000000001</v>
      </c>
      <c r="I14" s="17" t="str">
        <f t="shared" si="0"/>
        <v>n/a</v>
      </c>
    </row>
    <row r="15" spans="1:9" x14ac:dyDescent="0.25">
      <c r="A15" s="37"/>
      <c r="B15" s="34"/>
      <c r="C15" s="35"/>
      <c r="D15" s="35"/>
      <c r="E15" s="36"/>
      <c r="F15" s="36"/>
      <c r="G15" s="5" t="s">
        <v>50</v>
      </c>
      <c r="H15" s="16">
        <v>307.33233000000001</v>
      </c>
      <c r="I15" s="17" t="str">
        <f t="shared" si="0"/>
        <v>n/a</v>
      </c>
    </row>
    <row r="16" spans="1:9" x14ac:dyDescent="0.25">
      <c r="A16" s="37"/>
      <c r="B16" s="34"/>
      <c r="C16" s="35"/>
      <c r="D16" s="35"/>
      <c r="E16" s="36"/>
      <c r="F16" s="36"/>
      <c r="G16" s="5" t="s">
        <v>61</v>
      </c>
      <c r="H16" s="16">
        <v>344.21220959999999</v>
      </c>
      <c r="I16" s="17" t="str">
        <f t="shared" si="0"/>
        <v>n/a</v>
      </c>
    </row>
    <row r="17" spans="1:9" x14ac:dyDescent="0.25">
      <c r="A17" s="37"/>
      <c r="B17" s="34"/>
      <c r="C17" s="35"/>
      <c r="D17" s="35"/>
      <c r="E17" s="36"/>
      <c r="F17" s="36"/>
      <c r="G17" s="5" t="s">
        <v>66</v>
      </c>
      <c r="H17" s="16">
        <v>395.73135251900004</v>
      </c>
      <c r="I17" s="17" t="str">
        <f t="shared" si="0"/>
        <v>n/a</v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56.537028562197172</v>
      </c>
      <c r="B20" s="8">
        <f>COUNT(H3:H17)</f>
        <v>15</v>
      </c>
      <c r="C20" s="9">
        <f>IF(B20&lt;2,"n/a",(A20/D20))</f>
        <v>0.20914852235201678</v>
      </c>
      <c r="D20" s="10">
        <f>IFERROR(ROUND(AVERAGE(H3:H17),2),"")</f>
        <v>270.32</v>
      </c>
      <c r="E20" s="15" t="str">
        <f>IFERROR(ROUND(IF(B20&lt;2,"n/a",(IF(C20&lt;=25%,"n/a",AVERAGE(I3:I17)))),2),"n/a")</f>
        <v>n/a</v>
      </c>
      <c r="F20" s="10">
        <f>IFERROR(ROUND(MEDIAN(H3:H17),2),"")</f>
        <v>256.11</v>
      </c>
      <c r="G20" s="11" t="str">
        <f>IFERROR(INDEX(G3:G17,MATCH(H20,H3:H17,0)),"")</f>
        <v>GOL GRAFICA E EDITORA LTDA</v>
      </c>
      <c r="H20" s="12">
        <f>F3</f>
        <v>189.5216035</v>
      </c>
    </row>
    <row r="22" spans="1:9" x14ac:dyDescent="0.25">
      <c r="G22" s="13" t="s">
        <v>20</v>
      </c>
      <c r="H22" s="14">
        <f>IF(C20&lt;=25%,D20,MIN(E20:F20))</f>
        <v>270.32</v>
      </c>
    </row>
    <row r="23" spans="1:9" x14ac:dyDescent="0.25">
      <c r="G23" s="13" t="s">
        <v>6</v>
      </c>
      <c r="H23" s="14">
        <f>ROUND(H22,2)*D3</f>
        <v>27032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37</v>
      </c>
      <c r="B3" s="33" t="s">
        <v>165</v>
      </c>
      <c r="C3" s="35" t="s">
        <v>35</v>
      </c>
      <c r="D3" s="35">
        <v>800</v>
      </c>
      <c r="E3" s="36">
        <f>IF(C20&lt;=25%,D20,MIN(E20:F20))</f>
        <v>1.84</v>
      </c>
      <c r="F3" s="36">
        <f>MIN(H3:H17)</f>
        <v>1.321529019</v>
      </c>
      <c r="G3" s="5" t="s">
        <v>97</v>
      </c>
      <c r="H3" s="16">
        <v>1.321529019</v>
      </c>
      <c r="I3" s="17">
        <f>IF(H3="","",(IF($C$20&lt;25%,"n/a",IF(H3&lt;=($D$20+$A$20),H3,"Descartado"))))</f>
        <v>1.321529019</v>
      </c>
    </row>
    <row r="4" spans="1:9" x14ac:dyDescent="0.25">
      <c r="A4" s="37"/>
      <c r="B4" s="34"/>
      <c r="C4" s="35"/>
      <c r="D4" s="35"/>
      <c r="E4" s="36"/>
      <c r="F4" s="36"/>
      <c r="G4" s="5" t="s">
        <v>98</v>
      </c>
      <c r="H4" s="16">
        <v>1.3317734300000001</v>
      </c>
      <c r="I4" s="17">
        <f t="shared" ref="I4:I17" si="0">IF(H4="","",(IF($C$20&lt;25%,"n/a",IF(H4&lt;=($D$20+$A$20),H4,"Descartado"))))</f>
        <v>1.3317734300000001</v>
      </c>
    </row>
    <row r="5" spans="1:9" x14ac:dyDescent="0.25">
      <c r="A5" s="37"/>
      <c r="B5" s="34"/>
      <c r="C5" s="35"/>
      <c r="D5" s="35"/>
      <c r="E5" s="36"/>
      <c r="F5" s="36"/>
      <c r="G5" s="5" t="s">
        <v>99</v>
      </c>
      <c r="H5" s="16">
        <v>1.4342175399999999</v>
      </c>
      <c r="I5" s="17">
        <f t="shared" si="0"/>
        <v>1.4342175399999999</v>
      </c>
    </row>
    <row r="6" spans="1:9" x14ac:dyDescent="0.25">
      <c r="A6" s="37"/>
      <c r="B6" s="34"/>
      <c r="C6" s="35"/>
      <c r="D6" s="35"/>
      <c r="E6" s="36"/>
      <c r="F6" s="36"/>
      <c r="G6" s="5" t="s">
        <v>100</v>
      </c>
      <c r="H6" s="16">
        <v>2.5713471609999998</v>
      </c>
      <c r="I6" s="17">
        <f t="shared" si="0"/>
        <v>2.5713471609999998</v>
      </c>
    </row>
    <row r="7" spans="1:9" x14ac:dyDescent="0.25">
      <c r="A7" s="37"/>
      <c r="B7" s="34"/>
      <c r="C7" s="35"/>
      <c r="D7" s="35"/>
      <c r="E7" s="36"/>
      <c r="F7" s="36"/>
      <c r="G7" s="5" t="s">
        <v>101</v>
      </c>
      <c r="H7" s="16">
        <v>3.8314097140000003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 t="s">
        <v>102</v>
      </c>
      <c r="H8" s="16">
        <v>2.5611027499999999</v>
      </c>
      <c r="I8" s="17">
        <f t="shared" si="0"/>
        <v>2.5611027499999999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1.0037989485756742</v>
      </c>
      <c r="B20" s="8">
        <f>COUNT(H3:H17)</f>
        <v>6</v>
      </c>
      <c r="C20" s="9">
        <f>IF(B20&lt;2,"n/a",(A20/D20))</f>
        <v>0.46045823329159363</v>
      </c>
      <c r="D20" s="10">
        <f>IFERROR(ROUND(AVERAGE(H3:H17),2),"")</f>
        <v>2.1800000000000002</v>
      </c>
      <c r="E20" s="15">
        <f>IFERROR(ROUND(IF(B20&lt;2,"n/a",(IF(C20&lt;=25%,"n/a",AVERAGE(I3:I17)))),2),"n/a")</f>
        <v>1.84</v>
      </c>
      <c r="F20" s="10">
        <f>IFERROR(ROUND(MEDIAN(H3:H17),2),"")</f>
        <v>2</v>
      </c>
      <c r="G20" s="11" t="str">
        <f>IFERROR(INDEX(G3:G17,MATCH(H20,H3:H17,0)),"")</f>
        <v>CARINE POLETTO FONTANA LTDA</v>
      </c>
      <c r="H20" s="12">
        <f>F3</f>
        <v>1.321529019</v>
      </c>
    </row>
    <row r="22" spans="1:9" x14ac:dyDescent="0.25">
      <c r="G22" s="13" t="s">
        <v>20</v>
      </c>
      <c r="H22" s="14">
        <f>IF(C20&lt;=25%,D20,MIN(E20:F20))</f>
        <v>1.84</v>
      </c>
    </row>
    <row r="23" spans="1:9" x14ac:dyDescent="0.25">
      <c r="G23" s="13" t="s">
        <v>6</v>
      </c>
      <c r="H23" s="14">
        <f>ROUND(H22,2)*D3</f>
        <v>1472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38</v>
      </c>
      <c r="B3" s="33" t="s">
        <v>166</v>
      </c>
      <c r="C3" s="35" t="s">
        <v>35</v>
      </c>
      <c r="D3" s="35">
        <v>3000</v>
      </c>
      <c r="E3" s="36">
        <f>IF(C20&lt;=25%,D20,MIN(E20:F20))</f>
        <v>0.42</v>
      </c>
      <c r="F3" s="36">
        <f>MIN(H3:H17)</f>
        <v>0.15366616499999999</v>
      </c>
      <c r="G3" s="5" t="s">
        <v>53</v>
      </c>
      <c r="H3" s="16">
        <v>0.50197613899999993</v>
      </c>
      <c r="I3" s="17">
        <f>IF(H3="","",(IF($C$20&lt;25%,"n/a",IF(H3&lt;=($D$20+$A$20),H3,"Descartado"))))</f>
        <v>0.50197613899999993</v>
      </c>
    </row>
    <row r="4" spans="1:9" x14ac:dyDescent="0.25">
      <c r="A4" s="37"/>
      <c r="B4" s="34"/>
      <c r="C4" s="35"/>
      <c r="D4" s="35"/>
      <c r="E4" s="36"/>
      <c r="F4" s="36"/>
      <c r="G4" s="5" t="s">
        <v>52</v>
      </c>
      <c r="H4" s="16">
        <v>0.50197613899999993</v>
      </c>
      <c r="I4" s="17">
        <f t="shared" ref="I4:I17" si="0">IF(H4="","",(IF($C$20&lt;25%,"n/a",IF(H4&lt;=($D$20+$A$20),H4,"Descartado"))))</f>
        <v>0.50197613899999993</v>
      </c>
    </row>
    <row r="5" spans="1:9" x14ac:dyDescent="0.25">
      <c r="A5" s="37"/>
      <c r="B5" s="34"/>
      <c r="C5" s="35"/>
      <c r="D5" s="35"/>
      <c r="E5" s="36"/>
      <c r="F5" s="36"/>
      <c r="G5" s="5" t="s">
        <v>76</v>
      </c>
      <c r="H5" s="16">
        <v>0.49173172799999998</v>
      </c>
      <c r="I5" s="17">
        <f t="shared" si="0"/>
        <v>0.49173172799999998</v>
      </c>
    </row>
    <row r="6" spans="1:9" x14ac:dyDescent="0.25">
      <c r="A6" s="37"/>
      <c r="B6" s="34"/>
      <c r="C6" s="35"/>
      <c r="D6" s="35"/>
      <c r="E6" s="36"/>
      <c r="F6" s="36"/>
      <c r="G6" s="5" t="s">
        <v>73</v>
      </c>
      <c r="H6" s="16">
        <v>0.40977644000000002</v>
      </c>
      <c r="I6" s="17">
        <f t="shared" si="0"/>
        <v>0.40977644000000002</v>
      </c>
    </row>
    <row r="7" spans="1:9" x14ac:dyDescent="0.25">
      <c r="A7" s="37"/>
      <c r="B7" s="34"/>
      <c r="C7" s="35"/>
      <c r="D7" s="35"/>
      <c r="E7" s="36"/>
      <c r="F7" s="36"/>
      <c r="G7" s="5" t="s">
        <v>46</v>
      </c>
      <c r="H7" s="16">
        <v>0.450754084</v>
      </c>
      <c r="I7" s="17">
        <f t="shared" si="0"/>
        <v>0.450754084</v>
      </c>
    </row>
    <row r="8" spans="1:9" x14ac:dyDescent="0.25">
      <c r="A8" s="37"/>
      <c r="B8" s="34"/>
      <c r="C8" s="35"/>
      <c r="D8" s="35"/>
      <c r="E8" s="36"/>
      <c r="F8" s="36"/>
      <c r="G8" s="5" t="s">
        <v>68</v>
      </c>
      <c r="H8" s="16">
        <v>0.15366616499999999</v>
      </c>
      <c r="I8" s="17">
        <f t="shared" si="0"/>
        <v>0.15366616499999999</v>
      </c>
    </row>
    <row r="9" spans="1:9" x14ac:dyDescent="0.25">
      <c r="A9" s="37"/>
      <c r="B9" s="34"/>
      <c r="C9" s="35"/>
      <c r="D9" s="35"/>
      <c r="E9" s="36"/>
      <c r="F9" s="36"/>
      <c r="G9" s="5" t="s">
        <v>77</v>
      </c>
      <c r="H9" s="16">
        <v>0.50197613899999993</v>
      </c>
      <c r="I9" s="17">
        <f t="shared" si="0"/>
        <v>0.50197613899999993</v>
      </c>
    </row>
    <row r="10" spans="1:9" x14ac:dyDescent="0.25">
      <c r="A10" s="37"/>
      <c r="B10" s="34"/>
      <c r="C10" s="35"/>
      <c r="D10" s="35"/>
      <c r="E10" s="36"/>
      <c r="F10" s="36"/>
      <c r="G10" s="5" t="s">
        <v>78</v>
      </c>
      <c r="H10" s="16">
        <v>0.450754084</v>
      </c>
      <c r="I10" s="17">
        <f t="shared" si="0"/>
        <v>0.450754084</v>
      </c>
    </row>
    <row r="11" spans="1:9" x14ac:dyDescent="0.25">
      <c r="A11" s="37"/>
      <c r="B11" s="34"/>
      <c r="C11" s="35"/>
      <c r="D11" s="35"/>
      <c r="E11" s="36"/>
      <c r="F11" s="36"/>
      <c r="G11" s="5" t="s">
        <v>66</v>
      </c>
      <c r="H11" s="16">
        <v>0.51222055</v>
      </c>
      <c r="I11" s="17">
        <f t="shared" si="0"/>
        <v>0.51222055</v>
      </c>
    </row>
    <row r="12" spans="1:9" x14ac:dyDescent="0.25">
      <c r="A12" s="37"/>
      <c r="B12" s="34"/>
      <c r="C12" s="35"/>
      <c r="D12" s="35"/>
      <c r="E12" s="36"/>
      <c r="F12" s="36"/>
      <c r="G12" s="5" t="s">
        <v>69</v>
      </c>
      <c r="H12" s="16">
        <v>0.225377042</v>
      </c>
      <c r="I12" s="17">
        <f t="shared" si="0"/>
        <v>0.225377042</v>
      </c>
    </row>
    <row r="13" spans="1:9" x14ac:dyDescent="0.25">
      <c r="A13" s="37"/>
      <c r="B13" s="34"/>
      <c r="C13" s="35"/>
      <c r="D13" s="35"/>
      <c r="E13" s="36"/>
      <c r="F13" s="36"/>
      <c r="G13" s="5" t="s">
        <v>79</v>
      </c>
      <c r="H13" s="16">
        <v>0.40977644000000002</v>
      </c>
      <c r="I13" s="17">
        <f t="shared" si="0"/>
        <v>0.40977644000000002</v>
      </c>
    </row>
    <row r="14" spans="1:9" x14ac:dyDescent="0.25">
      <c r="A14" s="37"/>
      <c r="B14" s="34"/>
      <c r="C14" s="35"/>
      <c r="D14" s="35"/>
      <c r="E14" s="36"/>
      <c r="F14" s="36"/>
      <c r="G14" s="5" t="s">
        <v>80</v>
      </c>
      <c r="H14" s="16">
        <v>0.50197613899999993</v>
      </c>
      <c r="I14" s="17">
        <f t="shared" si="0"/>
        <v>0.50197613899999993</v>
      </c>
    </row>
    <row r="15" spans="1:9" x14ac:dyDescent="0.25">
      <c r="A15" s="37"/>
      <c r="B15" s="34"/>
      <c r="C15" s="35"/>
      <c r="D15" s="35"/>
      <c r="E15" s="36"/>
      <c r="F15" s="36"/>
      <c r="G15" s="5" t="s">
        <v>81</v>
      </c>
      <c r="H15" s="16">
        <v>0.450754084</v>
      </c>
      <c r="I15" s="17">
        <f t="shared" si="0"/>
        <v>0.450754084</v>
      </c>
    </row>
    <row r="16" spans="1:9" x14ac:dyDescent="0.25">
      <c r="A16" s="37"/>
      <c r="B16" s="34"/>
      <c r="C16" s="35"/>
      <c r="D16" s="35"/>
      <c r="E16" s="36"/>
      <c r="F16" s="36"/>
      <c r="G16" s="5" t="s">
        <v>82</v>
      </c>
      <c r="H16" s="16">
        <v>0.20488822000000001</v>
      </c>
      <c r="I16" s="17">
        <f t="shared" si="0"/>
        <v>0.20488822000000001</v>
      </c>
    </row>
    <row r="17" spans="1:9" x14ac:dyDescent="0.25">
      <c r="A17" s="37"/>
      <c r="B17" s="34"/>
      <c r="C17" s="35"/>
      <c r="D17" s="35"/>
      <c r="E17" s="36"/>
      <c r="F17" s="36"/>
      <c r="G17" s="5" t="s">
        <v>83</v>
      </c>
      <c r="H17" s="16">
        <v>0.49173172799999998</v>
      </c>
      <c r="I17" s="17">
        <f t="shared" si="0"/>
        <v>0.49173172799999998</v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0.1206224888697655</v>
      </c>
      <c r="B20" s="8">
        <f>COUNT(H3:H17)</f>
        <v>15</v>
      </c>
      <c r="C20" s="9">
        <f>IF(B20&lt;2,"n/a",(A20/D20))</f>
        <v>0.28719640207087022</v>
      </c>
      <c r="D20" s="10">
        <f>IFERROR(ROUND(AVERAGE(H3:H17),2),"")</f>
        <v>0.42</v>
      </c>
      <c r="E20" s="15">
        <f>IFERROR(ROUND(IF(B20&lt;2,"n/a",(IF(C20&lt;=25%,"n/a",AVERAGE(I3:I17)))),2),"n/a")</f>
        <v>0.42</v>
      </c>
      <c r="F20" s="10">
        <f>IFERROR(ROUND(MEDIAN(H3:H17),2),"")</f>
        <v>0.45</v>
      </c>
      <c r="G20" s="11" t="str">
        <f>IFERROR(INDEX(G3:G17,MATCH(H20,H3:H17,0)),"")</f>
        <v>GRAFICA E EDITORA MUNDO LTDA</v>
      </c>
      <c r="H20" s="12">
        <f>F3</f>
        <v>0.15366616499999999</v>
      </c>
    </row>
    <row r="22" spans="1:9" x14ac:dyDescent="0.25">
      <c r="G22" s="13" t="s">
        <v>20</v>
      </c>
      <c r="H22" s="14">
        <f>IF(C20&lt;=25%,D20,MIN(E20:F20))</f>
        <v>0.42</v>
      </c>
    </row>
    <row r="23" spans="1:9" x14ac:dyDescent="0.25">
      <c r="G23" s="13" t="s">
        <v>6</v>
      </c>
      <c r="H23" s="14">
        <f>ROUND(H22,2)*D3</f>
        <v>1260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39</v>
      </c>
      <c r="B3" s="33" t="s">
        <v>167</v>
      </c>
      <c r="C3" s="35" t="s">
        <v>35</v>
      </c>
      <c r="D3" s="35">
        <v>500</v>
      </c>
      <c r="E3" s="36">
        <f>IF(C20&lt;=25%,D20,MIN(E20:F20))</f>
        <v>0.52</v>
      </c>
      <c r="F3" s="36">
        <f>MIN(H3:H17)</f>
        <v>0.48</v>
      </c>
      <c r="G3" s="5" t="s">
        <v>236</v>
      </c>
      <c r="H3" s="16">
        <v>0.48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246</v>
      </c>
      <c r="H4" s="16">
        <v>0.53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247</v>
      </c>
      <c r="H5" s="16">
        <v>0.53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248</v>
      </c>
      <c r="H6" s="16">
        <v>0.53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249</v>
      </c>
      <c r="H7" s="16">
        <v>0.53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2.2360679774997918E-2</v>
      </c>
      <c r="B20" s="8">
        <f>COUNT(H3:H17)</f>
        <v>5</v>
      </c>
      <c r="C20" s="9">
        <f>IF(B20&lt;2,"n/a",(A20/D20))</f>
        <v>4.3001307259611377E-2</v>
      </c>
      <c r="D20" s="10">
        <f>IFERROR(ROUND(AVERAGE(H3:H17),2),"")</f>
        <v>0.52</v>
      </c>
      <c r="E20" s="15" t="str">
        <f>IFERROR(ROUND(IF(B20&lt;2,"n/a",(IF(C20&lt;=25%,"n/a",AVERAGE(I3:I17)))),2),"n/a")</f>
        <v>n/a</v>
      </c>
      <c r="F20" s="10">
        <f>IFERROR(ROUND(MEDIAN(H3:H17),2),"")</f>
        <v>0.53</v>
      </c>
      <c r="G20" s="11" t="str">
        <f>IFERROR(INDEX(G3:G17,MATCH(H20,H3:H17,0)),"")</f>
        <v>GRAFICA ALTA DEFINICAO LTDA</v>
      </c>
      <c r="H20" s="12">
        <f>F3</f>
        <v>0.48</v>
      </c>
    </row>
    <row r="22" spans="1:9" x14ac:dyDescent="0.25">
      <c r="G22" s="13" t="s">
        <v>20</v>
      </c>
      <c r="H22" s="14">
        <f>IF(C20&lt;=25%,D20,MIN(E20:F20))</f>
        <v>0.52</v>
      </c>
    </row>
    <row r="23" spans="1:9" x14ac:dyDescent="0.25">
      <c r="G23" s="13" t="s">
        <v>6</v>
      </c>
      <c r="H23" s="14">
        <f>ROUND(H22,2)*D3</f>
        <v>260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4</v>
      </c>
      <c r="B3" s="33" t="s">
        <v>133</v>
      </c>
      <c r="C3" s="35" t="s">
        <v>35</v>
      </c>
      <c r="D3" s="35">
        <v>600</v>
      </c>
      <c r="E3" s="36">
        <f>IF(C20&lt;=25%,D20,MIN(E20:F20))</f>
        <v>10.34</v>
      </c>
      <c r="F3" s="36">
        <f>MIN(H3:H17)</f>
        <v>2.4</v>
      </c>
      <c r="G3" s="5" t="s">
        <v>87</v>
      </c>
      <c r="H3" s="16">
        <f>0.2*60</f>
        <v>12</v>
      </c>
      <c r="I3" s="17">
        <f>IF(H3="","",(IF($C$20&lt;25%,"n/a",IF(H3&lt;=($D$20+$A$20),H3,"Descartado"))))</f>
        <v>12</v>
      </c>
    </row>
    <row r="4" spans="1:9" x14ac:dyDescent="0.25">
      <c r="A4" s="37"/>
      <c r="B4" s="34"/>
      <c r="C4" s="35"/>
      <c r="D4" s="35"/>
      <c r="E4" s="36"/>
      <c r="F4" s="36"/>
      <c r="G4" s="5" t="s">
        <v>218</v>
      </c>
      <c r="H4" s="16">
        <f>0.18*60</f>
        <v>10.799999999999999</v>
      </c>
      <c r="I4" s="17">
        <f t="shared" ref="I4:I17" si="0">IF(H4="","",(IF($C$20&lt;25%,"n/a",IF(H4&lt;=($D$20+$A$20),H4,"Descartado"))))</f>
        <v>10.799999999999999</v>
      </c>
    </row>
    <row r="5" spans="1:9" x14ac:dyDescent="0.25">
      <c r="A5" s="37"/>
      <c r="B5" s="34"/>
      <c r="C5" s="35"/>
      <c r="D5" s="35"/>
      <c r="E5" s="36"/>
      <c r="F5" s="36"/>
      <c r="G5" s="5" t="s">
        <v>185</v>
      </c>
      <c r="H5" s="16">
        <f>0.17*60</f>
        <v>10.200000000000001</v>
      </c>
      <c r="I5" s="17">
        <f t="shared" si="0"/>
        <v>10.200000000000001</v>
      </c>
    </row>
    <row r="6" spans="1:9" x14ac:dyDescent="0.25">
      <c r="A6" s="37"/>
      <c r="B6" s="34"/>
      <c r="C6" s="35"/>
      <c r="D6" s="35"/>
      <c r="E6" s="36"/>
      <c r="F6" s="36"/>
      <c r="G6" s="5" t="s">
        <v>241</v>
      </c>
      <c r="H6" s="16">
        <f>0.21*60</f>
        <v>12.6</v>
      </c>
      <c r="I6" s="17">
        <f t="shared" si="0"/>
        <v>12.6</v>
      </c>
    </row>
    <row r="7" spans="1:9" x14ac:dyDescent="0.25">
      <c r="A7" s="37"/>
      <c r="B7" s="34"/>
      <c r="C7" s="35"/>
      <c r="D7" s="35"/>
      <c r="E7" s="36"/>
      <c r="F7" s="36"/>
      <c r="G7" s="5" t="s">
        <v>242</v>
      </c>
      <c r="H7" s="16">
        <f>0.14*60</f>
        <v>8.4</v>
      </c>
      <c r="I7" s="17">
        <f t="shared" si="0"/>
        <v>8.4</v>
      </c>
    </row>
    <row r="8" spans="1:9" x14ac:dyDescent="0.25">
      <c r="A8" s="37"/>
      <c r="B8" s="34"/>
      <c r="C8" s="35"/>
      <c r="D8" s="35"/>
      <c r="E8" s="36"/>
      <c r="F8" s="36"/>
      <c r="G8" s="5" t="s">
        <v>243</v>
      </c>
      <c r="H8" s="16">
        <f>0.21*60</f>
        <v>12.6</v>
      </c>
      <c r="I8" s="17">
        <f t="shared" si="0"/>
        <v>12.6</v>
      </c>
    </row>
    <row r="9" spans="1:9" x14ac:dyDescent="0.25">
      <c r="A9" s="37"/>
      <c r="B9" s="34"/>
      <c r="C9" s="35"/>
      <c r="D9" s="35"/>
      <c r="E9" s="36"/>
      <c r="F9" s="36"/>
      <c r="G9" s="5" t="s">
        <v>244</v>
      </c>
      <c r="H9" s="16">
        <f>0.21*60</f>
        <v>12.6</v>
      </c>
      <c r="I9" s="17">
        <f t="shared" si="0"/>
        <v>12.6</v>
      </c>
    </row>
    <row r="10" spans="1:9" x14ac:dyDescent="0.25">
      <c r="A10" s="37"/>
      <c r="B10" s="34"/>
      <c r="C10" s="35"/>
      <c r="D10" s="35"/>
      <c r="E10" s="36"/>
      <c r="F10" s="36"/>
      <c r="G10" s="5" t="s">
        <v>118</v>
      </c>
      <c r="H10" s="16">
        <f>0.18*60</f>
        <v>10.799999999999999</v>
      </c>
      <c r="I10" s="17">
        <f t="shared" si="0"/>
        <v>10.799999999999999</v>
      </c>
    </row>
    <row r="11" spans="1:9" x14ac:dyDescent="0.25">
      <c r="A11" s="37"/>
      <c r="B11" s="34"/>
      <c r="C11" s="35"/>
      <c r="D11" s="35"/>
      <c r="E11" s="36"/>
      <c r="F11" s="36"/>
      <c r="G11" s="5" t="s">
        <v>52</v>
      </c>
      <c r="H11" s="16">
        <f>0.18*60</f>
        <v>10.799999999999999</v>
      </c>
      <c r="I11" s="17">
        <f t="shared" si="0"/>
        <v>10.799999999999999</v>
      </c>
    </row>
    <row r="12" spans="1:9" x14ac:dyDescent="0.25">
      <c r="A12" s="37"/>
      <c r="B12" s="34"/>
      <c r="C12" s="35"/>
      <c r="D12" s="35"/>
      <c r="E12" s="36"/>
      <c r="F12" s="36"/>
      <c r="G12" s="5" t="s">
        <v>114</v>
      </c>
      <c r="H12" s="16">
        <f>0.04*60</f>
        <v>2.4</v>
      </c>
      <c r="I12" s="17">
        <f t="shared" si="0"/>
        <v>2.4</v>
      </c>
    </row>
    <row r="13" spans="1:9" x14ac:dyDescent="0.25">
      <c r="A13" s="37"/>
      <c r="B13" s="34"/>
      <c r="C13" s="35"/>
      <c r="D13" s="35"/>
      <c r="E13" s="36"/>
      <c r="F13" s="36"/>
      <c r="G13" s="5" t="s">
        <v>232</v>
      </c>
      <c r="H13" s="16">
        <f>0.2131*60</f>
        <v>12.786000000000001</v>
      </c>
      <c r="I13" s="17">
        <f t="shared" si="0"/>
        <v>12.786000000000001</v>
      </c>
    </row>
    <row r="14" spans="1:9" x14ac:dyDescent="0.25">
      <c r="A14" s="37"/>
      <c r="B14" s="34"/>
      <c r="C14" s="35"/>
      <c r="D14" s="35"/>
      <c r="E14" s="36"/>
      <c r="F14" s="36"/>
      <c r="G14" s="5" t="s">
        <v>89</v>
      </c>
      <c r="H14" s="16">
        <f>0.17*60</f>
        <v>10.200000000000001</v>
      </c>
      <c r="I14" s="17">
        <f t="shared" si="0"/>
        <v>10.200000000000001</v>
      </c>
    </row>
    <row r="15" spans="1:9" x14ac:dyDescent="0.25">
      <c r="A15" s="37"/>
      <c r="B15" s="34"/>
      <c r="C15" s="35"/>
      <c r="D15" s="35"/>
      <c r="E15" s="36"/>
      <c r="F15" s="36"/>
      <c r="G15" s="5" t="s">
        <v>88</v>
      </c>
      <c r="H15" s="16">
        <f>0.1*60</f>
        <v>6</v>
      </c>
      <c r="I15" s="17">
        <f t="shared" si="0"/>
        <v>6</v>
      </c>
    </row>
    <row r="16" spans="1:9" x14ac:dyDescent="0.25">
      <c r="A16" s="37"/>
      <c r="B16" s="34"/>
      <c r="C16" s="35"/>
      <c r="D16" s="35"/>
      <c r="E16" s="36"/>
      <c r="F16" s="36"/>
      <c r="G16" s="5" t="s">
        <v>66</v>
      </c>
      <c r="H16" s="16">
        <f>6.5*60</f>
        <v>390</v>
      </c>
      <c r="I16" s="17" t="str">
        <f t="shared" si="0"/>
        <v>Descartado</v>
      </c>
    </row>
    <row r="17" spans="1:9" x14ac:dyDescent="0.25">
      <c r="A17" s="37"/>
      <c r="B17" s="34"/>
      <c r="C17" s="35"/>
      <c r="D17" s="35"/>
      <c r="E17" s="36"/>
      <c r="F17" s="36"/>
      <c r="G17" s="5" t="s">
        <v>245</v>
      </c>
      <c r="H17" s="16">
        <f>0.21*60</f>
        <v>12.6</v>
      </c>
      <c r="I17" s="17">
        <f t="shared" si="0"/>
        <v>12.6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98.069376831477243</v>
      </c>
      <c r="B20" s="8">
        <f>COUNT(H3:H17)</f>
        <v>15</v>
      </c>
      <c r="C20" s="9">
        <f>IF(B20&lt;2,"n/a",(A20/D20))</f>
        <v>2.7508941607707502</v>
      </c>
      <c r="D20" s="10">
        <f>IFERROR(ROUND(AVERAGE(H3:H17),2),"")</f>
        <v>35.65</v>
      </c>
      <c r="E20" s="15">
        <f>IFERROR(ROUND(IF(B20&lt;2,"n/a",(IF(C20&lt;=25%,"n/a",AVERAGE(I3:I17)))),2),"n/a")</f>
        <v>10.34</v>
      </c>
      <c r="F20" s="10">
        <f>IFERROR(ROUND(MEDIAN(H3:H17),2),"")</f>
        <v>10.8</v>
      </c>
      <c r="G20" s="11" t="str">
        <f>IFERROR(INDEX(G3:G17,MATCH(H20,H3:H17,0)),"")</f>
        <v>QUALITY GRAFICA E EDITORA LTDA</v>
      </c>
      <c r="H20" s="12">
        <f>F3</f>
        <v>2.4</v>
      </c>
    </row>
    <row r="22" spans="1:9" x14ac:dyDescent="0.25">
      <c r="G22" s="13" t="s">
        <v>20</v>
      </c>
      <c r="H22" s="14">
        <f>IF(C20&lt;=25%,D20,MIN(E20:F20))</f>
        <v>10.34</v>
      </c>
    </row>
    <row r="23" spans="1:9" x14ac:dyDescent="0.25">
      <c r="G23" s="13" t="s">
        <v>6</v>
      </c>
      <c r="H23" s="14">
        <f>ROUND(H22,2)*D3</f>
        <v>6204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40</v>
      </c>
      <c r="B3" s="33" t="s">
        <v>168</v>
      </c>
      <c r="C3" s="35" t="s">
        <v>35</v>
      </c>
      <c r="D3" s="35">
        <v>1500</v>
      </c>
      <c r="E3" s="36">
        <f>IF(C20&lt;=25%,D20,MIN(E20:F20))</f>
        <v>6.18</v>
      </c>
      <c r="F3" s="36">
        <f>MIN(H3:H17)</f>
        <v>4.5280296619999998</v>
      </c>
      <c r="G3" s="5" t="s">
        <v>124</v>
      </c>
      <c r="H3" s="16">
        <v>6.136402189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7.2632873990000002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7.2735318099999997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126</v>
      </c>
      <c r="H6" s="16">
        <v>7.396464742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73</v>
      </c>
      <c r="H7" s="16">
        <v>6.1159133670000001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46</v>
      </c>
      <c r="H8" s="16">
        <v>6.7510668489999999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74</v>
      </c>
      <c r="H9" s="16">
        <v>4.5280296619999998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47</v>
      </c>
      <c r="H10" s="16">
        <v>4.6099849500000003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 t="s">
        <v>127</v>
      </c>
      <c r="H11" s="16">
        <v>5.4910042960000007</v>
      </c>
      <c r="I11" s="17" t="str">
        <f t="shared" si="0"/>
        <v>n/a</v>
      </c>
    </row>
    <row r="12" spans="1:9" x14ac:dyDescent="0.25">
      <c r="A12" s="37"/>
      <c r="B12" s="34"/>
      <c r="C12" s="35"/>
      <c r="D12" s="35"/>
      <c r="E12" s="36"/>
      <c r="F12" s="36"/>
      <c r="G12" s="5" t="s">
        <v>128</v>
      </c>
      <c r="H12" s="16">
        <v>6.1876242440000002</v>
      </c>
      <c r="I12" s="17" t="str">
        <f t="shared" si="0"/>
        <v>n/a</v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1.0461433698433251</v>
      </c>
      <c r="B20" s="8">
        <f>COUNT(H3:H17)</f>
        <v>10</v>
      </c>
      <c r="C20" s="9">
        <f>IF(B20&lt;2,"n/a",(A20/D20))</f>
        <v>0.16927886243419502</v>
      </c>
      <c r="D20" s="10">
        <f>IFERROR(ROUND(AVERAGE(H3:H17),2),"")</f>
        <v>6.18</v>
      </c>
      <c r="E20" s="15" t="str">
        <f>IFERROR(ROUND(IF(B20&lt;2,"n/a",(IF(C20&lt;=25%,"n/a",AVERAGE(I3:I17)))),2),"n/a")</f>
        <v>n/a</v>
      </c>
      <c r="F20" s="10">
        <f>IFERROR(ROUND(MEDIAN(H3:H17),2),"")</f>
        <v>6.16</v>
      </c>
      <c r="G20" s="11" t="str">
        <f>IFERROR(INDEX(G3:G17,MATCH(H20,H3:H17,0)),"")</f>
        <v>GRAFICA E EDITORA ALIANCA LTDA</v>
      </c>
      <c r="H20" s="12">
        <f>F3</f>
        <v>4.5280296619999998</v>
      </c>
    </row>
    <row r="22" spans="1:9" x14ac:dyDescent="0.25">
      <c r="G22" s="13" t="s">
        <v>20</v>
      </c>
      <c r="H22" s="14">
        <f>IF(C20&lt;=25%,D20,MIN(E20:F20))</f>
        <v>6.18</v>
      </c>
    </row>
    <row r="23" spans="1:9" x14ac:dyDescent="0.25">
      <c r="G23" s="13" t="s">
        <v>6</v>
      </c>
      <c r="H23" s="14">
        <f>ROUND(H22,2)*D3</f>
        <v>9270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5" sqref="G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7">
        <v>41</v>
      </c>
      <c r="B3" s="33" t="s">
        <v>169</v>
      </c>
      <c r="C3" s="35" t="s">
        <v>35</v>
      </c>
      <c r="D3" s="35">
        <v>1500</v>
      </c>
      <c r="E3" s="36">
        <f>IF(C20&lt;=25%,D20,MIN(E20:F20))</f>
        <v>9.57</v>
      </c>
      <c r="F3" s="36">
        <f>MIN(H3:H17)</f>
        <v>4.21</v>
      </c>
      <c r="G3" s="5" t="s">
        <v>211</v>
      </c>
      <c r="H3" s="16">
        <v>4.21</v>
      </c>
      <c r="I3" s="17">
        <f>IF(H3="","",(IF($C$20&lt;25%,"n/a",IF(H3&lt;=($D$20+$A$20),H3,"Descartado"))))</f>
        <v>4.21</v>
      </c>
    </row>
    <row r="4" spans="1:9" x14ac:dyDescent="0.25">
      <c r="A4" s="37"/>
      <c r="B4" s="34"/>
      <c r="C4" s="35"/>
      <c r="D4" s="35"/>
      <c r="E4" s="36"/>
      <c r="F4" s="36"/>
      <c r="G4" s="5" t="s">
        <v>207</v>
      </c>
      <c r="H4" s="16">
        <v>10</v>
      </c>
      <c r="I4" s="17">
        <f t="shared" ref="I4:I17" si="0">IF(H4="","",(IF($C$20&lt;25%,"n/a",IF(H4&lt;=($D$20+$A$20),H4,"Descartado"))))</f>
        <v>10</v>
      </c>
    </row>
    <row r="5" spans="1:9" x14ac:dyDescent="0.25">
      <c r="A5" s="37"/>
      <c r="B5" s="34"/>
      <c r="C5" s="35"/>
      <c r="D5" s="35"/>
      <c r="E5" s="36"/>
      <c r="F5" s="36"/>
      <c r="G5" s="5" t="s">
        <v>210</v>
      </c>
      <c r="H5" s="16">
        <v>6.2</v>
      </c>
      <c r="I5" s="17">
        <f t="shared" si="0"/>
        <v>6.2</v>
      </c>
    </row>
    <row r="6" spans="1:9" x14ac:dyDescent="0.25">
      <c r="A6" s="37"/>
      <c r="B6" s="34"/>
      <c r="C6" s="35"/>
      <c r="D6" s="35"/>
      <c r="E6" s="36"/>
      <c r="F6" s="36"/>
      <c r="G6" s="5" t="s">
        <v>85</v>
      </c>
      <c r="H6" s="16">
        <v>12</v>
      </c>
      <c r="I6" s="17">
        <f t="shared" si="0"/>
        <v>12</v>
      </c>
    </row>
    <row r="7" spans="1:9" x14ac:dyDescent="0.25">
      <c r="A7" s="37"/>
      <c r="B7" s="34"/>
      <c r="C7" s="35"/>
      <c r="D7" s="35"/>
      <c r="E7" s="36"/>
      <c r="F7" s="36"/>
      <c r="G7" s="5" t="s">
        <v>212</v>
      </c>
      <c r="H7" s="16">
        <v>12.3</v>
      </c>
      <c r="I7" s="17">
        <f t="shared" si="0"/>
        <v>12.3</v>
      </c>
    </row>
    <row r="8" spans="1:9" x14ac:dyDescent="0.25">
      <c r="A8" s="37"/>
      <c r="B8" s="34"/>
      <c r="C8" s="35"/>
      <c r="D8" s="35"/>
      <c r="E8" s="36"/>
      <c r="F8" s="36"/>
      <c r="G8" s="5" t="s">
        <v>74</v>
      </c>
      <c r="H8" s="16">
        <v>5.54</v>
      </c>
      <c r="I8" s="17">
        <f t="shared" si="0"/>
        <v>5.54</v>
      </c>
    </row>
    <row r="9" spans="1:9" x14ac:dyDescent="0.25">
      <c r="A9" s="37"/>
      <c r="B9" s="34"/>
      <c r="C9" s="35"/>
      <c r="D9" s="35"/>
      <c r="E9" s="36"/>
      <c r="F9" s="36"/>
      <c r="G9" s="5" t="s">
        <v>213</v>
      </c>
      <c r="H9" s="16">
        <v>11.99</v>
      </c>
      <c r="I9" s="17">
        <f t="shared" si="0"/>
        <v>11.99</v>
      </c>
    </row>
    <row r="10" spans="1:9" x14ac:dyDescent="0.25">
      <c r="A10" s="37"/>
      <c r="B10" s="34"/>
      <c r="C10" s="35"/>
      <c r="D10" s="35"/>
      <c r="E10" s="36"/>
      <c r="F10" s="36"/>
      <c r="G10" s="5" t="s">
        <v>189</v>
      </c>
      <c r="H10" s="16">
        <v>12.38</v>
      </c>
      <c r="I10" s="17">
        <f t="shared" si="0"/>
        <v>12.38</v>
      </c>
    </row>
    <row r="11" spans="1:9" x14ac:dyDescent="0.25">
      <c r="A11" s="37"/>
      <c r="B11" s="34"/>
      <c r="C11" s="35"/>
      <c r="D11" s="35"/>
      <c r="E11" s="36"/>
      <c r="F11" s="36"/>
      <c r="G11" s="5" t="s">
        <v>64</v>
      </c>
      <c r="H11" s="16">
        <v>12.3</v>
      </c>
      <c r="I11" s="17">
        <f t="shared" si="0"/>
        <v>12.3</v>
      </c>
    </row>
    <row r="12" spans="1:9" x14ac:dyDescent="0.25">
      <c r="A12" s="37"/>
      <c r="B12" s="34"/>
      <c r="C12" s="35"/>
      <c r="D12" s="35"/>
      <c r="E12" s="36"/>
      <c r="F12" s="36"/>
      <c r="G12" s="5" t="s">
        <v>214</v>
      </c>
      <c r="H12" s="16">
        <v>12.38</v>
      </c>
      <c r="I12" s="17">
        <f t="shared" si="0"/>
        <v>12.38</v>
      </c>
    </row>
    <row r="13" spans="1:9" x14ac:dyDescent="0.25">
      <c r="A13" s="37"/>
      <c r="B13" s="34"/>
      <c r="C13" s="35"/>
      <c r="D13" s="35"/>
      <c r="E13" s="36"/>
      <c r="F13" s="36"/>
      <c r="G13" s="5" t="s">
        <v>123</v>
      </c>
      <c r="H13" s="16">
        <v>11</v>
      </c>
      <c r="I13" s="17">
        <f t="shared" si="0"/>
        <v>11</v>
      </c>
    </row>
    <row r="14" spans="1:9" x14ac:dyDescent="0.25">
      <c r="A14" s="37"/>
      <c r="B14" s="34"/>
      <c r="C14" s="35"/>
      <c r="D14" s="35"/>
      <c r="E14" s="36"/>
      <c r="F14" s="36"/>
      <c r="G14" s="5" t="s">
        <v>70</v>
      </c>
      <c r="H14" s="16">
        <v>9.99</v>
      </c>
      <c r="I14" s="17">
        <f t="shared" si="0"/>
        <v>9.99</v>
      </c>
    </row>
    <row r="15" spans="1:9" x14ac:dyDescent="0.25">
      <c r="A15" s="37"/>
      <c r="B15" s="34"/>
      <c r="C15" s="35"/>
      <c r="D15" s="35"/>
      <c r="E15" s="36"/>
      <c r="F15" s="36"/>
      <c r="G15" s="5" t="s">
        <v>50</v>
      </c>
      <c r="H15" s="16">
        <v>6</v>
      </c>
      <c r="I15" s="17">
        <f t="shared" si="0"/>
        <v>6</v>
      </c>
    </row>
    <row r="16" spans="1:9" x14ac:dyDescent="0.25">
      <c r="A16" s="37"/>
      <c r="B16" s="34"/>
      <c r="C16" s="35"/>
      <c r="D16" s="35"/>
      <c r="E16" s="36"/>
      <c r="F16" s="36"/>
      <c r="G16" s="5" t="s">
        <v>178</v>
      </c>
      <c r="H16" s="16">
        <v>12.35</v>
      </c>
      <c r="I16" s="17">
        <f t="shared" si="0"/>
        <v>12.35</v>
      </c>
    </row>
    <row r="17" spans="1:9" x14ac:dyDescent="0.25">
      <c r="A17" s="37"/>
      <c r="B17" s="34"/>
      <c r="C17" s="35"/>
      <c r="D17" s="35"/>
      <c r="E17" s="36"/>
      <c r="F17" s="36"/>
      <c r="G17" s="5" t="s">
        <v>215</v>
      </c>
      <c r="H17" s="16">
        <v>4.9000000000000004</v>
      </c>
      <c r="I17" s="17">
        <f t="shared" si="0"/>
        <v>4.9000000000000004</v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3.2012842661002416</v>
      </c>
      <c r="B20" s="8">
        <f>COUNT(H3:H17)</f>
        <v>15</v>
      </c>
      <c r="C20" s="9">
        <f>IF(B20&lt;2,"n/a",(A20/D20))</f>
        <v>0.3345124624974129</v>
      </c>
      <c r="D20" s="10">
        <f>IFERROR(ROUND(AVERAGE(H3:H17),2),"")</f>
        <v>9.57</v>
      </c>
      <c r="E20" s="15">
        <f>IFERROR(ROUND(IF(B20&lt;2,"n/a",(IF(C20&lt;=25%,"n/a",AVERAGE(I3:I17)))),2),"n/a")</f>
        <v>9.57</v>
      </c>
      <c r="F20" s="10">
        <f>IFERROR(ROUND(MEDIAN(H3:H17),2),"")</f>
        <v>11</v>
      </c>
      <c r="G20" s="11" t="str">
        <f>IFERROR(INDEX(G3:G17,MATCH(H20,H3:H17,0)),"")</f>
        <v>ROSANA RIBEIRO LOPES 64367045153</v>
      </c>
      <c r="H20" s="12">
        <f>F3</f>
        <v>4.21</v>
      </c>
    </row>
    <row r="22" spans="1:9" x14ac:dyDescent="0.25">
      <c r="G22" s="13" t="s">
        <v>20</v>
      </c>
      <c r="H22" s="14">
        <f>IF(C20&lt;=25%,D20,MIN(E20:F20))</f>
        <v>9.57</v>
      </c>
    </row>
    <row r="23" spans="1:9" x14ac:dyDescent="0.25">
      <c r="G23" s="13" t="s">
        <v>6</v>
      </c>
      <c r="H23" s="14">
        <f>ROUND(H22,2)*D3</f>
        <v>14355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1" sqref="H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9</v>
      </c>
      <c r="F2" s="29" t="s">
        <v>10</v>
      </c>
      <c r="G2" s="29" t="s">
        <v>11</v>
      </c>
      <c r="H2" s="29" t="s">
        <v>12</v>
      </c>
      <c r="I2" s="29" t="s">
        <v>13</v>
      </c>
    </row>
    <row r="3" spans="1:9" x14ac:dyDescent="0.25">
      <c r="A3" s="37">
        <v>42</v>
      </c>
      <c r="B3" s="33" t="s">
        <v>38</v>
      </c>
      <c r="C3" s="35" t="s">
        <v>35</v>
      </c>
      <c r="D3" s="35">
        <v>14</v>
      </c>
      <c r="E3" s="36">
        <f>IF(C20&lt;=25%,D20,MIN(E20:F20))</f>
        <v>546.26</v>
      </c>
      <c r="F3" s="36">
        <f>MIN(H3:H17)</f>
        <v>348.79146131700003</v>
      </c>
      <c r="G3" s="5" t="s">
        <v>124</v>
      </c>
      <c r="H3" s="16">
        <v>348.79146131700003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600.33272901099997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600.50688399799992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126</v>
      </c>
      <c r="H6" s="16">
        <v>589.77074127000003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127</v>
      </c>
      <c r="H7" s="16">
        <v>591.88108993599997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9" t="s">
        <v>14</v>
      </c>
      <c r="B19" s="29" t="s">
        <v>15</v>
      </c>
      <c r="C19" s="29" t="s">
        <v>25</v>
      </c>
      <c r="D19" s="29" t="s">
        <v>16</v>
      </c>
      <c r="E19" s="29" t="s">
        <v>17</v>
      </c>
      <c r="F19" s="29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110.4930728712871</v>
      </c>
      <c r="B20" s="8">
        <f>COUNT(H3:H17)</f>
        <v>5</v>
      </c>
      <c r="C20" s="9">
        <f>IF(B20&lt;2,"n/a",(A20/D20))</f>
        <v>0.20227194535804763</v>
      </c>
      <c r="D20" s="10">
        <f>IFERROR(ROUND(AVERAGE(H3:H17),2),"")</f>
        <v>546.26</v>
      </c>
      <c r="E20" s="15" t="str">
        <f>IFERROR(ROUND(IF(B20&lt;2,"n/a",(IF(C20&lt;=25%,"n/a",AVERAGE(I3:I17)))),2),"n/a")</f>
        <v>n/a</v>
      </c>
      <c r="F20" s="10">
        <f>IFERROR(ROUND(MEDIAN(H3:H17),2),"")</f>
        <v>591.88</v>
      </c>
      <c r="G20" s="11" t="str">
        <f>IFERROR(INDEX(G3:G17,MATCH(H20,H3:H17,0)),"")</f>
        <v>ACDF COMUNICACAO VISUAL E GRAFICA LTDA</v>
      </c>
      <c r="H20" s="12">
        <f>F3</f>
        <v>348.79146131700003</v>
      </c>
    </row>
    <row r="22" spans="1:9" x14ac:dyDescent="0.25">
      <c r="G22" s="13" t="s">
        <v>20</v>
      </c>
      <c r="H22" s="14">
        <f>IF(C20&lt;=25%,D20,MIN(E20:F20))</f>
        <v>546.26</v>
      </c>
    </row>
    <row r="23" spans="1:9" x14ac:dyDescent="0.25">
      <c r="G23" s="13" t="s">
        <v>6</v>
      </c>
      <c r="H23" s="14">
        <f>ROUND(H22,2)*D3</f>
        <v>7647.6399999999994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1" sqref="H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9</v>
      </c>
      <c r="F2" s="29" t="s">
        <v>10</v>
      </c>
      <c r="G2" s="29" t="s">
        <v>11</v>
      </c>
      <c r="H2" s="29" t="s">
        <v>12</v>
      </c>
      <c r="I2" s="29" t="s">
        <v>13</v>
      </c>
    </row>
    <row r="3" spans="1:9" x14ac:dyDescent="0.25">
      <c r="A3" s="37">
        <v>43</v>
      </c>
      <c r="B3" s="33" t="s">
        <v>170</v>
      </c>
      <c r="C3" s="35" t="s">
        <v>35</v>
      </c>
      <c r="D3" s="35">
        <v>3000</v>
      </c>
      <c r="E3" s="36">
        <f>IF(C20&lt;=25%,D20,MIN(E20:F20))</f>
        <v>12.46</v>
      </c>
      <c r="F3" s="36">
        <f>MIN(H3:H17)</f>
        <v>12.201093501000001</v>
      </c>
      <c r="G3" s="5" t="s">
        <v>124</v>
      </c>
      <c r="H3" s="16">
        <v>26.420335969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12.221582323</v>
      </c>
      <c r="I4" s="17">
        <f t="shared" ref="I4:I17" si="0">IF(H4="","",(IF($C$20&lt;25%,"n/a",IF(H4&lt;=($D$20+$A$20),H4,"Descartado"))))</f>
        <v>12.221582323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12.231826734</v>
      </c>
      <c r="I5" s="17">
        <f t="shared" si="0"/>
        <v>12.231826734</v>
      </c>
    </row>
    <row r="6" spans="1:9" x14ac:dyDescent="0.25">
      <c r="A6" s="37"/>
      <c r="B6" s="34"/>
      <c r="C6" s="35"/>
      <c r="D6" s="35"/>
      <c r="E6" s="36"/>
      <c r="F6" s="36"/>
      <c r="G6" s="5" t="s">
        <v>105</v>
      </c>
      <c r="H6" s="16">
        <v>14.567552442</v>
      </c>
      <c r="I6" s="17">
        <f t="shared" si="0"/>
        <v>14.567552442</v>
      </c>
    </row>
    <row r="7" spans="1:9" x14ac:dyDescent="0.25">
      <c r="A7" s="37"/>
      <c r="B7" s="34"/>
      <c r="C7" s="35"/>
      <c r="D7" s="35"/>
      <c r="E7" s="36"/>
      <c r="F7" s="36"/>
      <c r="G7" s="5" t="s">
        <v>126</v>
      </c>
      <c r="H7" s="16">
        <v>12.682580818</v>
      </c>
      <c r="I7" s="17">
        <f t="shared" si="0"/>
        <v>12.682580818</v>
      </c>
    </row>
    <row r="8" spans="1:9" x14ac:dyDescent="0.25">
      <c r="A8" s="37"/>
      <c r="B8" s="34"/>
      <c r="C8" s="35"/>
      <c r="D8" s="35"/>
      <c r="E8" s="36"/>
      <c r="F8" s="36"/>
      <c r="G8" s="5" t="s">
        <v>127</v>
      </c>
      <c r="H8" s="16">
        <v>12.201093501000001</v>
      </c>
      <c r="I8" s="17">
        <f t="shared" si="0"/>
        <v>12.201093501000001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9" t="s">
        <v>14</v>
      </c>
      <c r="B19" s="29" t="s">
        <v>15</v>
      </c>
      <c r="C19" s="29" t="s">
        <v>25</v>
      </c>
      <c r="D19" s="29" t="s">
        <v>16</v>
      </c>
      <c r="E19" s="29" t="s">
        <v>17</v>
      </c>
      <c r="F19" s="29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5.6423431426770456</v>
      </c>
      <c r="B20" s="8">
        <f>COUNT(H3:H17)</f>
        <v>6</v>
      </c>
      <c r="C20" s="9">
        <f>IF(B20&lt;2,"n/a",(A20/D20))</f>
        <v>0.37490652110810935</v>
      </c>
      <c r="D20" s="10">
        <f>IFERROR(ROUND(AVERAGE(H3:H17),2),"")</f>
        <v>15.05</v>
      </c>
      <c r="E20" s="15">
        <f>IFERROR(ROUND(IF(B20&lt;2,"n/a",(IF(C20&lt;=25%,"n/a",AVERAGE(I3:I17)))),2),"n/a")</f>
        <v>12.78</v>
      </c>
      <c r="F20" s="10">
        <f>IFERROR(ROUND(MEDIAN(H3:H17),2),"")</f>
        <v>12.46</v>
      </c>
      <c r="G20" s="11" t="str">
        <f>IFERROR(INDEX(G3:G17,MATCH(H20,H3:H17,0)),"")</f>
        <v>GRAFICA E EDITORA LICEU LTDA</v>
      </c>
      <c r="H20" s="12">
        <f>F3</f>
        <v>12.201093501000001</v>
      </c>
    </row>
    <row r="22" spans="1:9" x14ac:dyDescent="0.25">
      <c r="G22" s="13" t="s">
        <v>20</v>
      </c>
      <c r="H22" s="14">
        <f>IF(C20&lt;=25%,D20,MIN(E20:F20))</f>
        <v>12.46</v>
      </c>
    </row>
    <row r="23" spans="1:9" x14ac:dyDescent="0.25">
      <c r="G23" s="13" t="s">
        <v>6</v>
      </c>
      <c r="H23" s="14">
        <f>ROUND(H22,2)*D3</f>
        <v>37380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9</v>
      </c>
      <c r="F2" s="29" t="s">
        <v>10</v>
      </c>
      <c r="G2" s="29" t="s">
        <v>11</v>
      </c>
      <c r="H2" s="29" t="s">
        <v>12</v>
      </c>
      <c r="I2" s="29" t="s">
        <v>13</v>
      </c>
    </row>
    <row r="3" spans="1:9" x14ac:dyDescent="0.25">
      <c r="A3" s="37">
        <v>44</v>
      </c>
      <c r="B3" s="33" t="s">
        <v>171</v>
      </c>
      <c r="C3" s="35" t="s">
        <v>7</v>
      </c>
      <c r="D3" s="35">
        <v>2400</v>
      </c>
      <c r="E3" s="36">
        <f>IF(C20&lt;=25%,D20,MIN(E20:F20))</f>
        <v>17.440000000000001</v>
      </c>
      <c r="F3" s="36">
        <f>MIN(H3:H17)</f>
        <v>6.04420249</v>
      </c>
      <c r="G3" s="5" t="s">
        <v>53</v>
      </c>
      <c r="H3" s="16">
        <v>6.04420249</v>
      </c>
      <c r="I3" s="17">
        <f>IF(H3="","",(IF($C$20&lt;25%,"n/a",IF(H3&lt;=($D$20+$A$20),H3,"Descartado"))))</f>
        <v>6.04420249</v>
      </c>
    </row>
    <row r="4" spans="1:9" x14ac:dyDescent="0.25">
      <c r="A4" s="37"/>
      <c r="B4" s="34"/>
      <c r="C4" s="35"/>
      <c r="D4" s="35"/>
      <c r="E4" s="36"/>
      <c r="F4" s="36"/>
      <c r="G4" s="5" t="s">
        <v>52</v>
      </c>
      <c r="H4" s="16">
        <v>20.488821999999999</v>
      </c>
      <c r="I4" s="17">
        <f t="shared" ref="I4:I17" si="0">IF(H4="","",(IF($C$20&lt;25%,"n/a",IF(H4&lt;=($D$20+$A$20),H4,"Descartado"))))</f>
        <v>20.488821999999999</v>
      </c>
    </row>
    <row r="5" spans="1:9" x14ac:dyDescent="0.25">
      <c r="A5" s="37"/>
      <c r="B5" s="34"/>
      <c r="C5" s="35"/>
      <c r="D5" s="35"/>
      <c r="E5" s="36"/>
      <c r="F5" s="36"/>
      <c r="G5" s="5" t="s">
        <v>76</v>
      </c>
      <c r="H5" s="16">
        <v>30.733232999999998</v>
      </c>
      <c r="I5" s="17">
        <f t="shared" si="0"/>
        <v>30.733232999999998</v>
      </c>
    </row>
    <row r="6" spans="1:9" x14ac:dyDescent="0.25">
      <c r="A6" s="37"/>
      <c r="B6" s="34"/>
      <c r="C6" s="35"/>
      <c r="D6" s="35"/>
      <c r="E6" s="36"/>
      <c r="F6" s="36"/>
      <c r="G6" s="5" t="s">
        <v>73</v>
      </c>
      <c r="H6" s="16">
        <v>14.3421754</v>
      </c>
      <c r="I6" s="17">
        <f t="shared" si="0"/>
        <v>14.3421754</v>
      </c>
    </row>
    <row r="7" spans="1:9" x14ac:dyDescent="0.25">
      <c r="A7" s="37"/>
      <c r="B7" s="34"/>
      <c r="C7" s="35"/>
      <c r="D7" s="35"/>
      <c r="E7" s="36"/>
      <c r="F7" s="36"/>
      <c r="G7" s="5" t="s">
        <v>46</v>
      </c>
      <c r="H7" s="16">
        <v>9.8551233819999986</v>
      </c>
      <c r="I7" s="17">
        <f t="shared" si="0"/>
        <v>9.8551233819999986</v>
      </c>
    </row>
    <row r="8" spans="1:9" x14ac:dyDescent="0.25">
      <c r="A8" s="37"/>
      <c r="B8" s="34"/>
      <c r="C8" s="35"/>
      <c r="D8" s="35"/>
      <c r="E8" s="36"/>
      <c r="F8" s="36"/>
      <c r="G8" s="5" t="s">
        <v>68</v>
      </c>
      <c r="H8" s="16">
        <v>7.8881964700000005</v>
      </c>
      <c r="I8" s="17">
        <f t="shared" si="0"/>
        <v>7.8881964700000005</v>
      </c>
    </row>
    <row r="9" spans="1:9" x14ac:dyDescent="0.25">
      <c r="A9" s="37"/>
      <c r="B9" s="34"/>
      <c r="C9" s="35"/>
      <c r="D9" s="35"/>
      <c r="E9" s="36"/>
      <c r="F9" s="36"/>
      <c r="G9" s="5" t="s">
        <v>77</v>
      </c>
      <c r="H9" s="16">
        <v>8.1955287999999999</v>
      </c>
      <c r="I9" s="17">
        <f t="shared" si="0"/>
        <v>8.1955287999999999</v>
      </c>
    </row>
    <row r="10" spans="1:9" x14ac:dyDescent="0.25">
      <c r="A10" s="37"/>
      <c r="B10" s="34"/>
      <c r="C10" s="35"/>
      <c r="D10" s="35"/>
      <c r="E10" s="36"/>
      <c r="F10" s="36"/>
      <c r="G10" s="5" t="s">
        <v>78</v>
      </c>
      <c r="H10" s="16">
        <v>37.853098645000003</v>
      </c>
      <c r="I10" s="17" t="str">
        <f t="shared" si="0"/>
        <v>Descartado</v>
      </c>
    </row>
    <row r="11" spans="1:9" x14ac:dyDescent="0.25">
      <c r="A11" s="37"/>
      <c r="B11" s="34"/>
      <c r="C11" s="35"/>
      <c r="D11" s="35"/>
      <c r="E11" s="36"/>
      <c r="F11" s="36"/>
      <c r="G11" s="5" t="s">
        <v>66</v>
      </c>
      <c r="H11" s="16">
        <v>27.711131755</v>
      </c>
      <c r="I11" s="17">
        <f t="shared" si="0"/>
        <v>27.711131755</v>
      </c>
    </row>
    <row r="12" spans="1:9" x14ac:dyDescent="0.25">
      <c r="A12" s="37"/>
      <c r="B12" s="34"/>
      <c r="C12" s="35"/>
      <c r="D12" s="35"/>
      <c r="E12" s="36"/>
      <c r="F12" s="36"/>
      <c r="G12" s="5" t="s">
        <v>69</v>
      </c>
      <c r="H12" s="16">
        <v>37.853098645000003</v>
      </c>
      <c r="I12" s="17" t="str">
        <f t="shared" si="0"/>
        <v>Descartado</v>
      </c>
    </row>
    <row r="13" spans="1:9" x14ac:dyDescent="0.25">
      <c r="A13" s="37"/>
      <c r="B13" s="34"/>
      <c r="C13" s="35"/>
      <c r="D13" s="35"/>
      <c r="E13" s="36"/>
      <c r="F13" s="36"/>
      <c r="G13" s="5" t="s">
        <v>79</v>
      </c>
      <c r="H13" s="16">
        <v>37.853098645000003</v>
      </c>
      <c r="I13" s="17" t="str">
        <f t="shared" si="0"/>
        <v>Descartado</v>
      </c>
    </row>
    <row r="14" spans="1:9" x14ac:dyDescent="0.25">
      <c r="A14" s="37"/>
      <c r="B14" s="34"/>
      <c r="C14" s="35"/>
      <c r="D14" s="35"/>
      <c r="E14" s="36"/>
      <c r="F14" s="36"/>
      <c r="G14" s="5" t="s">
        <v>80</v>
      </c>
      <c r="H14" s="16">
        <v>32.7821152</v>
      </c>
      <c r="I14" s="17">
        <f t="shared" si="0"/>
        <v>32.7821152</v>
      </c>
    </row>
    <row r="15" spans="1:9" x14ac:dyDescent="0.25">
      <c r="A15" s="37"/>
      <c r="B15" s="34"/>
      <c r="C15" s="35"/>
      <c r="D15" s="35"/>
      <c r="E15" s="36"/>
      <c r="F15" s="36"/>
      <c r="G15" s="5" t="s">
        <v>81</v>
      </c>
      <c r="H15" s="16">
        <v>12.293293200000001</v>
      </c>
      <c r="I15" s="17">
        <f t="shared" si="0"/>
        <v>12.293293200000001</v>
      </c>
    </row>
    <row r="16" spans="1:9" x14ac:dyDescent="0.25">
      <c r="A16" s="37"/>
      <c r="B16" s="34"/>
      <c r="C16" s="35"/>
      <c r="D16" s="35"/>
      <c r="E16" s="36"/>
      <c r="F16" s="36"/>
      <c r="G16" s="5" t="s">
        <v>82</v>
      </c>
      <c r="H16" s="16">
        <v>21.5132631</v>
      </c>
      <c r="I16" s="17">
        <f t="shared" si="0"/>
        <v>21.5132631</v>
      </c>
    </row>
    <row r="17" spans="1:9" x14ac:dyDescent="0.25">
      <c r="A17" s="37"/>
      <c r="B17" s="34"/>
      <c r="C17" s="35"/>
      <c r="D17" s="35"/>
      <c r="E17" s="36"/>
      <c r="F17" s="36"/>
      <c r="G17" s="5" t="s">
        <v>83</v>
      </c>
      <c r="H17" s="16">
        <v>37.853098645000003</v>
      </c>
      <c r="I17" s="17" t="str">
        <f t="shared" si="0"/>
        <v>Descartado</v>
      </c>
    </row>
    <row r="19" spans="1:9" s="4" customFormat="1" ht="24" x14ac:dyDescent="0.25">
      <c r="A19" s="29" t="s">
        <v>14</v>
      </c>
      <c r="B19" s="29" t="s">
        <v>15</v>
      </c>
      <c r="C19" s="29" t="s">
        <v>25</v>
      </c>
      <c r="D19" s="29" t="s">
        <v>16</v>
      </c>
      <c r="E19" s="29" t="s">
        <v>17</v>
      </c>
      <c r="F19" s="29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12.438067581500636</v>
      </c>
      <c r="B20" s="8">
        <f>COUNT(H3:H17)</f>
        <v>15</v>
      </c>
      <c r="C20" s="9">
        <f>IF(B20&lt;2,"n/a",(A20/D20))</f>
        <v>0.54362183485579707</v>
      </c>
      <c r="D20" s="10">
        <f>IFERROR(ROUND(AVERAGE(H3:H17),2),"")</f>
        <v>22.88</v>
      </c>
      <c r="E20" s="15">
        <f>IFERROR(ROUND(IF(B20&lt;2,"n/a",(IF(C20&lt;=25%,"n/a",AVERAGE(I3:I17)))),2),"n/a")</f>
        <v>17.440000000000001</v>
      </c>
      <c r="F20" s="10">
        <f>IFERROR(ROUND(MEDIAN(H3:H17),2),"")</f>
        <v>21.51</v>
      </c>
      <c r="G20" s="11" t="str">
        <f>IFERROR(INDEX(G3:G17,MATCH(H20,H3:H17,0)),"")</f>
        <v>AVOHAI EVENTOS LTDA</v>
      </c>
      <c r="H20" s="12">
        <f>F3</f>
        <v>6.04420249</v>
      </c>
    </row>
    <row r="22" spans="1:9" x14ac:dyDescent="0.25">
      <c r="G22" s="13" t="s">
        <v>20</v>
      </c>
      <c r="H22" s="14">
        <f>IF(C20&lt;=25%,D20,MIN(E20:F20))</f>
        <v>17.440000000000001</v>
      </c>
    </row>
    <row r="23" spans="1:9" x14ac:dyDescent="0.25">
      <c r="G23" s="13" t="s">
        <v>6</v>
      </c>
      <c r="H23" s="14">
        <f>ROUND(H22,2)*D3</f>
        <v>41856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9</v>
      </c>
      <c r="F2" s="29" t="s">
        <v>10</v>
      </c>
      <c r="G2" s="29" t="s">
        <v>11</v>
      </c>
      <c r="H2" s="29" t="s">
        <v>12</v>
      </c>
      <c r="I2" s="29" t="s">
        <v>13</v>
      </c>
    </row>
    <row r="3" spans="1:9" x14ac:dyDescent="0.25">
      <c r="A3" s="37">
        <v>45</v>
      </c>
      <c r="B3" s="33" t="s">
        <v>172</v>
      </c>
      <c r="C3" s="35" t="s">
        <v>7</v>
      </c>
      <c r="D3" s="35">
        <v>55000</v>
      </c>
      <c r="E3" s="36">
        <f>IF(C20&lt;=25%,D20,MIN(E20:F20))</f>
        <v>1.24</v>
      </c>
      <c r="F3" s="36">
        <f>MIN(H3:H17)</f>
        <v>0.97321904499999989</v>
      </c>
      <c r="G3" s="5" t="s">
        <v>90</v>
      </c>
      <c r="H3" s="16">
        <v>0.97321904499999989</v>
      </c>
      <c r="I3" s="17">
        <f>IF(H3="","",(IF($C$20&lt;25%,"n/a",IF(H3&lt;=($D$20+$A$20),H3,"Descartado"))))</f>
        <v>0.97321904499999989</v>
      </c>
    </row>
    <row r="4" spans="1:9" x14ac:dyDescent="0.25">
      <c r="A4" s="37"/>
      <c r="B4" s="34"/>
      <c r="C4" s="35"/>
      <c r="D4" s="35"/>
      <c r="E4" s="36"/>
      <c r="F4" s="36"/>
      <c r="G4" s="5" t="s">
        <v>78</v>
      </c>
      <c r="H4" s="16">
        <v>1.178107265</v>
      </c>
      <c r="I4" s="17">
        <f t="shared" ref="I4:I17" si="0">IF(H4="","",(IF($C$20&lt;25%,"n/a",IF(H4&lt;=($D$20+$A$20),H4,"Descartado"))))</f>
        <v>1.178107265</v>
      </c>
    </row>
    <row r="5" spans="1:9" x14ac:dyDescent="0.25">
      <c r="A5" s="37"/>
      <c r="B5" s="34"/>
      <c r="C5" s="35"/>
      <c r="D5" s="35"/>
      <c r="E5" s="36"/>
      <c r="F5" s="36"/>
      <c r="G5" s="5" t="s">
        <v>91</v>
      </c>
      <c r="H5" s="16">
        <v>1.464950773</v>
      </c>
      <c r="I5" s="17">
        <f t="shared" si="0"/>
        <v>1.464950773</v>
      </c>
    </row>
    <row r="6" spans="1:9" x14ac:dyDescent="0.25">
      <c r="A6" s="37"/>
      <c r="B6" s="34"/>
      <c r="C6" s="35"/>
      <c r="D6" s="35"/>
      <c r="E6" s="36"/>
      <c r="F6" s="36"/>
      <c r="G6" s="5" t="s">
        <v>92</v>
      </c>
      <c r="H6" s="16">
        <v>1.1268852100000002</v>
      </c>
      <c r="I6" s="17">
        <f t="shared" si="0"/>
        <v>1.1268852100000002</v>
      </c>
    </row>
    <row r="7" spans="1:9" x14ac:dyDescent="0.25">
      <c r="A7" s="37"/>
      <c r="B7" s="34"/>
      <c r="C7" s="35"/>
      <c r="D7" s="35"/>
      <c r="E7" s="36"/>
      <c r="F7" s="36"/>
      <c r="G7" s="5" t="s">
        <v>77</v>
      </c>
      <c r="H7" s="16">
        <v>1.260062553</v>
      </c>
      <c r="I7" s="17">
        <f t="shared" si="0"/>
        <v>1.260062553</v>
      </c>
    </row>
    <row r="8" spans="1:9" x14ac:dyDescent="0.25">
      <c r="A8" s="37"/>
      <c r="B8" s="34"/>
      <c r="C8" s="35"/>
      <c r="D8" s="35"/>
      <c r="E8" s="36"/>
      <c r="F8" s="36"/>
      <c r="G8" s="5" t="s">
        <v>93</v>
      </c>
      <c r="H8" s="16">
        <v>1.2805513749999999</v>
      </c>
      <c r="I8" s="17">
        <f t="shared" si="0"/>
        <v>1.2805513749999999</v>
      </c>
    </row>
    <row r="9" spans="1:9" x14ac:dyDescent="0.25">
      <c r="A9" s="37"/>
      <c r="B9" s="34"/>
      <c r="C9" s="35"/>
      <c r="D9" s="35"/>
      <c r="E9" s="36"/>
      <c r="F9" s="36"/>
      <c r="G9" s="5" t="s">
        <v>94</v>
      </c>
      <c r="H9" s="16">
        <v>1.260062553</v>
      </c>
      <c r="I9" s="17">
        <f t="shared" si="0"/>
        <v>1.260062553</v>
      </c>
    </row>
    <row r="10" spans="1:9" x14ac:dyDescent="0.25">
      <c r="A10" s="37"/>
      <c r="B10" s="34"/>
      <c r="C10" s="35"/>
      <c r="D10" s="35"/>
      <c r="E10" s="36"/>
      <c r="F10" s="36"/>
      <c r="G10" s="5" t="s">
        <v>95</v>
      </c>
      <c r="H10" s="16">
        <v>1.260062553</v>
      </c>
      <c r="I10" s="17">
        <f t="shared" si="0"/>
        <v>1.260062553</v>
      </c>
    </row>
    <row r="11" spans="1:9" x14ac:dyDescent="0.25">
      <c r="A11" s="37"/>
      <c r="B11" s="34"/>
      <c r="C11" s="35"/>
      <c r="D11" s="35"/>
      <c r="E11" s="36"/>
      <c r="F11" s="36"/>
      <c r="G11" s="5" t="s">
        <v>83</v>
      </c>
      <c r="H11" s="16">
        <v>1.260062553</v>
      </c>
      <c r="I11" s="17">
        <f t="shared" si="0"/>
        <v>1.260062553</v>
      </c>
    </row>
    <row r="12" spans="1:9" x14ac:dyDescent="0.25">
      <c r="A12" s="37"/>
      <c r="B12" s="34"/>
      <c r="C12" s="35"/>
      <c r="D12" s="35"/>
      <c r="E12" s="36"/>
      <c r="F12" s="36"/>
      <c r="G12" s="5" t="s">
        <v>53</v>
      </c>
      <c r="H12" s="16">
        <v>1.260062553</v>
      </c>
      <c r="I12" s="17">
        <f t="shared" si="0"/>
        <v>1.260062553</v>
      </c>
    </row>
    <row r="13" spans="1:9" x14ac:dyDescent="0.25">
      <c r="A13" s="37"/>
      <c r="B13" s="34"/>
      <c r="C13" s="35"/>
      <c r="D13" s="35"/>
      <c r="E13" s="36"/>
      <c r="F13" s="36"/>
      <c r="G13" s="5" t="s">
        <v>80</v>
      </c>
      <c r="H13" s="16">
        <v>1.260062553</v>
      </c>
      <c r="I13" s="17">
        <f t="shared" si="0"/>
        <v>1.260062553</v>
      </c>
    </row>
    <row r="14" spans="1:9" x14ac:dyDescent="0.25">
      <c r="A14" s="37"/>
      <c r="B14" s="34"/>
      <c r="C14" s="35"/>
      <c r="D14" s="35"/>
      <c r="E14" s="36"/>
      <c r="F14" s="36"/>
      <c r="G14" s="5" t="s">
        <v>96</v>
      </c>
      <c r="H14" s="16">
        <v>1.260062553</v>
      </c>
      <c r="I14" s="17">
        <f t="shared" si="0"/>
        <v>1.260062553</v>
      </c>
    </row>
    <row r="15" spans="1:9" x14ac:dyDescent="0.25">
      <c r="A15" s="37"/>
      <c r="B15" s="34"/>
      <c r="C15" s="35"/>
      <c r="D15" s="35"/>
      <c r="E15" s="36"/>
      <c r="F15" s="36"/>
      <c r="G15" s="5" t="s">
        <v>76</v>
      </c>
      <c r="H15" s="16">
        <v>1.260062553</v>
      </c>
      <c r="I15" s="17">
        <f t="shared" si="0"/>
        <v>1.260062553</v>
      </c>
    </row>
    <row r="16" spans="1:9" x14ac:dyDescent="0.25">
      <c r="A16" s="37"/>
      <c r="B16" s="34"/>
      <c r="C16" s="35"/>
      <c r="D16" s="35"/>
      <c r="E16" s="36"/>
      <c r="F16" s="36"/>
      <c r="G16" s="5" t="s">
        <v>63</v>
      </c>
      <c r="H16" s="16">
        <v>5.1222054999999997</v>
      </c>
      <c r="I16" s="17" t="str">
        <f t="shared" si="0"/>
        <v>Descartado</v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9" t="s">
        <v>14</v>
      </c>
      <c r="B19" s="29" t="s">
        <v>15</v>
      </c>
      <c r="C19" s="29" t="s">
        <v>25</v>
      </c>
      <c r="D19" s="29" t="s">
        <v>16</v>
      </c>
      <c r="E19" s="29" t="s">
        <v>17</v>
      </c>
      <c r="F19" s="29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1.0431824299538306</v>
      </c>
      <c r="B20" s="8">
        <f>COUNT(H3:H17)</f>
        <v>14</v>
      </c>
      <c r="C20" s="9">
        <f>IF(B20&lt;2,"n/a",(A20/D20))</f>
        <v>0.68630423023278331</v>
      </c>
      <c r="D20" s="10">
        <f>IFERROR(ROUND(AVERAGE(H3:H17),2),"")</f>
        <v>1.52</v>
      </c>
      <c r="E20" s="15">
        <f>IFERROR(ROUND(IF(B20&lt;2,"n/a",(IF(C20&lt;=25%,"n/a",AVERAGE(I3:I17)))),2),"n/a")</f>
        <v>1.24</v>
      </c>
      <c r="F20" s="10">
        <f>IFERROR(ROUND(MEDIAN(H3:H17),2),"")</f>
        <v>1.26</v>
      </c>
      <c r="G20" s="11" t="str">
        <f>IFERROR(INDEX(G3:G17,MATCH(H20,H3:H17,0)),"")</f>
        <v>AMAZONAS COMERCIO DE ADESIVOS E BRINDES LTDA</v>
      </c>
      <c r="H20" s="12">
        <f>F3</f>
        <v>0.97321904499999989</v>
      </c>
    </row>
    <row r="22" spans="1:9" x14ac:dyDescent="0.25">
      <c r="G22" s="13" t="s">
        <v>20</v>
      </c>
      <c r="H22" s="14">
        <f>IF(C20&lt;=25%,D20,MIN(E20:F20))</f>
        <v>1.24</v>
      </c>
    </row>
    <row r="23" spans="1:9" x14ac:dyDescent="0.25">
      <c r="G23" s="13" t="s">
        <v>6</v>
      </c>
      <c r="H23" s="14">
        <f>ROUND(H22,2)*D3</f>
        <v>68200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9</v>
      </c>
      <c r="F2" s="29" t="s">
        <v>10</v>
      </c>
      <c r="G2" s="29" t="s">
        <v>11</v>
      </c>
      <c r="H2" s="29" t="s">
        <v>12</v>
      </c>
      <c r="I2" s="29" t="s">
        <v>13</v>
      </c>
    </row>
    <row r="3" spans="1:9" x14ac:dyDescent="0.25">
      <c r="A3" s="37">
        <v>46</v>
      </c>
      <c r="B3" s="33" t="s">
        <v>173</v>
      </c>
      <c r="C3" s="35" t="s">
        <v>7</v>
      </c>
      <c r="D3" s="35">
        <f>168000*0.25</f>
        <v>42000</v>
      </c>
      <c r="E3" s="36">
        <f>IF(C20&lt;=25%,D20,MIN(E20:F20))</f>
        <v>1.85</v>
      </c>
      <c r="F3" s="36">
        <f>MIN(H3:H17)</f>
        <v>0.87077493499999992</v>
      </c>
      <c r="G3" s="5" t="s">
        <v>124</v>
      </c>
      <c r="H3" s="16">
        <v>0.87077493499999992</v>
      </c>
      <c r="I3" s="17">
        <f>IF(H3="","",(IF($C$20&lt;25%,"n/a",IF(H3&lt;=($D$20+$A$20),H3,"Descartado"))))</f>
        <v>0.87077493499999992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2.632813627</v>
      </c>
      <c r="I4" s="17">
        <f t="shared" ref="I4:I17" si="0">IF(H4="","",(IF($C$20&lt;25%,"n/a",IF(H4&lt;=($D$20+$A$20),H4,"Descartado"))))</f>
        <v>2.632813627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2.6430580379999999</v>
      </c>
      <c r="I5" s="17">
        <f t="shared" si="0"/>
        <v>2.6430580379999999</v>
      </c>
    </row>
    <row r="6" spans="1:9" x14ac:dyDescent="0.25">
      <c r="A6" s="37"/>
      <c r="B6" s="34"/>
      <c r="C6" s="35"/>
      <c r="D6" s="35"/>
      <c r="E6" s="36"/>
      <c r="F6" s="36"/>
      <c r="G6" s="5" t="s">
        <v>126</v>
      </c>
      <c r="H6" s="16">
        <v>2.427925407</v>
      </c>
      <c r="I6" s="17">
        <f t="shared" si="0"/>
        <v>2.427925407</v>
      </c>
    </row>
    <row r="7" spans="1:9" x14ac:dyDescent="0.25">
      <c r="A7" s="37"/>
      <c r="B7" s="34"/>
      <c r="C7" s="35"/>
      <c r="D7" s="35"/>
      <c r="E7" s="36"/>
      <c r="F7" s="36"/>
      <c r="G7" s="5" t="s">
        <v>46</v>
      </c>
      <c r="H7" s="16">
        <v>2.5611027499999999</v>
      </c>
      <c r="I7" s="17">
        <f t="shared" si="0"/>
        <v>2.5611027499999999</v>
      </c>
    </row>
    <row r="8" spans="1:9" x14ac:dyDescent="0.25">
      <c r="A8" s="37"/>
      <c r="B8" s="34"/>
      <c r="C8" s="35"/>
      <c r="D8" s="35"/>
      <c r="E8" s="36"/>
      <c r="F8" s="36"/>
      <c r="G8" s="5" t="s">
        <v>127</v>
      </c>
      <c r="H8" s="16">
        <v>1.0039522779999999</v>
      </c>
      <c r="I8" s="17">
        <f t="shared" si="0"/>
        <v>1.0039522779999999</v>
      </c>
    </row>
    <row r="9" spans="1:9" x14ac:dyDescent="0.25">
      <c r="A9" s="37"/>
      <c r="B9" s="34"/>
      <c r="C9" s="35"/>
      <c r="D9" s="35"/>
      <c r="E9" s="36"/>
      <c r="F9" s="36"/>
      <c r="G9" s="5" t="s">
        <v>129</v>
      </c>
      <c r="H9" s="16">
        <v>0.901508168</v>
      </c>
      <c r="I9" s="17">
        <f t="shared" si="0"/>
        <v>0.901508168</v>
      </c>
    </row>
    <row r="10" spans="1:9" x14ac:dyDescent="0.25">
      <c r="A10" s="37"/>
      <c r="B10" s="34"/>
      <c r="C10" s="35"/>
      <c r="D10" s="35"/>
      <c r="E10" s="36"/>
      <c r="F10" s="36"/>
      <c r="G10" s="5" t="s">
        <v>94</v>
      </c>
      <c r="H10" s="16">
        <v>1.792771925</v>
      </c>
      <c r="I10" s="17">
        <f t="shared" si="0"/>
        <v>1.792771925</v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9" t="s">
        <v>14</v>
      </c>
      <c r="B19" s="29" t="s">
        <v>15</v>
      </c>
      <c r="C19" s="29" t="s">
        <v>25</v>
      </c>
      <c r="D19" s="29" t="s">
        <v>16</v>
      </c>
      <c r="E19" s="29" t="s">
        <v>17</v>
      </c>
      <c r="F19" s="29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0.81581245178966078</v>
      </c>
      <c r="B20" s="8">
        <f>COUNT(H3:H17)</f>
        <v>8</v>
      </c>
      <c r="C20" s="9">
        <f>IF(B20&lt;2,"n/a",(A20/D20))</f>
        <v>0.44097970367008688</v>
      </c>
      <c r="D20" s="10">
        <f>IFERROR(ROUND(AVERAGE(H3:H17),2),"")</f>
        <v>1.85</v>
      </c>
      <c r="E20" s="15">
        <f>IFERROR(ROUND(IF(B20&lt;2,"n/a",(IF(C20&lt;=25%,"n/a",AVERAGE(I3:I17)))),2),"n/a")</f>
        <v>1.85</v>
      </c>
      <c r="F20" s="10">
        <f>IFERROR(ROUND(MEDIAN(H3:H17),2),"")</f>
        <v>2.11</v>
      </c>
      <c r="G20" s="11" t="str">
        <f>IFERROR(INDEX(G3:G17,MATCH(H20,H3:H17,0)),"")</f>
        <v>ACDF COMUNICACAO VISUAL E GRAFICA LTDA</v>
      </c>
      <c r="H20" s="12">
        <f>F3</f>
        <v>0.87077493499999992</v>
      </c>
    </row>
    <row r="22" spans="1:9" x14ac:dyDescent="0.25">
      <c r="G22" s="13" t="s">
        <v>20</v>
      </c>
      <c r="H22" s="14">
        <f>IF(C20&lt;=25%,D20,MIN(E20:F20))</f>
        <v>1.85</v>
      </c>
    </row>
    <row r="23" spans="1:9" x14ac:dyDescent="0.25">
      <c r="G23" s="13" t="s">
        <v>6</v>
      </c>
      <c r="H23" s="14">
        <f>ROUND(H22,2)*D3</f>
        <v>77700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9</v>
      </c>
      <c r="F2" s="29" t="s">
        <v>10</v>
      </c>
      <c r="G2" s="29" t="s">
        <v>11</v>
      </c>
      <c r="H2" s="29" t="s">
        <v>12</v>
      </c>
      <c r="I2" s="29" t="s">
        <v>13</v>
      </c>
    </row>
    <row r="3" spans="1:9" x14ac:dyDescent="0.25">
      <c r="A3" s="37">
        <v>47</v>
      </c>
      <c r="B3" s="33" t="s">
        <v>174</v>
      </c>
      <c r="C3" s="35" t="s">
        <v>39</v>
      </c>
      <c r="D3" s="35">
        <f>10000*0.25</f>
        <v>2500</v>
      </c>
      <c r="E3" s="36">
        <f>IF(C20&lt;=25%,D20,MIN(E20:F20))</f>
        <v>20.2</v>
      </c>
      <c r="F3" s="36">
        <f>MIN(H3:H17)</f>
        <v>12.805513749999999</v>
      </c>
      <c r="G3" s="5" t="s">
        <v>54</v>
      </c>
      <c r="H3" s="16">
        <v>12.805513749999999</v>
      </c>
      <c r="I3" s="17">
        <f>IF(H3="","",(IF($C$20&lt;25%,"n/a",IF(H3&lt;=($D$20+$A$20),H3,"Descartado"))))</f>
        <v>12.805513749999999</v>
      </c>
    </row>
    <row r="4" spans="1:9" x14ac:dyDescent="0.25">
      <c r="A4" s="37"/>
      <c r="B4" s="34"/>
      <c r="C4" s="35"/>
      <c r="D4" s="35"/>
      <c r="E4" s="36"/>
      <c r="F4" s="36"/>
      <c r="G4" s="5" t="s">
        <v>68</v>
      </c>
      <c r="H4" s="16">
        <v>13.625066630000001</v>
      </c>
      <c r="I4" s="17">
        <f t="shared" ref="I4:I17" si="0">IF(H4="","",(IF($C$20&lt;25%,"n/a",IF(H4&lt;=($D$20+$A$20),H4,"Descartado"))))</f>
        <v>13.625066630000001</v>
      </c>
    </row>
    <row r="5" spans="1:9" x14ac:dyDescent="0.25">
      <c r="A5" s="37"/>
      <c r="B5" s="34"/>
      <c r="C5" s="35"/>
      <c r="D5" s="35"/>
      <c r="E5" s="36"/>
      <c r="F5" s="36"/>
      <c r="G5" s="5" t="s">
        <v>51</v>
      </c>
      <c r="H5" s="16">
        <v>14.854395950000001</v>
      </c>
      <c r="I5" s="17">
        <f t="shared" si="0"/>
        <v>14.854395950000001</v>
      </c>
    </row>
    <row r="6" spans="1:9" x14ac:dyDescent="0.25">
      <c r="A6" s="37"/>
      <c r="B6" s="34"/>
      <c r="C6" s="35"/>
      <c r="D6" s="35"/>
      <c r="E6" s="36"/>
      <c r="F6" s="36"/>
      <c r="G6" s="5" t="s">
        <v>69</v>
      </c>
      <c r="H6" s="16">
        <v>15.366616499999999</v>
      </c>
      <c r="I6" s="17">
        <f t="shared" si="0"/>
        <v>15.366616499999999</v>
      </c>
    </row>
    <row r="7" spans="1:9" x14ac:dyDescent="0.25">
      <c r="A7" s="37"/>
      <c r="B7" s="34"/>
      <c r="C7" s="35"/>
      <c r="D7" s="35"/>
      <c r="E7" s="36"/>
      <c r="F7" s="36"/>
      <c r="G7" s="5" t="s">
        <v>47</v>
      </c>
      <c r="H7" s="16">
        <v>18.439939800000001</v>
      </c>
      <c r="I7" s="17">
        <f t="shared" si="0"/>
        <v>18.439939800000001</v>
      </c>
    </row>
    <row r="8" spans="1:9" x14ac:dyDescent="0.25">
      <c r="A8" s="37"/>
      <c r="B8" s="34"/>
      <c r="C8" s="35"/>
      <c r="D8" s="35"/>
      <c r="E8" s="36"/>
      <c r="F8" s="36"/>
      <c r="G8" s="5" t="s">
        <v>66</v>
      </c>
      <c r="H8" s="16">
        <v>20.027823505000001</v>
      </c>
      <c r="I8" s="17">
        <f t="shared" si="0"/>
        <v>20.027823505000001</v>
      </c>
    </row>
    <row r="9" spans="1:9" x14ac:dyDescent="0.25">
      <c r="A9" s="37"/>
      <c r="B9" s="34"/>
      <c r="C9" s="35"/>
      <c r="D9" s="35"/>
      <c r="E9" s="36"/>
      <c r="F9" s="36"/>
      <c r="G9" s="5" t="s">
        <v>70</v>
      </c>
      <c r="H9" s="16">
        <v>20.038067915999999</v>
      </c>
      <c r="I9" s="17">
        <f t="shared" si="0"/>
        <v>20.038067915999999</v>
      </c>
    </row>
    <row r="10" spans="1:9" x14ac:dyDescent="0.25">
      <c r="A10" s="37"/>
      <c r="B10" s="34"/>
      <c r="C10" s="35"/>
      <c r="D10" s="35"/>
      <c r="E10" s="36"/>
      <c r="F10" s="36"/>
      <c r="G10" s="5" t="s">
        <v>50</v>
      </c>
      <c r="H10" s="16">
        <v>20.488821999999999</v>
      </c>
      <c r="I10" s="17">
        <f t="shared" si="0"/>
        <v>20.488821999999999</v>
      </c>
    </row>
    <row r="11" spans="1:9" x14ac:dyDescent="0.25">
      <c r="A11" s="37"/>
      <c r="B11" s="34"/>
      <c r="C11" s="35"/>
      <c r="D11" s="35"/>
      <c r="E11" s="36"/>
      <c r="F11" s="36"/>
      <c r="G11" s="5" t="s">
        <v>58</v>
      </c>
      <c r="H11" s="16">
        <v>20.488821999999999</v>
      </c>
      <c r="I11" s="17">
        <f t="shared" si="0"/>
        <v>20.488821999999999</v>
      </c>
    </row>
    <row r="12" spans="1:9" x14ac:dyDescent="0.25">
      <c r="A12" s="37"/>
      <c r="B12" s="34"/>
      <c r="C12" s="35"/>
      <c r="D12" s="35"/>
      <c r="E12" s="36"/>
      <c r="F12" s="36"/>
      <c r="G12" s="5" t="s">
        <v>56</v>
      </c>
      <c r="H12" s="16">
        <v>28.47946258</v>
      </c>
      <c r="I12" s="17">
        <f t="shared" si="0"/>
        <v>28.47946258</v>
      </c>
    </row>
    <row r="13" spans="1:9" x14ac:dyDescent="0.25">
      <c r="A13" s="37"/>
      <c r="B13" s="34"/>
      <c r="C13" s="35"/>
      <c r="D13" s="35"/>
      <c r="E13" s="36"/>
      <c r="F13" s="36"/>
      <c r="G13" s="5" t="s">
        <v>71</v>
      </c>
      <c r="H13" s="16">
        <v>28.530684635</v>
      </c>
      <c r="I13" s="17">
        <f t="shared" si="0"/>
        <v>28.530684635</v>
      </c>
    </row>
    <row r="14" spans="1:9" x14ac:dyDescent="0.25">
      <c r="A14" s="37"/>
      <c r="B14" s="34"/>
      <c r="C14" s="35"/>
      <c r="D14" s="35"/>
      <c r="E14" s="36"/>
      <c r="F14" s="36"/>
      <c r="G14" s="5" t="s">
        <v>60</v>
      </c>
      <c r="H14" s="16">
        <v>29.196571349999999</v>
      </c>
      <c r="I14" s="17">
        <f t="shared" si="0"/>
        <v>29.196571349999999</v>
      </c>
    </row>
    <row r="15" spans="1:9" x14ac:dyDescent="0.25">
      <c r="A15" s="37"/>
      <c r="B15" s="34"/>
      <c r="C15" s="35"/>
      <c r="D15" s="35"/>
      <c r="E15" s="36"/>
      <c r="F15" s="36"/>
      <c r="G15" s="5" t="s">
        <v>53</v>
      </c>
      <c r="H15" s="16">
        <v>30.733232999999998</v>
      </c>
      <c r="I15" s="17" t="str">
        <f t="shared" si="0"/>
        <v>Descartado</v>
      </c>
    </row>
    <row r="16" spans="1:9" x14ac:dyDescent="0.25">
      <c r="A16" s="37"/>
      <c r="B16" s="34"/>
      <c r="C16" s="35"/>
      <c r="D16" s="35"/>
      <c r="E16" s="36"/>
      <c r="F16" s="36"/>
      <c r="G16" s="5" t="s">
        <v>46</v>
      </c>
      <c r="H16" s="16">
        <v>34.206088329000004</v>
      </c>
      <c r="I16" s="17" t="str">
        <f t="shared" si="0"/>
        <v>Descartado</v>
      </c>
    </row>
    <row r="17" spans="1:9" x14ac:dyDescent="0.25">
      <c r="A17" s="37"/>
      <c r="B17" s="34"/>
      <c r="C17" s="35"/>
      <c r="D17" s="35"/>
      <c r="E17" s="36"/>
      <c r="F17" s="36"/>
      <c r="G17" s="5" t="s">
        <v>55</v>
      </c>
      <c r="H17" s="16">
        <v>34.216332739999999</v>
      </c>
      <c r="I17" s="17" t="str">
        <f t="shared" si="0"/>
        <v>Descartado</v>
      </c>
    </row>
    <row r="19" spans="1:9" s="4" customFormat="1" ht="24" x14ac:dyDescent="0.25">
      <c r="A19" s="29" t="s">
        <v>14</v>
      </c>
      <c r="B19" s="29" t="s">
        <v>15</v>
      </c>
      <c r="C19" s="29" t="s">
        <v>25</v>
      </c>
      <c r="D19" s="29" t="s">
        <v>16</v>
      </c>
      <c r="E19" s="29" t="s">
        <v>17</v>
      </c>
      <c r="F19" s="29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7.4490048925451475</v>
      </c>
      <c r="B20" s="8">
        <f>COUNT(H3:H17)</f>
        <v>15</v>
      </c>
      <c r="C20" s="9">
        <f>IF(B20&lt;2,"n/a",(A20/D20))</f>
        <v>0.32714118983509649</v>
      </c>
      <c r="D20" s="10">
        <f>IFERROR(ROUND(AVERAGE(H3:H17),2),"")</f>
        <v>22.77</v>
      </c>
      <c r="E20" s="15">
        <f>IFERROR(ROUND(IF(B20&lt;2,"n/a",(IF(C20&lt;=25%,"n/a",AVERAGE(I3:I17)))),2),"n/a")</f>
        <v>20.2</v>
      </c>
      <c r="F20" s="10">
        <f>IFERROR(ROUND(MEDIAN(H3:H17),2),"")</f>
        <v>20.49</v>
      </c>
      <c r="G20" s="11" t="str">
        <f>IFERROR(INDEX(G3:G17,MATCH(H20,H3:H17,0)),"")</f>
        <v>INDUSTRIA GRAFICA BRASILEIRA LTDA</v>
      </c>
      <c r="H20" s="12">
        <f>F3</f>
        <v>12.805513749999999</v>
      </c>
    </row>
    <row r="22" spans="1:9" x14ac:dyDescent="0.25">
      <c r="G22" s="13" t="s">
        <v>20</v>
      </c>
      <c r="H22" s="14">
        <f>IF(C20&lt;=25%,D20,MIN(E20:F20))</f>
        <v>20.2</v>
      </c>
    </row>
    <row r="23" spans="1:9" x14ac:dyDescent="0.25">
      <c r="G23" s="13" t="s">
        <v>6</v>
      </c>
      <c r="H23" s="14">
        <f>ROUND(H22,2)*D3</f>
        <v>50500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9</v>
      </c>
      <c r="F2" s="29" t="s">
        <v>10</v>
      </c>
      <c r="G2" s="29" t="s">
        <v>11</v>
      </c>
      <c r="H2" s="29" t="s">
        <v>12</v>
      </c>
      <c r="I2" s="29" t="s">
        <v>13</v>
      </c>
    </row>
    <row r="3" spans="1:9" x14ac:dyDescent="0.25">
      <c r="A3" s="37">
        <v>48</v>
      </c>
      <c r="B3" s="33" t="s">
        <v>40</v>
      </c>
      <c r="C3" s="35" t="s">
        <v>41</v>
      </c>
      <c r="D3" s="35">
        <v>3000</v>
      </c>
      <c r="E3" s="36">
        <f>IF(C20&lt;=25%,D20,MIN(E20:F20))</f>
        <v>5.15</v>
      </c>
      <c r="F3" s="36">
        <f>MIN(H3:H17)</f>
        <v>1.9464380899999998</v>
      </c>
      <c r="G3" s="5" t="s">
        <v>51</v>
      </c>
      <c r="H3" s="16">
        <v>1.9464380899999998</v>
      </c>
      <c r="I3" s="17">
        <f>IF(H3="","",(IF($C$20&lt;25%,"n/a",IF(H3&lt;=($D$20+$A$20),H3,"Descartado"))))</f>
        <v>1.9464380899999998</v>
      </c>
    </row>
    <row r="4" spans="1:9" x14ac:dyDescent="0.25">
      <c r="A4" s="37"/>
      <c r="B4" s="34"/>
      <c r="C4" s="35"/>
      <c r="D4" s="35"/>
      <c r="E4" s="36"/>
      <c r="F4" s="36"/>
      <c r="G4" s="5" t="s">
        <v>56</v>
      </c>
      <c r="H4" s="16">
        <v>2.038637789</v>
      </c>
      <c r="I4" s="17">
        <f t="shared" ref="I4:I17" si="0">IF(H4="","",(IF($C$20&lt;25%,"n/a",IF(H4&lt;=($D$20+$A$20),H4,"Descartado"))))</f>
        <v>2.038637789</v>
      </c>
    </row>
    <row r="5" spans="1:9" x14ac:dyDescent="0.25">
      <c r="A5" s="37"/>
      <c r="B5" s="34"/>
      <c r="C5" s="35"/>
      <c r="D5" s="35"/>
      <c r="E5" s="36"/>
      <c r="F5" s="36"/>
      <c r="G5" s="5" t="s">
        <v>60</v>
      </c>
      <c r="H5" s="16">
        <v>2.0488822</v>
      </c>
      <c r="I5" s="17">
        <f t="shared" si="0"/>
        <v>2.0488822</v>
      </c>
    </row>
    <row r="6" spans="1:9" x14ac:dyDescent="0.25">
      <c r="A6" s="37"/>
      <c r="B6" s="34"/>
      <c r="C6" s="35"/>
      <c r="D6" s="35"/>
      <c r="E6" s="36"/>
      <c r="F6" s="36"/>
      <c r="G6" s="5" t="s">
        <v>70</v>
      </c>
      <c r="H6" s="16">
        <v>2.8581906689999999</v>
      </c>
      <c r="I6" s="17">
        <f t="shared" si="0"/>
        <v>2.8581906689999999</v>
      </c>
    </row>
    <row r="7" spans="1:9" x14ac:dyDescent="0.25">
      <c r="A7" s="37"/>
      <c r="B7" s="34"/>
      <c r="C7" s="35"/>
      <c r="D7" s="35"/>
      <c r="E7" s="36"/>
      <c r="F7" s="36"/>
      <c r="G7" s="5" t="s">
        <v>75</v>
      </c>
      <c r="H7" s="16">
        <v>4.4972964289999995</v>
      </c>
      <c r="I7" s="17">
        <f t="shared" si="0"/>
        <v>4.4972964289999995</v>
      </c>
    </row>
    <row r="8" spans="1:9" x14ac:dyDescent="0.25">
      <c r="A8" s="37"/>
      <c r="B8" s="34"/>
      <c r="C8" s="35"/>
      <c r="D8" s="35"/>
      <c r="E8" s="36"/>
      <c r="F8" s="36"/>
      <c r="G8" s="5" t="s">
        <v>62</v>
      </c>
      <c r="H8" s="16">
        <v>5.0197613900000002</v>
      </c>
      <c r="I8" s="17">
        <f t="shared" si="0"/>
        <v>5.0197613900000002</v>
      </c>
    </row>
    <row r="9" spans="1:9" x14ac:dyDescent="0.25">
      <c r="A9" s="37"/>
      <c r="B9" s="34"/>
      <c r="C9" s="35"/>
      <c r="D9" s="35"/>
      <c r="E9" s="36"/>
      <c r="F9" s="36"/>
      <c r="G9" s="5" t="s">
        <v>50</v>
      </c>
      <c r="H9" s="16">
        <v>5.1222054999999997</v>
      </c>
      <c r="I9" s="17">
        <f t="shared" si="0"/>
        <v>5.1222054999999997</v>
      </c>
    </row>
    <row r="10" spans="1:9" x14ac:dyDescent="0.25">
      <c r="A10" s="37"/>
      <c r="B10" s="34"/>
      <c r="C10" s="35"/>
      <c r="D10" s="35"/>
      <c r="E10" s="36"/>
      <c r="F10" s="36"/>
      <c r="G10" s="5" t="s">
        <v>63</v>
      </c>
      <c r="H10" s="16">
        <v>6.6588671499999998</v>
      </c>
      <c r="I10" s="17">
        <f t="shared" si="0"/>
        <v>6.6588671499999998</v>
      </c>
    </row>
    <row r="11" spans="1:9" x14ac:dyDescent="0.25">
      <c r="A11" s="37"/>
      <c r="B11" s="34"/>
      <c r="C11" s="35"/>
      <c r="D11" s="35"/>
      <c r="E11" s="36"/>
      <c r="F11" s="36"/>
      <c r="G11" s="5" t="s">
        <v>66</v>
      </c>
      <c r="H11" s="16">
        <v>6.6998447939999997</v>
      </c>
      <c r="I11" s="17">
        <f t="shared" si="0"/>
        <v>6.6998447939999997</v>
      </c>
    </row>
    <row r="12" spans="1:9" x14ac:dyDescent="0.25">
      <c r="A12" s="37"/>
      <c r="B12" s="34"/>
      <c r="C12" s="35"/>
      <c r="D12" s="35"/>
      <c r="E12" s="36"/>
      <c r="F12" s="36"/>
      <c r="G12" s="5" t="s">
        <v>64</v>
      </c>
      <c r="H12" s="16">
        <v>6.7100892050000001</v>
      </c>
      <c r="I12" s="17">
        <f t="shared" si="0"/>
        <v>6.7100892050000001</v>
      </c>
    </row>
    <row r="13" spans="1:9" x14ac:dyDescent="0.25">
      <c r="A13" s="37"/>
      <c r="B13" s="34"/>
      <c r="C13" s="35"/>
      <c r="D13" s="35"/>
      <c r="E13" s="36"/>
      <c r="F13" s="36"/>
      <c r="G13" s="5" t="s">
        <v>69</v>
      </c>
      <c r="H13" s="16">
        <v>6.7203336159999996</v>
      </c>
      <c r="I13" s="17">
        <f t="shared" si="0"/>
        <v>6.7203336159999996</v>
      </c>
    </row>
    <row r="14" spans="1:9" x14ac:dyDescent="0.25">
      <c r="A14" s="37"/>
      <c r="B14" s="34"/>
      <c r="C14" s="35"/>
      <c r="D14" s="35"/>
      <c r="E14" s="36"/>
      <c r="F14" s="36"/>
      <c r="G14" s="5" t="s">
        <v>73</v>
      </c>
      <c r="H14" s="16">
        <v>6.7203336159999996</v>
      </c>
      <c r="I14" s="17">
        <f t="shared" si="0"/>
        <v>6.7203336159999996</v>
      </c>
    </row>
    <row r="15" spans="1:9" x14ac:dyDescent="0.25">
      <c r="A15" s="37"/>
      <c r="B15" s="34"/>
      <c r="C15" s="35"/>
      <c r="D15" s="35"/>
      <c r="E15" s="36"/>
      <c r="F15" s="36"/>
      <c r="G15" s="5" t="s">
        <v>61</v>
      </c>
      <c r="H15" s="16">
        <v>6.7203336159999996</v>
      </c>
      <c r="I15" s="17">
        <f t="shared" si="0"/>
        <v>6.7203336159999996</v>
      </c>
    </row>
    <row r="16" spans="1:9" x14ac:dyDescent="0.25">
      <c r="A16" s="37"/>
      <c r="B16" s="34"/>
      <c r="C16" s="35"/>
      <c r="D16" s="35"/>
      <c r="E16" s="36"/>
      <c r="F16" s="36"/>
      <c r="G16" s="5" t="s">
        <v>72</v>
      </c>
      <c r="H16" s="16">
        <v>6.7203336159999996</v>
      </c>
      <c r="I16" s="17">
        <f t="shared" si="0"/>
        <v>6.7203336159999996</v>
      </c>
    </row>
    <row r="17" spans="1:9" x14ac:dyDescent="0.25">
      <c r="A17" s="37"/>
      <c r="B17" s="34"/>
      <c r="C17" s="35"/>
      <c r="D17" s="35"/>
      <c r="E17" s="36"/>
      <c r="F17" s="36"/>
      <c r="G17" s="5" t="s">
        <v>67</v>
      </c>
      <c r="H17" s="16">
        <v>6.7203336159999996</v>
      </c>
      <c r="I17" s="17">
        <f t="shared" si="0"/>
        <v>6.7203336159999996</v>
      </c>
    </row>
    <row r="19" spans="1:9" s="4" customFormat="1" ht="24" x14ac:dyDescent="0.25">
      <c r="A19" s="29" t="s">
        <v>14</v>
      </c>
      <c r="B19" s="29" t="s">
        <v>15</v>
      </c>
      <c r="C19" s="29" t="s">
        <v>25</v>
      </c>
      <c r="D19" s="29" t="s">
        <v>16</v>
      </c>
      <c r="E19" s="29" t="s">
        <v>17</v>
      </c>
      <c r="F19" s="29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1.9766245249375998</v>
      </c>
      <c r="B20" s="8">
        <f>COUNT(H3:H17)</f>
        <v>15</v>
      </c>
      <c r="C20" s="9">
        <f>IF(B20&lt;2,"n/a",(A20/D20))</f>
        <v>0.38381058736652418</v>
      </c>
      <c r="D20" s="10">
        <f>IFERROR(ROUND(AVERAGE(H3:H17),2),"")</f>
        <v>5.15</v>
      </c>
      <c r="E20" s="15">
        <f>IFERROR(ROUND(IF(B20&lt;2,"n/a",(IF(C20&lt;=25%,"n/a",AVERAGE(I3:I17)))),2),"n/a")</f>
        <v>5.15</v>
      </c>
      <c r="F20" s="10">
        <f>IFERROR(ROUND(MEDIAN(H3:H17),2),"")</f>
        <v>6.66</v>
      </c>
      <c r="G20" s="11" t="str">
        <f>IFERROR(INDEX(G3:G17,MATCH(H20,H3:H17,0)),"")</f>
        <v>GOL GRAFICA E EDITORA LTDA</v>
      </c>
      <c r="H20" s="12">
        <f>F3</f>
        <v>1.9464380899999998</v>
      </c>
    </row>
    <row r="22" spans="1:9" x14ac:dyDescent="0.25">
      <c r="G22" s="13" t="s">
        <v>20</v>
      </c>
      <c r="H22" s="14">
        <f>IF(C20&lt;=25%,D20,MIN(E20:F20))</f>
        <v>5.15</v>
      </c>
    </row>
    <row r="23" spans="1:9" x14ac:dyDescent="0.25">
      <c r="G23" s="13" t="s">
        <v>6</v>
      </c>
      <c r="H23" s="14">
        <f>ROUND(H22,2)*D3</f>
        <v>15450.000000000002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9</v>
      </c>
      <c r="F2" s="29" t="s">
        <v>10</v>
      </c>
      <c r="G2" s="29" t="s">
        <v>11</v>
      </c>
      <c r="H2" s="29" t="s">
        <v>12</v>
      </c>
      <c r="I2" s="29" t="s">
        <v>13</v>
      </c>
    </row>
    <row r="3" spans="1:9" x14ac:dyDescent="0.25">
      <c r="A3" s="37">
        <v>49</v>
      </c>
      <c r="B3" s="33" t="s">
        <v>42</v>
      </c>
      <c r="C3" s="35" t="s">
        <v>41</v>
      </c>
      <c r="D3" s="35">
        <v>6000</v>
      </c>
      <c r="E3" s="36">
        <f>IF(C20&lt;=25%,D20,MIN(E20:F20))</f>
        <v>2.08</v>
      </c>
      <c r="F3" s="36">
        <f>MIN(H3:H17)</f>
        <v>0.48148731699999997</v>
      </c>
      <c r="G3" s="5" t="s">
        <v>75</v>
      </c>
      <c r="H3" s="16">
        <v>0.48148731699999997</v>
      </c>
      <c r="I3" s="17">
        <f>IF(H3="","",(IF($C$20&lt;25%,"n/a",IF(H3&lt;=($D$20+$A$20),H3,"Descartado"))))</f>
        <v>0.48148731699999997</v>
      </c>
    </row>
    <row r="4" spans="1:9" x14ac:dyDescent="0.25">
      <c r="A4" s="37"/>
      <c r="B4" s="34"/>
      <c r="C4" s="35"/>
      <c r="D4" s="35"/>
      <c r="E4" s="36"/>
      <c r="F4" s="36"/>
      <c r="G4" s="5" t="s">
        <v>66</v>
      </c>
      <c r="H4" s="16">
        <v>0.76833082500000005</v>
      </c>
      <c r="I4" s="17">
        <f t="shared" ref="I4:I17" si="0">IF(H4="","",(IF($C$20&lt;25%,"n/a",IF(H4&lt;=($D$20+$A$20),H4,"Descartado"))))</f>
        <v>0.76833082500000005</v>
      </c>
    </row>
    <row r="5" spans="1:9" x14ac:dyDescent="0.25">
      <c r="A5" s="37"/>
      <c r="B5" s="34"/>
      <c r="C5" s="35"/>
      <c r="D5" s="35"/>
      <c r="E5" s="36"/>
      <c r="F5" s="36"/>
      <c r="G5" s="5" t="s">
        <v>60</v>
      </c>
      <c r="H5" s="16">
        <v>0.79906405800000002</v>
      </c>
      <c r="I5" s="17">
        <f t="shared" si="0"/>
        <v>0.79906405800000002</v>
      </c>
    </row>
    <row r="6" spans="1:9" x14ac:dyDescent="0.25">
      <c r="A6" s="37"/>
      <c r="B6" s="34"/>
      <c r="C6" s="35"/>
      <c r="D6" s="35"/>
      <c r="E6" s="36"/>
      <c r="F6" s="36"/>
      <c r="G6" s="5" t="s">
        <v>51</v>
      </c>
      <c r="H6" s="16">
        <v>0.92199699000000002</v>
      </c>
      <c r="I6" s="17">
        <f t="shared" si="0"/>
        <v>0.92199699000000002</v>
      </c>
    </row>
    <row r="7" spans="1:9" x14ac:dyDescent="0.25">
      <c r="A7" s="37"/>
      <c r="B7" s="34"/>
      <c r="C7" s="35"/>
      <c r="D7" s="35"/>
      <c r="E7" s="36"/>
      <c r="F7" s="36"/>
      <c r="G7" s="5" t="s">
        <v>56</v>
      </c>
      <c r="H7" s="16">
        <v>1.5366616500000001</v>
      </c>
      <c r="I7" s="17">
        <f t="shared" si="0"/>
        <v>1.5366616500000001</v>
      </c>
    </row>
    <row r="8" spans="1:9" x14ac:dyDescent="0.25">
      <c r="A8" s="37"/>
      <c r="B8" s="34"/>
      <c r="C8" s="35"/>
      <c r="D8" s="35"/>
      <c r="E8" s="36"/>
      <c r="F8" s="36"/>
      <c r="G8" s="5" t="s">
        <v>70</v>
      </c>
      <c r="H8" s="16">
        <v>1.803016336</v>
      </c>
      <c r="I8" s="17">
        <f t="shared" si="0"/>
        <v>1.803016336</v>
      </c>
    </row>
    <row r="9" spans="1:9" x14ac:dyDescent="0.25">
      <c r="A9" s="37"/>
      <c r="B9" s="34"/>
      <c r="C9" s="35"/>
      <c r="D9" s="35"/>
      <c r="E9" s="36"/>
      <c r="F9" s="36"/>
      <c r="G9" s="5" t="s">
        <v>50</v>
      </c>
      <c r="H9" s="16">
        <v>2.0488822</v>
      </c>
      <c r="I9" s="17">
        <f t="shared" si="0"/>
        <v>2.0488822</v>
      </c>
    </row>
    <row r="10" spans="1:9" x14ac:dyDescent="0.25">
      <c r="A10" s="37"/>
      <c r="B10" s="34"/>
      <c r="C10" s="35"/>
      <c r="D10" s="35"/>
      <c r="E10" s="36"/>
      <c r="F10" s="36"/>
      <c r="G10" s="5" t="s">
        <v>62</v>
      </c>
      <c r="H10" s="16">
        <v>2.15132631</v>
      </c>
      <c r="I10" s="17">
        <f t="shared" si="0"/>
        <v>2.15132631</v>
      </c>
    </row>
    <row r="11" spans="1:9" x14ac:dyDescent="0.25">
      <c r="A11" s="37"/>
      <c r="B11" s="34"/>
      <c r="C11" s="35"/>
      <c r="D11" s="35"/>
      <c r="E11" s="36"/>
      <c r="F11" s="36"/>
      <c r="G11" s="5" t="s">
        <v>53</v>
      </c>
      <c r="H11" s="16">
        <v>2.8684350799999998</v>
      </c>
      <c r="I11" s="17">
        <f t="shared" si="0"/>
        <v>2.8684350799999998</v>
      </c>
    </row>
    <row r="12" spans="1:9" x14ac:dyDescent="0.25">
      <c r="A12" s="37"/>
      <c r="B12" s="34"/>
      <c r="C12" s="35"/>
      <c r="D12" s="35"/>
      <c r="E12" s="36"/>
      <c r="F12" s="36"/>
      <c r="G12" s="5" t="s">
        <v>64</v>
      </c>
      <c r="H12" s="16">
        <v>2.9503903679999999</v>
      </c>
      <c r="I12" s="17">
        <f t="shared" si="0"/>
        <v>2.9503903679999999</v>
      </c>
    </row>
    <row r="13" spans="1:9" x14ac:dyDescent="0.25">
      <c r="A13" s="37"/>
      <c r="B13" s="34"/>
      <c r="C13" s="35"/>
      <c r="D13" s="35"/>
      <c r="E13" s="36"/>
      <c r="F13" s="36"/>
      <c r="G13" s="5" t="s">
        <v>63</v>
      </c>
      <c r="H13" s="16">
        <v>2.9606347790000003</v>
      </c>
      <c r="I13" s="17">
        <f t="shared" si="0"/>
        <v>2.9606347790000003</v>
      </c>
    </row>
    <row r="14" spans="1:9" x14ac:dyDescent="0.25">
      <c r="A14" s="37"/>
      <c r="B14" s="34"/>
      <c r="C14" s="35"/>
      <c r="D14" s="35"/>
      <c r="E14" s="36"/>
      <c r="F14" s="36"/>
      <c r="G14" s="5" t="s">
        <v>69</v>
      </c>
      <c r="H14" s="16">
        <v>2.9606347790000003</v>
      </c>
      <c r="I14" s="17">
        <f t="shared" si="0"/>
        <v>2.9606347790000003</v>
      </c>
    </row>
    <row r="15" spans="1:9" x14ac:dyDescent="0.25">
      <c r="A15" s="37"/>
      <c r="B15" s="34"/>
      <c r="C15" s="35"/>
      <c r="D15" s="35"/>
      <c r="E15" s="36"/>
      <c r="F15" s="36"/>
      <c r="G15" s="5" t="s">
        <v>73</v>
      </c>
      <c r="H15" s="16">
        <v>2.9606347790000003</v>
      </c>
      <c r="I15" s="17">
        <f t="shared" si="0"/>
        <v>2.9606347790000003</v>
      </c>
    </row>
    <row r="16" spans="1:9" x14ac:dyDescent="0.25">
      <c r="A16" s="37"/>
      <c r="B16" s="34"/>
      <c r="C16" s="35"/>
      <c r="D16" s="35"/>
      <c r="E16" s="36"/>
      <c r="F16" s="36"/>
      <c r="G16" s="5" t="s">
        <v>67</v>
      </c>
      <c r="H16" s="16">
        <v>2.9606347790000003</v>
      </c>
      <c r="I16" s="17">
        <f t="shared" si="0"/>
        <v>2.9606347790000003</v>
      </c>
    </row>
    <row r="17" spans="1:9" x14ac:dyDescent="0.25">
      <c r="A17" s="37"/>
      <c r="B17" s="34"/>
      <c r="C17" s="35"/>
      <c r="D17" s="35"/>
      <c r="E17" s="36"/>
      <c r="F17" s="36"/>
      <c r="G17" s="5" t="s">
        <v>65</v>
      </c>
      <c r="H17" s="16">
        <v>2.9606347790000003</v>
      </c>
      <c r="I17" s="17">
        <f t="shared" si="0"/>
        <v>2.9606347790000003</v>
      </c>
    </row>
    <row r="19" spans="1:9" s="4" customFormat="1" ht="24" x14ac:dyDescent="0.25">
      <c r="A19" s="29" t="s">
        <v>14</v>
      </c>
      <c r="B19" s="29" t="s">
        <v>15</v>
      </c>
      <c r="C19" s="29" t="s">
        <v>25</v>
      </c>
      <c r="D19" s="29" t="s">
        <v>16</v>
      </c>
      <c r="E19" s="29" t="s">
        <v>17</v>
      </c>
      <c r="F19" s="29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0.95961208391330743</v>
      </c>
      <c r="B20" s="8">
        <f>COUNT(H3:H17)</f>
        <v>15</v>
      </c>
      <c r="C20" s="9">
        <f>IF(B20&lt;2,"n/a",(A20/D20))</f>
        <v>0.46135196341985935</v>
      </c>
      <c r="D20" s="10">
        <f>IFERROR(ROUND(AVERAGE(H3:H17),2),"")</f>
        <v>2.08</v>
      </c>
      <c r="E20" s="15">
        <f>IFERROR(ROUND(IF(B20&lt;2,"n/a",(IF(C20&lt;=25%,"n/a",AVERAGE(I3:I17)))),2),"n/a")</f>
        <v>2.08</v>
      </c>
      <c r="F20" s="10">
        <f>IFERROR(ROUND(MEDIAN(H3:H17),2),"")</f>
        <v>2.15</v>
      </c>
      <c r="G20" s="11" t="str">
        <f>IFERROR(INDEX(G3:G17,MATCH(H20,H3:H17,0)),"")</f>
        <v>INLABEL SOLUCOES EM ROTULOS ADESIVOS LTDA</v>
      </c>
      <c r="H20" s="12">
        <f>F3</f>
        <v>0.48148731699999997</v>
      </c>
    </row>
    <row r="22" spans="1:9" x14ac:dyDescent="0.25">
      <c r="G22" s="13" t="s">
        <v>20</v>
      </c>
      <c r="H22" s="14">
        <f>IF(C20&lt;=25%,D20,MIN(E20:F20))</f>
        <v>2.08</v>
      </c>
    </row>
    <row r="23" spans="1:9" x14ac:dyDescent="0.25">
      <c r="G23" s="13" t="s">
        <v>6</v>
      </c>
      <c r="H23" s="14">
        <f>ROUND(H22,2)*D3</f>
        <v>12480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5</v>
      </c>
      <c r="B3" s="33" t="s">
        <v>134</v>
      </c>
      <c r="C3" s="35" t="s">
        <v>35</v>
      </c>
      <c r="D3" s="35">
        <v>600</v>
      </c>
      <c r="E3" s="36">
        <f>IF(C20&lt;=25%,D20,MIN(E20:F20))</f>
        <v>3.48</v>
      </c>
      <c r="F3" s="36">
        <f>MIN(H3:H17)</f>
        <v>2.6737912709999998</v>
      </c>
      <c r="G3" s="5" t="s">
        <v>124</v>
      </c>
      <c r="H3" s="16">
        <v>3.2782115200000002</v>
      </c>
      <c r="I3" s="17">
        <f>IF(H3="","",(IF($C$20&lt;25%,"n/a",IF(H3&lt;=($D$20+$A$20),H3,"Descartado"))))</f>
        <v>3.2782115200000002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3.8109208920000004</v>
      </c>
      <c r="I4" s="17">
        <f t="shared" ref="I4:I17" si="0">IF(H4="","",(IF($C$20&lt;25%,"n/a",IF(H4&lt;=($D$20+$A$20),H4,"Descartado"))))</f>
        <v>3.8109208920000004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3.8211653029999999</v>
      </c>
      <c r="I5" s="17">
        <f t="shared" si="0"/>
        <v>3.8211653029999999</v>
      </c>
    </row>
    <row r="6" spans="1:9" x14ac:dyDescent="0.25">
      <c r="A6" s="37"/>
      <c r="B6" s="34"/>
      <c r="C6" s="35"/>
      <c r="D6" s="35"/>
      <c r="E6" s="36"/>
      <c r="F6" s="36"/>
      <c r="G6" s="5" t="s">
        <v>105</v>
      </c>
      <c r="H6" s="16">
        <v>8.5131055409999998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 t="s">
        <v>126</v>
      </c>
      <c r="H7" s="16">
        <v>3.8211653029999999</v>
      </c>
      <c r="I7" s="17">
        <f t="shared" si="0"/>
        <v>3.8211653029999999</v>
      </c>
    </row>
    <row r="8" spans="1:9" x14ac:dyDescent="0.25">
      <c r="A8" s="37"/>
      <c r="B8" s="34"/>
      <c r="C8" s="35"/>
      <c r="D8" s="35"/>
      <c r="E8" s="36"/>
      <c r="F8" s="36"/>
      <c r="G8" s="5" t="s">
        <v>73</v>
      </c>
      <c r="H8" s="16">
        <v>2.6737912709999998</v>
      </c>
      <c r="I8" s="17">
        <f t="shared" si="0"/>
        <v>2.6737912709999998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2.1040101565423126</v>
      </c>
      <c r="B20" s="8">
        <f>COUNT(H3:H17)</f>
        <v>6</v>
      </c>
      <c r="C20" s="9">
        <f>IF(B20&lt;2,"n/a",(A20/D20))</f>
        <v>0.48703938808849828</v>
      </c>
      <c r="D20" s="10">
        <f>IFERROR(ROUND(AVERAGE(H3:H17),2),"")</f>
        <v>4.32</v>
      </c>
      <c r="E20" s="15">
        <f>IFERROR(ROUND(IF(B20&lt;2,"n/a",(IF(C20&lt;=25%,"n/a",AVERAGE(I3:I17)))),2),"n/a")</f>
        <v>3.48</v>
      </c>
      <c r="F20" s="10">
        <f>IFERROR(ROUND(MEDIAN(H3:H17),2),"")</f>
        <v>3.82</v>
      </c>
      <c r="G20" s="11" t="str">
        <f>IFERROR(INDEX(G3:G17,MATCH(H20,H3:H17,0)),"")</f>
        <v>IMPRESSOART EDITORA GRAFICA LTDA</v>
      </c>
      <c r="H20" s="12">
        <f>F3</f>
        <v>2.6737912709999998</v>
      </c>
    </row>
    <row r="22" spans="1:9" x14ac:dyDescent="0.25">
      <c r="G22" s="13" t="s">
        <v>20</v>
      </c>
      <c r="H22" s="14">
        <f>IF(C20&lt;=25%,D20,MIN(E20:F20))</f>
        <v>3.48</v>
      </c>
    </row>
    <row r="23" spans="1:9" x14ac:dyDescent="0.25">
      <c r="G23" s="13" t="s">
        <v>6</v>
      </c>
      <c r="H23" s="14">
        <f>ROUND(H22,2)*D3</f>
        <v>2088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9</v>
      </c>
      <c r="F2" s="29" t="s">
        <v>10</v>
      </c>
      <c r="G2" s="29" t="s">
        <v>11</v>
      </c>
      <c r="H2" s="29" t="s">
        <v>12</v>
      </c>
      <c r="I2" s="29" t="s">
        <v>13</v>
      </c>
    </row>
    <row r="3" spans="1:9" x14ac:dyDescent="0.25">
      <c r="A3" s="37">
        <v>50</v>
      </c>
      <c r="B3" s="33" t="s">
        <v>43</v>
      </c>
      <c r="C3" s="35" t="s">
        <v>44</v>
      </c>
      <c r="D3" s="35">
        <v>50000</v>
      </c>
      <c r="E3" s="36">
        <f>IF(C20&lt;=25%,D20,MIN(E20:F20))</f>
        <v>0.56000000000000005</v>
      </c>
      <c r="F3" s="36">
        <f>MIN(H3:H17)</f>
        <v>0.35855438499999998</v>
      </c>
      <c r="G3" s="5" t="s">
        <v>46</v>
      </c>
      <c r="H3" s="16">
        <v>0.35855438499999998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51</v>
      </c>
      <c r="H4" s="16">
        <v>0.36879879599999998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60</v>
      </c>
      <c r="H5" s="16">
        <v>0.40977644000000002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66</v>
      </c>
      <c r="H6" s="16">
        <v>0.450754084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69</v>
      </c>
      <c r="H7" s="16">
        <v>0.47124290600000002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62</v>
      </c>
      <c r="H8" s="16">
        <v>0.54295378300000008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70</v>
      </c>
      <c r="H9" s="16">
        <v>0.60442024899999991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47</v>
      </c>
      <c r="H10" s="16">
        <v>0.61466465999999997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 t="s">
        <v>61</v>
      </c>
      <c r="H11" s="16">
        <v>0.62490907099999993</v>
      </c>
      <c r="I11" s="17" t="str">
        <f t="shared" si="0"/>
        <v>n/a</v>
      </c>
    </row>
    <row r="12" spans="1:9" x14ac:dyDescent="0.25">
      <c r="A12" s="37"/>
      <c r="B12" s="34"/>
      <c r="C12" s="35"/>
      <c r="D12" s="35"/>
      <c r="E12" s="36"/>
      <c r="F12" s="36"/>
      <c r="G12" s="5" t="s">
        <v>64</v>
      </c>
      <c r="H12" s="16">
        <v>0.64539789300000006</v>
      </c>
      <c r="I12" s="17" t="str">
        <f t="shared" si="0"/>
        <v>n/a</v>
      </c>
    </row>
    <row r="13" spans="1:9" x14ac:dyDescent="0.25">
      <c r="A13" s="37"/>
      <c r="B13" s="34"/>
      <c r="C13" s="35"/>
      <c r="D13" s="35"/>
      <c r="E13" s="36"/>
      <c r="F13" s="36"/>
      <c r="G13" s="5" t="s">
        <v>56</v>
      </c>
      <c r="H13" s="16">
        <v>0.65564230400000001</v>
      </c>
      <c r="I13" s="17" t="str">
        <f t="shared" si="0"/>
        <v>n/a</v>
      </c>
    </row>
    <row r="14" spans="1:9" x14ac:dyDescent="0.25">
      <c r="A14" s="37"/>
      <c r="B14" s="34"/>
      <c r="C14" s="35"/>
      <c r="D14" s="35"/>
      <c r="E14" s="36"/>
      <c r="F14" s="36"/>
      <c r="G14" s="5" t="s">
        <v>72</v>
      </c>
      <c r="H14" s="16">
        <v>0.65564230400000001</v>
      </c>
      <c r="I14" s="17" t="str">
        <f t="shared" si="0"/>
        <v>n/a</v>
      </c>
    </row>
    <row r="15" spans="1:9" x14ac:dyDescent="0.25">
      <c r="A15" s="37"/>
      <c r="B15" s="34"/>
      <c r="C15" s="35"/>
      <c r="D15" s="35"/>
      <c r="E15" s="36"/>
      <c r="F15" s="36"/>
      <c r="G15" s="5" t="s">
        <v>50</v>
      </c>
      <c r="H15" s="16">
        <v>0.65564230400000001</v>
      </c>
      <c r="I15" s="17" t="str">
        <f t="shared" si="0"/>
        <v>n/a</v>
      </c>
    </row>
    <row r="16" spans="1:9" x14ac:dyDescent="0.25">
      <c r="A16" s="37"/>
      <c r="B16" s="34"/>
      <c r="C16" s="35"/>
      <c r="D16" s="35"/>
      <c r="E16" s="36"/>
      <c r="F16" s="36"/>
      <c r="G16" s="5" t="s">
        <v>73</v>
      </c>
      <c r="H16" s="16">
        <v>0.65564230400000001</v>
      </c>
      <c r="I16" s="17" t="str">
        <f t="shared" si="0"/>
        <v>n/a</v>
      </c>
    </row>
    <row r="17" spans="1:9" x14ac:dyDescent="0.25">
      <c r="A17" s="37"/>
      <c r="B17" s="34"/>
      <c r="C17" s="35"/>
      <c r="D17" s="35"/>
      <c r="E17" s="36"/>
      <c r="F17" s="36"/>
      <c r="G17" s="5" t="s">
        <v>53</v>
      </c>
      <c r="H17" s="16">
        <v>0.65564230400000001</v>
      </c>
      <c r="I17" s="17" t="str">
        <f t="shared" si="0"/>
        <v>n/a</v>
      </c>
    </row>
    <row r="19" spans="1:9" s="4" customFormat="1" ht="24" x14ac:dyDescent="0.25">
      <c r="A19" s="29" t="s">
        <v>14</v>
      </c>
      <c r="B19" s="29" t="s">
        <v>15</v>
      </c>
      <c r="C19" s="29" t="s">
        <v>25</v>
      </c>
      <c r="D19" s="29" t="s">
        <v>16</v>
      </c>
      <c r="E19" s="29" t="s">
        <v>17</v>
      </c>
      <c r="F19" s="29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0.11400243445396382</v>
      </c>
      <c r="B20" s="8">
        <f>COUNT(H3:H17)</f>
        <v>15</v>
      </c>
      <c r="C20" s="9">
        <f>IF(B20&lt;2,"n/a",(A20/D20))</f>
        <v>0.20357577581064967</v>
      </c>
      <c r="D20" s="10">
        <f>IFERROR(ROUND(AVERAGE(H3:H17),2),"")</f>
        <v>0.56000000000000005</v>
      </c>
      <c r="E20" s="15" t="str">
        <f>IFERROR(ROUND(IF(B20&lt;2,"n/a",(IF(C20&lt;=25%,"n/a",AVERAGE(I3:I17)))),2),"n/a")</f>
        <v>n/a</v>
      </c>
      <c r="F20" s="10">
        <f>IFERROR(ROUND(MEDIAN(H3:H17),2),"")</f>
        <v>0.61</v>
      </c>
      <c r="G20" s="11" t="str">
        <f>IFERROR(INDEX(G3:G17,MATCH(H20,H3:H17,0)),"")</f>
        <v>RB FLEXO LTDA</v>
      </c>
      <c r="H20" s="12">
        <f>F3</f>
        <v>0.35855438499999998</v>
      </c>
    </row>
    <row r="22" spans="1:9" x14ac:dyDescent="0.25">
      <c r="G22" s="13" t="s">
        <v>20</v>
      </c>
      <c r="H22" s="14">
        <f>IF(C20&lt;=25%,D20,MIN(E20:F20))</f>
        <v>0.56000000000000005</v>
      </c>
    </row>
    <row r="23" spans="1:9" x14ac:dyDescent="0.25">
      <c r="G23" s="13" t="s">
        <v>6</v>
      </c>
      <c r="H23" s="14">
        <f>ROUND(H22,2)*D3</f>
        <v>28000.000000000004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30" t="s">
        <v>1</v>
      </c>
      <c r="B2" s="30" t="s">
        <v>2</v>
      </c>
      <c r="C2" s="30" t="s">
        <v>3</v>
      </c>
      <c r="D2" s="30" t="s">
        <v>4</v>
      </c>
      <c r="E2" s="30" t="s">
        <v>9</v>
      </c>
      <c r="F2" s="30" t="s">
        <v>10</v>
      </c>
      <c r="G2" s="30" t="s">
        <v>11</v>
      </c>
      <c r="H2" s="30" t="s">
        <v>12</v>
      </c>
      <c r="I2" s="30" t="s">
        <v>13</v>
      </c>
    </row>
    <row r="3" spans="1:9" ht="15" customHeight="1" x14ac:dyDescent="0.25">
      <c r="A3" s="37">
        <v>51</v>
      </c>
      <c r="B3" s="33" t="s">
        <v>132</v>
      </c>
      <c r="C3" s="35" t="s">
        <v>35</v>
      </c>
      <c r="D3" s="35">
        <f>1000-Item3!D3</f>
        <v>750</v>
      </c>
      <c r="E3" s="36">
        <f>IF(C20&lt;=25%,D20,MIN(E20:F20))</f>
        <v>136.72999999999999</v>
      </c>
      <c r="F3" s="36">
        <f>MIN(H3:H17)</f>
        <v>84.946656012000005</v>
      </c>
      <c r="G3" s="5" t="s">
        <v>66</v>
      </c>
      <c r="H3" s="16">
        <v>84.946656012000005</v>
      </c>
      <c r="I3" s="17">
        <f>IF(H3="","",(IF($C$20&lt;25%,"n/a",IF(H3&lt;=($D$20+$A$20),H3,"Descartado"))))</f>
        <v>84.946656012000005</v>
      </c>
    </row>
    <row r="4" spans="1:9" x14ac:dyDescent="0.25">
      <c r="A4" s="37"/>
      <c r="B4" s="34"/>
      <c r="C4" s="35"/>
      <c r="D4" s="35"/>
      <c r="E4" s="36"/>
      <c r="F4" s="36"/>
      <c r="G4" s="5" t="s">
        <v>46</v>
      </c>
      <c r="H4" s="16">
        <v>85.807186536000003</v>
      </c>
      <c r="I4" s="17">
        <f t="shared" ref="I4:I17" si="0">IF(H4="","",(IF($C$20&lt;25%,"n/a",IF(H4&lt;=($D$20+$A$20),H4,"Descartado"))))</f>
        <v>85.807186536000003</v>
      </c>
    </row>
    <row r="5" spans="1:9" x14ac:dyDescent="0.25">
      <c r="A5" s="37"/>
      <c r="B5" s="34"/>
      <c r="C5" s="35"/>
      <c r="D5" s="35"/>
      <c r="E5" s="36"/>
      <c r="F5" s="36"/>
      <c r="G5" s="5" t="s">
        <v>105</v>
      </c>
      <c r="H5" s="16">
        <v>126.00625529999999</v>
      </c>
      <c r="I5" s="17">
        <f t="shared" si="0"/>
        <v>126.00625529999999</v>
      </c>
    </row>
    <row r="6" spans="1:9" x14ac:dyDescent="0.25">
      <c r="A6" s="37"/>
      <c r="B6" s="34"/>
      <c r="C6" s="35"/>
      <c r="D6" s="35"/>
      <c r="E6" s="36"/>
      <c r="F6" s="36"/>
      <c r="G6" s="5" t="s">
        <v>119</v>
      </c>
      <c r="H6" s="16">
        <v>358.55438500000002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 t="s">
        <v>120</v>
      </c>
      <c r="H7" s="16">
        <v>118.73272349000001</v>
      </c>
      <c r="I7" s="17">
        <f t="shared" si="0"/>
        <v>118.73272349000001</v>
      </c>
    </row>
    <row r="8" spans="1:9" x14ac:dyDescent="0.25">
      <c r="A8" s="37"/>
      <c r="B8" s="34"/>
      <c r="C8" s="35"/>
      <c r="D8" s="35"/>
      <c r="E8" s="36"/>
      <c r="F8" s="36"/>
      <c r="G8" s="5" t="s">
        <v>123</v>
      </c>
      <c r="H8" s="16">
        <v>203.8637789</v>
      </c>
      <c r="I8" s="17">
        <f t="shared" si="0"/>
        <v>203.8637789</v>
      </c>
    </row>
    <row r="9" spans="1:9" x14ac:dyDescent="0.25">
      <c r="A9" s="37"/>
      <c r="B9" s="34"/>
      <c r="C9" s="35"/>
      <c r="D9" s="35"/>
      <c r="E9" s="36"/>
      <c r="F9" s="36"/>
      <c r="G9" s="5" t="s">
        <v>107</v>
      </c>
      <c r="H9" s="16">
        <v>142.90953345</v>
      </c>
      <c r="I9" s="17">
        <f t="shared" si="0"/>
        <v>142.90953345</v>
      </c>
    </row>
    <row r="10" spans="1:9" x14ac:dyDescent="0.25">
      <c r="A10" s="37"/>
      <c r="B10" s="34"/>
      <c r="C10" s="35"/>
      <c r="D10" s="35"/>
      <c r="E10" s="36"/>
      <c r="F10" s="36"/>
      <c r="G10" s="5" t="s">
        <v>64</v>
      </c>
      <c r="H10" s="16">
        <v>307.20939706799999</v>
      </c>
      <c r="I10" s="17" t="str">
        <f t="shared" si="0"/>
        <v>Descartado</v>
      </c>
    </row>
    <row r="11" spans="1:9" x14ac:dyDescent="0.25">
      <c r="A11" s="37"/>
      <c r="B11" s="34"/>
      <c r="C11" s="35"/>
      <c r="D11" s="35"/>
      <c r="E11" s="36"/>
      <c r="F11" s="36"/>
      <c r="G11" s="5" t="s">
        <v>81</v>
      </c>
      <c r="H11" s="16">
        <v>284.79462580000001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53</v>
      </c>
      <c r="H12" s="16">
        <v>168.52056095</v>
      </c>
      <c r="I12" s="17">
        <f t="shared" si="0"/>
        <v>168.52056095</v>
      </c>
    </row>
    <row r="13" spans="1:9" x14ac:dyDescent="0.25">
      <c r="A13" s="37"/>
      <c r="B13" s="34"/>
      <c r="C13" s="35"/>
      <c r="D13" s="35"/>
      <c r="E13" s="36"/>
      <c r="F13" s="36"/>
      <c r="G13" s="5" t="s">
        <v>117</v>
      </c>
      <c r="H13" s="16">
        <v>143.42175399999999</v>
      </c>
      <c r="I13" s="17">
        <f t="shared" si="0"/>
        <v>143.42175399999999</v>
      </c>
    </row>
    <row r="14" spans="1:9" x14ac:dyDescent="0.25">
      <c r="A14" s="37"/>
      <c r="B14" s="34"/>
      <c r="C14" s="35"/>
      <c r="D14" s="35"/>
      <c r="E14" s="36"/>
      <c r="F14" s="36"/>
      <c r="G14" s="5" t="s">
        <v>121</v>
      </c>
      <c r="H14" s="16">
        <v>184.39939799999999</v>
      </c>
      <c r="I14" s="17">
        <f t="shared" si="0"/>
        <v>184.39939799999999</v>
      </c>
    </row>
    <row r="15" spans="1:9" x14ac:dyDescent="0.25">
      <c r="A15" s="37"/>
      <c r="B15" s="34"/>
      <c r="C15" s="35"/>
      <c r="D15" s="35"/>
      <c r="E15" s="36"/>
      <c r="F15" s="36"/>
      <c r="G15" s="5" t="s">
        <v>50</v>
      </c>
      <c r="H15" s="16">
        <v>143.42175399999999</v>
      </c>
      <c r="I15" s="17">
        <f t="shared" si="0"/>
        <v>143.42175399999999</v>
      </c>
    </row>
    <row r="16" spans="1:9" x14ac:dyDescent="0.25">
      <c r="A16" s="37"/>
      <c r="B16" s="34"/>
      <c r="C16" s="35"/>
      <c r="D16" s="35"/>
      <c r="E16" s="36"/>
      <c r="F16" s="36"/>
      <c r="G16" s="5" t="s">
        <v>122</v>
      </c>
      <c r="H16" s="16">
        <v>126.00625529999999</v>
      </c>
      <c r="I16" s="17">
        <f t="shared" si="0"/>
        <v>126.00625529999999</v>
      </c>
    </row>
    <row r="17" spans="1:9" x14ac:dyDescent="0.25">
      <c r="A17" s="37"/>
      <c r="B17" s="34"/>
      <c r="C17" s="35"/>
      <c r="D17" s="35"/>
      <c r="E17" s="36"/>
      <c r="F17" s="36"/>
      <c r="G17" s="5" t="s">
        <v>118</v>
      </c>
      <c r="H17" s="16">
        <v>112.68852099999999</v>
      </c>
      <c r="I17" s="17">
        <f t="shared" si="0"/>
        <v>112.68852099999999</v>
      </c>
    </row>
    <row r="19" spans="1:9" s="4" customFormat="1" ht="24" x14ac:dyDescent="0.25">
      <c r="A19" s="30" t="s">
        <v>14</v>
      </c>
      <c r="B19" s="30" t="s">
        <v>15</v>
      </c>
      <c r="C19" s="30" t="s">
        <v>25</v>
      </c>
      <c r="D19" s="30" t="s">
        <v>16</v>
      </c>
      <c r="E19" s="30" t="s">
        <v>17</v>
      </c>
      <c r="F19" s="30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82.398287589562187</v>
      </c>
      <c r="B20" s="8">
        <f>COUNT(H3:H17)</f>
        <v>15</v>
      </c>
      <c r="C20" s="9">
        <f>IF(B20&lt;2,"n/a",(A20/D20))</f>
        <v>0.47697995710310964</v>
      </c>
      <c r="D20" s="10">
        <f>IFERROR(ROUND(AVERAGE(H3:H17),2),"")</f>
        <v>172.75</v>
      </c>
      <c r="E20" s="15">
        <f>IFERROR(ROUND(IF(B20&lt;2,"n/a",(IF(C20&lt;=25%,"n/a",AVERAGE(I3:I17)))),2),"n/a")</f>
        <v>136.72999999999999</v>
      </c>
      <c r="F20" s="10">
        <f>IFERROR(ROUND(MEDIAN(H3:H17),2),"")</f>
        <v>143.41999999999999</v>
      </c>
      <c r="G20" s="11" t="str">
        <f>IFERROR(INDEX(G3:G17,MATCH(H20,H3:H17,0)),"")</f>
        <v>TEIXEIRA IMPRESSAO DIGITAL E SOLUCOES GRAFICAS LTDA</v>
      </c>
      <c r="H20" s="12">
        <f>F3</f>
        <v>84.946656012000005</v>
      </c>
    </row>
    <row r="22" spans="1:9" x14ac:dyDescent="0.25">
      <c r="G22" s="13" t="s">
        <v>20</v>
      </c>
      <c r="H22" s="14">
        <f>IF(C20&lt;=25%,D20,MIN(E20:F20))</f>
        <v>136.72999999999999</v>
      </c>
    </row>
    <row r="23" spans="1:9" x14ac:dyDescent="0.25">
      <c r="G23" s="13" t="s">
        <v>6</v>
      </c>
      <c r="H23" s="14">
        <f>ROUND(H22,2)*D3</f>
        <v>102547.49999999999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30" t="s">
        <v>1</v>
      </c>
      <c r="B2" s="30" t="s">
        <v>2</v>
      </c>
      <c r="C2" s="30" t="s">
        <v>3</v>
      </c>
      <c r="D2" s="30" t="s">
        <v>4</v>
      </c>
      <c r="E2" s="30" t="s">
        <v>9</v>
      </c>
      <c r="F2" s="30" t="s">
        <v>10</v>
      </c>
      <c r="G2" s="30" t="s">
        <v>11</v>
      </c>
      <c r="H2" s="30" t="s">
        <v>12</v>
      </c>
      <c r="I2" s="30" t="s">
        <v>13</v>
      </c>
    </row>
    <row r="3" spans="1:9" x14ac:dyDescent="0.25">
      <c r="A3" s="37">
        <v>52</v>
      </c>
      <c r="B3" s="33" t="s">
        <v>140</v>
      </c>
      <c r="C3" s="35" t="s">
        <v>35</v>
      </c>
      <c r="D3" s="35">
        <f>6000-Item11!D3</f>
        <v>4500</v>
      </c>
      <c r="E3" s="36">
        <f>IF(C20&lt;=25%,D20,MIN(E20:F20))</f>
        <v>13.78</v>
      </c>
      <c r="F3" s="36">
        <f>MIN(H3:H17)</f>
        <v>9</v>
      </c>
      <c r="G3" s="5" t="s">
        <v>183</v>
      </c>
      <c r="H3" s="16">
        <v>16</v>
      </c>
      <c r="I3" s="17">
        <f>IF(H3="","",(IF($C$20&lt;25%,"n/a",IF(H3&lt;=($D$20+$A$20),H3,"Descartado"))))</f>
        <v>16</v>
      </c>
    </row>
    <row r="4" spans="1:9" x14ac:dyDescent="0.25">
      <c r="A4" s="37"/>
      <c r="B4" s="34"/>
      <c r="C4" s="35"/>
      <c r="D4" s="35"/>
      <c r="E4" s="36"/>
      <c r="F4" s="36"/>
      <c r="G4" s="5" t="s">
        <v>124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37"/>
      <c r="B5" s="34"/>
      <c r="C5" s="35"/>
      <c r="D5" s="35"/>
      <c r="E5" s="36"/>
      <c r="F5" s="36"/>
      <c r="G5" s="5" t="s">
        <v>184</v>
      </c>
      <c r="H5" s="16">
        <v>13</v>
      </c>
      <c r="I5" s="17">
        <f t="shared" si="0"/>
        <v>13</v>
      </c>
    </row>
    <row r="6" spans="1:9" x14ac:dyDescent="0.25">
      <c r="A6" s="37"/>
      <c r="B6" s="34"/>
      <c r="C6" s="35"/>
      <c r="D6" s="35"/>
      <c r="E6" s="36"/>
      <c r="F6" s="36"/>
      <c r="G6" s="5" t="s">
        <v>185</v>
      </c>
      <c r="H6" s="16">
        <v>10</v>
      </c>
      <c r="I6" s="17">
        <f t="shared" si="0"/>
        <v>10</v>
      </c>
    </row>
    <row r="7" spans="1:9" x14ac:dyDescent="0.25">
      <c r="A7" s="37"/>
      <c r="B7" s="34"/>
      <c r="C7" s="35"/>
      <c r="D7" s="35"/>
      <c r="E7" s="36"/>
      <c r="F7" s="36"/>
      <c r="G7" s="5" t="s">
        <v>186</v>
      </c>
      <c r="H7" s="16">
        <v>19</v>
      </c>
      <c r="I7" s="17">
        <f t="shared" si="0"/>
        <v>19</v>
      </c>
    </row>
    <row r="8" spans="1:9" x14ac:dyDescent="0.25">
      <c r="A8" s="37"/>
      <c r="B8" s="34"/>
      <c r="C8" s="35"/>
      <c r="D8" s="35"/>
      <c r="E8" s="36"/>
      <c r="F8" s="36"/>
      <c r="G8" s="5" t="s">
        <v>61</v>
      </c>
      <c r="H8" s="16">
        <v>12.45</v>
      </c>
      <c r="I8" s="17">
        <f t="shared" si="0"/>
        <v>12.45</v>
      </c>
    </row>
    <row r="9" spans="1:9" x14ac:dyDescent="0.25">
      <c r="A9" s="37"/>
      <c r="B9" s="34"/>
      <c r="C9" s="35"/>
      <c r="D9" s="35"/>
      <c r="E9" s="36"/>
      <c r="F9" s="36"/>
      <c r="G9" s="5" t="s">
        <v>187</v>
      </c>
      <c r="H9" s="16">
        <v>15</v>
      </c>
      <c r="I9" s="17">
        <f t="shared" si="0"/>
        <v>15</v>
      </c>
    </row>
    <row r="10" spans="1:9" x14ac:dyDescent="0.25">
      <c r="A10" s="37"/>
      <c r="B10" s="34"/>
      <c r="C10" s="35"/>
      <c r="D10" s="35"/>
      <c r="E10" s="36"/>
      <c r="F10" s="36"/>
      <c r="G10" s="5" t="s">
        <v>121</v>
      </c>
      <c r="H10" s="16">
        <v>14.5</v>
      </c>
      <c r="I10" s="17">
        <f t="shared" si="0"/>
        <v>14.5</v>
      </c>
    </row>
    <row r="11" spans="1:9" x14ac:dyDescent="0.25">
      <c r="A11" s="37"/>
      <c r="B11" s="34"/>
      <c r="C11" s="35"/>
      <c r="D11" s="35"/>
      <c r="E11" s="36"/>
      <c r="F11" s="36"/>
      <c r="G11" s="5" t="s">
        <v>188</v>
      </c>
      <c r="H11" s="16">
        <v>50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89</v>
      </c>
      <c r="H12" s="16">
        <v>11.8</v>
      </c>
      <c r="I12" s="17">
        <f t="shared" si="0"/>
        <v>11.8</v>
      </c>
    </row>
    <row r="13" spans="1:9" x14ac:dyDescent="0.25">
      <c r="A13" s="37"/>
      <c r="B13" s="34"/>
      <c r="C13" s="35"/>
      <c r="D13" s="35"/>
      <c r="E13" s="36"/>
      <c r="F13" s="36"/>
      <c r="G13" s="5" t="s">
        <v>189</v>
      </c>
      <c r="H13" s="16">
        <v>17</v>
      </c>
      <c r="I13" s="17">
        <f t="shared" si="0"/>
        <v>17</v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30" t="s">
        <v>14</v>
      </c>
      <c r="B19" s="30" t="s">
        <v>15</v>
      </c>
      <c r="C19" s="30" t="s">
        <v>25</v>
      </c>
      <c r="D19" s="30" t="s">
        <v>16</v>
      </c>
      <c r="E19" s="30" t="s">
        <v>17</v>
      </c>
      <c r="F19" s="30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11.317868013174406</v>
      </c>
      <c r="B20" s="8">
        <f>COUNT(H3:H17)</f>
        <v>11</v>
      </c>
      <c r="C20" s="9">
        <f>IF(B20&lt;2,"n/a",(A20/D20))</f>
        <v>0.66302683146891661</v>
      </c>
      <c r="D20" s="10">
        <f>IFERROR(ROUND(AVERAGE(H3:H17),2),"")</f>
        <v>17.07</v>
      </c>
      <c r="E20" s="15">
        <f>IFERROR(ROUND(IF(B20&lt;2,"n/a",(IF(C20&lt;=25%,"n/a",AVERAGE(I3:I17)))),2),"n/a")</f>
        <v>13.78</v>
      </c>
      <c r="F20" s="10">
        <f>IFERROR(ROUND(MEDIAN(H3:H17),2),"")</f>
        <v>14.5</v>
      </c>
      <c r="G20" s="11" t="str">
        <f>IFERROR(INDEX(G3:G17,MATCH(H20,H3:H17,0)),"")</f>
        <v>ACDF COMUNICACAO VISUAL E GRAFICA LTDA</v>
      </c>
      <c r="H20" s="12">
        <f>F3</f>
        <v>9</v>
      </c>
    </row>
    <row r="22" spans="1:9" x14ac:dyDescent="0.25">
      <c r="G22" s="13" t="s">
        <v>20</v>
      </c>
      <c r="H22" s="14">
        <f>IF(C20&lt;=25%,D20,MIN(E20:F20))</f>
        <v>13.78</v>
      </c>
    </row>
    <row r="23" spans="1:9" x14ac:dyDescent="0.25">
      <c r="G23" s="13" t="s">
        <v>6</v>
      </c>
      <c r="H23" s="14">
        <f>ROUND(H22,2)*D3</f>
        <v>62010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30" t="s">
        <v>1</v>
      </c>
      <c r="B2" s="30" t="s">
        <v>2</v>
      </c>
      <c r="C2" s="30" t="s">
        <v>3</v>
      </c>
      <c r="D2" s="30" t="s">
        <v>4</v>
      </c>
      <c r="E2" s="30" t="s">
        <v>9</v>
      </c>
      <c r="F2" s="30" t="s">
        <v>10</v>
      </c>
      <c r="G2" s="30" t="s">
        <v>11</v>
      </c>
      <c r="H2" s="30" t="s">
        <v>12</v>
      </c>
      <c r="I2" s="30" t="s">
        <v>13</v>
      </c>
    </row>
    <row r="3" spans="1:9" x14ac:dyDescent="0.25">
      <c r="A3" s="37">
        <v>53</v>
      </c>
      <c r="B3" s="33" t="s">
        <v>36</v>
      </c>
      <c r="C3" s="35" t="s">
        <v>37</v>
      </c>
      <c r="D3" s="35">
        <f>100-Item18!D3</f>
        <v>75</v>
      </c>
      <c r="E3" s="36">
        <f>IF(C20&lt;=25%,D20,MIN(E20:F20))</f>
        <v>2083.5100000000002</v>
      </c>
      <c r="F3" s="36">
        <f>MIN(H3:H17)</f>
        <v>1408.6065125</v>
      </c>
      <c r="G3" s="5" t="s">
        <v>45</v>
      </c>
      <c r="H3" s="16">
        <v>1408.6065125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46</v>
      </c>
      <c r="H4" s="16">
        <v>1516.172828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47</v>
      </c>
      <c r="H5" s="16">
        <v>1639.1057599999999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48</v>
      </c>
      <c r="H6" s="16">
        <v>1680.083404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49</v>
      </c>
      <c r="H7" s="16">
        <v>1721.061048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50</v>
      </c>
      <c r="H8" s="16">
        <v>1861.4094786999999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51</v>
      </c>
      <c r="H9" s="16">
        <v>1946.4380899999999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 t="s">
        <v>52</v>
      </c>
      <c r="H10" s="16">
        <v>2048.8822</v>
      </c>
      <c r="I10" s="17" t="str">
        <f t="shared" si="0"/>
        <v>n/a</v>
      </c>
    </row>
    <row r="11" spans="1:9" x14ac:dyDescent="0.25">
      <c r="A11" s="37"/>
      <c r="B11" s="34"/>
      <c r="C11" s="35"/>
      <c r="D11" s="35"/>
      <c r="E11" s="36"/>
      <c r="F11" s="36"/>
      <c r="G11" s="5" t="s">
        <v>53</v>
      </c>
      <c r="H11" s="16">
        <v>2151.3263099999999</v>
      </c>
      <c r="I11" s="17" t="str">
        <f t="shared" si="0"/>
        <v>n/a</v>
      </c>
    </row>
    <row r="12" spans="1:9" x14ac:dyDescent="0.25">
      <c r="A12" s="37"/>
      <c r="B12" s="34"/>
      <c r="C12" s="35"/>
      <c r="D12" s="35"/>
      <c r="E12" s="36"/>
      <c r="F12" s="36"/>
      <c r="G12" s="5" t="s">
        <v>54</v>
      </c>
      <c r="H12" s="16">
        <v>2182.0595429999998</v>
      </c>
      <c r="I12" s="17" t="str">
        <f t="shared" si="0"/>
        <v>n/a</v>
      </c>
    </row>
    <row r="13" spans="1:9" x14ac:dyDescent="0.25">
      <c r="A13" s="37"/>
      <c r="B13" s="34"/>
      <c r="C13" s="35"/>
      <c r="D13" s="35"/>
      <c r="E13" s="36"/>
      <c r="F13" s="36"/>
      <c r="G13" s="5" t="s">
        <v>55</v>
      </c>
      <c r="H13" s="16">
        <v>2345.9701190000001</v>
      </c>
      <c r="I13" s="17" t="str">
        <f t="shared" si="0"/>
        <v>n/a</v>
      </c>
    </row>
    <row r="14" spans="1:9" x14ac:dyDescent="0.25">
      <c r="A14" s="37"/>
      <c r="B14" s="34"/>
      <c r="C14" s="35"/>
      <c r="D14" s="35"/>
      <c r="E14" s="36"/>
      <c r="F14" s="36"/>
      <c r="G14" s="5" t="s">
        <v>56</v>
      </c>
      <c r="H14" s="16">
        <v>2643.0580380000001</v>
      </c>
      <c r="I14" s="17" t="str">
        <f t="shared" si="0"/>
        <v>n/a</v>
      </c>
    </row>
    <row r="15" spans="1:9" x14ac:dyDescent="0.25">
      <c r="A15" s="37"/>
      <c r="B15" s="34"/>
      <c r="C15" s="35"/>
      <c r="D15" s="35"/>
      <c r="E15" s="36"/>
      <c r="F15" s="36"/>
      <c r="G15" s="5" t="s">
        <v>57</v>
      </c>
      <c r="H15" s="16">
        <v>2653.2922045889995</v>
      </c>
      <c r="I15" s="17" t="str">
        <f t="shared" si="0"/>
        <v>n/a</v>
      </c>
    </row>
    <row r="16" spans="1:9" x14ac:dyDescent="0.25">
      <c r="A16" s="37"/>
      <c r="B16" s="34"/>
      <c r="C16" s="35"/>
      <c r="D16" s="35"/>
      <c r="E16" s="36"/>
      <c r="F16" s="36"/>
      <c r="G16" s="5" t="s">
        <v>58</v>
      </c>
      <c r="H16" s="16">
        <v>2684.0356820000002</v>
      </c>
      <c r="I16" s="17" t="str">
        <f t="shared" si="0"/>
        <v>n/a</v>
      </c>
    </row>
    <row r="17" spans="1:9" x14ac:dyDescent="0.25">
      <c r="A17" s="37"/>
      <c r="B17" s="34"/>
      <c r="C17" s="35"/>
      <c r="D17" s="35"/>
      <c r="E17" s="36"/>
      <c r="F17" s="36"/>
      <c r="G17" s="5" t="s">
        <v>59</v>
      </c>
      <c r="H17" s="16">
        <v>2771.1131755000001</v>
      </c>
      <c r="I17" s="17" t="str">
        <f t="shared" si="0"/>
        <v>n/a</v>
      </c>
    </row>
    <row r="19" spans="1:9" s="4" customFormat="1" ht="24" x14ac:dyDescent="0.25">
      <c r="A19" s="30" t="s">
        <v>14</v>
      </c>
      <c r="B19" s="30" t="s">
        <v>15</v>
      </c>
      <c r="C19" s="30" t="s">
        <v>25</v>
      </c>
      <c r="D19" s="30" t="s">
        <v>16</v>
      </c>
      <c r="E19" s="30" t="s">
        <v>17</v>
      </c>
      <c r="F19" s="30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454.55404958973241</v>
      </c>
      <c r="B20" s="8">
        <f>COUNT(H3:H17)</f>
        <v>15</v>
      </c>
      <c r="C20" s="9">
        <f>IF(B20&lt;2,"n/a",(A20/D20))</f>
        <v>0.21816744320388784</v>
      </c>
      <c r="D20" s="10">
        <f>IFERROR(ROUND(AVERAGE(H3:H17),2),"")</f>
        <v>2083.5100000000002</v>
      </c>
      <c r="E20" s="15" t="str">
        <f>IFERROR(ROUND(IF(B20&lt;2,"n/a",(IF(C20&lt;=25%,"n/a",AVERAGE(I3:I17)))),2),"n/a")</f>
        <v>n/a</v>
      </c>
      <c r="F20" s="10">
        <f>IFERROR(ROUND(MEDIAN(H3:H17),2),"")</f>
        <v>2048.88</v>
      </c>
      <c r="G20" s="11" t="str">
        <f>IFERROR(INDEX(G3:G17,MATCH(H20,H3:H17,0)),"")</f>
        <v>GRAFICA E EDITORA JEP LTDA</v>
      </c>
      <c r="H20" s="12">
        <f>F3</f>
        <v>1408.6065125</v>
      </c>
    </row>
    <row r="22" spans="1:9" x14ac:dyDescent="0.25">
      <c r="G22" s="13" t="s">
        <v>20</v>
      </c>
      <c r="H22" s="14">
        <f>IF(C20&lt;=25%,D20,MIN(E20:F20))</f>
        <v>2083.5100000000002</v>
      </c>
    </row>
    <row r="23" spans="1:9" x14ac:dyDescent="0.25">
      <c r="G23" s="13" t="s">
        <v>6</v>
      </c>
      <c r="H23" s="14">
        <f>ROUND(H22,2)*D3</f>
        <v>156263.25000000003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30" t="s">
        <v>1</v>
      </c>
      <c r="B2" s="30" t="s">
        <v>2</v>
      </c>
      <c r="C2" s="30" t="s">
        <v>3</v>
      </c>
      <c r="D2" s="30" t="s">
        <v>4</v>
      </c>
      <c r="E2" s="30" t="s">
        <v>9</v>
      </c>
      <c r="F2" s="30" t="s">
        <v>10</v>
      </c>
      <c r="G2" s="30" t="s">
        <v>11</v>
      </c>
      <c r="H2" s="30" t="s">
        <v>12</v>
      </c>
      <c r="I2" s="30" t="s">
        <v>13</v>
      </c>
    </row>
    <row r="3" spans="1:9" ht="15" customHeight="1" x14ac:dyDescent="0.25">
      <c r="A3" s="37">
        <v>54</v>
      </c>
      <c r="B3" s="33" t="s">
        <v>173</v>
      </c>
      <c r="C3" s="35" t="s">
        <v>7</v>
      </c>
      <c r="D3" s="35">
        <f>168000-Item46!D3</f>
        <v>126000</v>
      </c>
      <c r="E3" s="36">
        <f>IF(C20&lt;=25%,D20,MIN(E20:F20))</f>
        <v>1.85</v>
      </c>
      <c r="F3" s="36">
        <f>MIN(H3:H17)</f>
        <v>0.87077493499999992</v>
      </c>
      <c r="G3" s="5" t="s">
        <v>124</v>
      </c>
      <c r="H3" s="16">
        <v>0.87077493499999992</v>
      </c>
      <c r="I3" s="17">
        <f>IF(H3="","",(IF($C$20&lt;25%,"n/a",IF(H3&lt;=($D$20+$A$20),H3,"Descartado"))))</f>
        <v>0.87077493499999992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2.632813627</v>
      </c>
      <c r="I4" s="17">
        <f t="shared" ref="I4:I17" si="0">IF(H4="","",(IF($C$20&lt;25%,"n/a",IF(H4&lt;=($D$20+$A$20),H4,"Descartado"))))</f>
        <v>2.632813627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2.6430580379999999</v>
      </c>
      <c r="I5" s="17">
        <f t="shared" si="0"/>
        <v>2.6430580379999999</v>
      </c>
    </row>
    <row r="6" spans="1:9" x14ac:dyDescent="0.25">
      <c r="A6" s="37"/>
      <c r="B6" s="34"/>
      <c r="C6" s="35"/>
      <c r="D6" s="35"/>
      <c r="E6" s="36"/>
      <c r="F6" s="36"/>
      <c r="G6" s="5" t="s">
        <v>126</v>
      </c>
      <c r="H6" s="16">
        <v>2.427925407</v>
      </c>
      <c r="I6" s="17">
        <f t="shared" si="0"/>
        <v>2.427925407</v>
      </c>
    </row>
    <row r="7" spans="1:9" x14ac:dyDescent="0.25">
      <c r="A7" s="37"/>
      <c r="B7" s="34"/>
      <c r="C7" s="35"/>
      <c r="D7" s="35"/>
      <c r="E7" s="36"/>
      <c r="F7" s="36"/>
      <c r="G7" s="5" t="s">
        <v>46</v>
      </c>
      <c r="H7" s="16">
        <v>2.5611027499999999</v>
      </c>
      <c r="I7" s="17">
        <f t="shared" si="0"/>
        <v>2.5611027499999999</v>
      </c>
    </row>
    <row r="8" spans="1:9" x14ac:dyDescent="0.25">
      <c r="A8" s="37"/>
      <c r="B8" s="34"/>
      <c r="C8" s="35"/>
      <c r="D8" s="35"/>
      <c r="E8" s="36"/>
      <c r="F8" s="36"/>
      <c r="G8" s="5" t="s">
        <v>127</v>
      </c>
      <c r="H8" s="16">
        <v>1.0039522779999999</v>
      </c>
      <c r="I8" s="17">
        <f t="shared" si="0"/>
        <v>1.0039522779999999</v>
      </c>
    </row>
    <row r="9" spans="1:9" x14ac:dyDescent="0.25">
      <c r="A9" s="37"/>
      <c r="B9" s="34"/>
      <c r="C9" s="35"/>
      <c r="D9" s="35"/>
      <c r="E9" s="36"/>
      <c r="F9" s="36"/>
      <c r="G9" s="5" t="s">
        <v>129</v>
      </c>
      <c r="H9" s="16">
        <v>0.901508168</v>
      </c>
      <c r="I9" s="17">
        <f t="shared" si="0"/>
        <v>0.901508168</v>
      </c>
    </row>
    <row r="10" spans="1:9" x14ac:dyDescent="0.25">
      <c r="A10" s="37"/>
      <c r="B10" s="34"/>
      <c r="C10" s="35"/>
      <c r="D10" s="35"/>
      <c r="E10" s="36"/>
      <c r="F10" s="36"/>
      <c r="G10" s="5" t="s">
        <v>94</v>
      </c>
      <c r="H10" s="16">
        <v>1.792771925</v>
      </c>
      <c r="I10" s="17">
        <f t="shared" si="0"/>
        <v>1.792771925</v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30" t="s">
        <v>14</v>
      </c>
      <c r="B19" s="30" t="s">
        <v>15</v>
      </c>
      <c r="C19" s="30" t="s">
        <v>25</v>
      </c>
      <c r="D19" s="30" t="s">
        <v>16</v>
      </c>
      <c r="E19" s="30" t="s">
        <v>17</v>
      </c>
      <c r="F19" s="30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0.81581245178966078</v>
      </c>
      <c r="B20" s="8">
        <f>COUNT(H3:H17)</f>
        <v>8</v>
      </c>
      <c r="C20" s="9">
        <f>IF(B20&lt;2,"n/a",(A20/D20))</f>
        <v>0.44097970367008688</v>
      </c>
      <c r="D20" s="10">
        <f>IFERROR(ROUND(AVERAGE(H3:H17),2),"")</f>
        <v>1.85</v>
      </c>
      <c r="E20" s="15">
        <f>IFERROR(ROUND(IF(B20&lt;2,"n/a",(IF(C20&lt;=25%,"n/a",AVERAGE(I3:I17)))),2),"n/a")</f>
        <v>1.85</v>
      </c>
      <c r="F20" s="10">
        <f>IFERROR(ROUND(MEDIAN(H3:H17),2),"")</f>
        <v>2.11</v>
      </c>
      <c r="G20" s="11" t="str">
        <f>IFERROR(INDEX(G3:G17,MATCH(H20,H3:H17,0)),"")</f>
        <v>ACDF COMUNICACAO VISUAL E GRAFICA LTDA</v>
      </c>
      <c r="H20" s="12">
        <f>F3</f>
        <v>0.87077493499999992</v>
      </c>
    </row>
    <row r="22" spans="1:9" x14ac:dyDescent="0.25">
      <c r="G22" s="13" t="s">
        <v>20</v>
      </c>
      <c r="H22" s="14">
        <f>IF(C20&lt;=25%,D20,MIN(E20:F20))</f>
        <v>1.85</v>
      </c>
    </row>
    <row r="23" spans="1:9" x14ac:dyDescent="0.25">
      <c r="G23" s="13" t="s">
        <v>6</v>
      </c>
      <c r="H23" s="14">
        <f>ROUND(H22,2)*D3</f>
        <v>233100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30" t="s">
        <v>1</v>
      </c>
      <c r="B2" s="30" t="s">
        <v>2</v>
      </c>
      <c r="C2" s="30" t="s">
        <v>3</v>
      </c>
      <c r="D2" s="30" t="s">
        <v>4</v>
      </c>
      <c r="E2" s="30" t="s">
        <v>9</v>
      </c>
      <c r="F2" s="30" t="s">
        <v>10</v>
      </c>
      <c r="G2" s="30" t="s">
        <v>11</v>
      </c>
      <c r="H2" s="30" t="s">
        <v>12</v>
      </c>
      <c r="I2" s="30" t="s">
        <v>13</v>
      </c>
    </row>
    <row r="3" spans="1:9" ht="15" customHeight="1" x14ac:dyDescent="0.25">
      <c r="A3" s="37">
        <v>55</v>
      </c>
      <c r="B3" s="33" t="s">
        <v>174</v>
      </c>
      <c r="C3" s="35" t="s">
        <v>39</v>
      </c>
      <c r="D3" s="35">
        <f>10000-Item47!D3</f>
        <v>7500</v>
      </c>
      <c r="E3" s="36">
        <f>IF(C20&lt;=25%,D20,MIN(E20:F20))</f>
        <v>20.2</v>
      </c>
      <c r="F3" s="36">
        <f>MIN(H3:H17)</f>
        <v>12.805513749999999</v>
      </c>
      <c r="G3" s="5" t="s">
        <v>54</v>
      </c>
      <c r="H3" s="16">
        <v>12.805513749999999</v>
      </c>
      <c r="I3" s="17">
        <f>IF(H3="","",(IF($C$20&lt;25%,"n/a",IF(H3&lt;=($D$20+$A$20),H3,"Descartado"))))</f>
        <v>12.805513749999999</v>
      </c>
    </row>
    <row r="4" spans="1:9" x14ac:dyDescent="0.25">
      <c r="A4" s="37"/>
      <c r="B4" s="34"/>
      <c r="C4" s="35"/>
      <c r="D4" s="35"/>
      <c r="E4" s="36"/>
      <c r="F4" s="36"/>
      <c r="G4" s="5" t="s">
        <v>68</v>
      </c>
      <c r="H4" s="16">
        <v>13.625066630000001</v>
      </c>
      <c r="I4" s="17">
        <f t="shared" ref="I4:I17" si="0">IF(H4="","",(IF($C$20&lt;25%,"n/a",IF(H4&lt;=($D$20+$A$20),H4,"Descartado"))))</f>
        <v>13.625066630000001</v>
      </c>
    </row>
    <row r="5" spans="1:9" x14ac:dyDescent="0.25">
      <c r="A5" s="37"/>
      <c r="B5" s="34"/>
      <c r="C5" s="35"/>
      <c r="D5" s="35"/>
      <c r="E5" s="36"/>
      <c r="F5" s="36"/>
      <c r="G5" s="5" t="s">
        <v>51</v>
      </c>
      <c r="H5" s="16">
        <v>14.854395950000001</v>
      </c>
      <c r="I5" s="17">
        <f t="shared" si="0"/>
        <v>14.854395950000001</v>
      </c>
    </row>
    <row r="6" spans="1:9" x14ac:dyDescent="0.25">
      <c r="A6" s="37"/>
      <c r="B6" s="34"/>
      <c r="C6" s="35"/>
      <c r="D6" s="35"/>
      <c r="E6" s="36"/>
      <c r="F6" s="36"/>
      <c r="G6" s="5" t="s">
        <v>69</v>
      </c>
      <c r="H6" s="16">
        <v>15.366616499999999</v>
      </c>
      <c r="I6" s="17">
        <f t="shared" si="0"/>
        <v>15.366616499999999</v>
      </c>
    </row>
    <row r="7" spans="1:9" x14ac:dyDescent="0.25">
      <c r="A7" s="37"/>
      <c r="B7" s="34"/>
      <c r="C7" s="35"/>
      <c r="D7" s="35"/>
      <c r="E7" s="36"/>
      <c r="F7" s="36"/>
      <c r="G7" s="5" t="s">
        <v>47</v>
      </c>
      <c r="H7" s="16">
        <v>18.439939800000001</v>
      </c>
      <c r="I7" s="17">
        <f t="shared" si="0"/>
        <v>18.439939800000001</v>
      </c>
    </row>
    <row r="8" spans="1:9" x14ac:dyDescent="0.25">
      <c r="A8" s="37"/>
      <c r="B8" s="34"/>
      <c r="C8" s="35"/>
      <c r="D8" s="35"/>
      <c r="E8" s="36"/>
      <c r="F8" s="36"/>
      <c r="G8" s="5" t="s">
        <v>66</v>
      </c>
      <c r="H8" s="16">
        <v>20.027823505000001</v>
      </c>
      <c r="I8" s="17">
        <f t="shared" si="0"/>
        <v>20.027823505000001</v>
      </c>
    </row>
    <row r="9" spans="1:9" x14ac:dyDescent="0.25">
      <c r="A9" s="37"/>
      <c r="B9" s="34"/>
      <c r="C9" s="35"/>
      <c r="D9" s="35"/>
      <c r="E9" s="36"/>
      <c r="F9" s="36"/>
      <c r="G9" s="5" t="s">
        <v>70</v>
      </c>
      <c r="H9" s="16">
        <v>20.038067915999999</v>
      </c>
      <c r="I9" s="17">
        <f t="shared" si="0"/>
        <v>20.038067915999999</v>
      </c>
    </row>
    <row r="10" spans="1:9" x14ac:dyDescent="0.25">
      <c r="A10" s="37"/>
      <c r="B10" s="34"/>
      <c r="C10" s="35"/>
      <c r="D10" s="35"/>
      <c r="E10" s="36"/>
      <c r="F10" s="36"/>
      <c r="G10" s="5" t="s">
        <v>50</v>
      </c>
      <c r="H10" s="16">
        <v>20.488821999999999</v>
      </c>
      <c r="I10" s="17">
        <f t="shared" si="0"/>
        <v>20.488821999999999</v>
      </c>
    </row>
    <row r="11" spans="1:9" x14ac:dyDescent="0.25">
      <c r="A11" s="37"/>
      <c r="B11" s="34"/>
      <c r="C11" s="35"/>
      <c r="D11" s="35"/>
      <c r="E11" s="36"/>
      <c r="F11" s="36"/>
      <c r="G11" s="5" t="s">
        <v>58</v>
      </c>
      <c r="H11" s="16">
        <v>20.488821999999999</v>
      </c>
      <c r="I11" s="17">
        <f t="shared" si="0"/>
        <v>20.488821999999999</v>
      </c>
    </row>
    <row r="12" spans="1:9" x14ac:dyDescent="0.25">
      <c r="A12" s="37"/>
      <c r="B12" s="34"/>
      <c r="C12" s="35"/>
      <c r="D12" s="35"/>
      <c r="E12" s="36"/>
      <c r="F12" s="36"/>
      <c r="G12" s="5" t="s">
        <v>56</v>
      </c>
      <c r="H12" s="16">
        <v>28.47946258</v>
      </c>
      <c r="I12" s="17">
        <f t="shared" si="0"/>
        <v>28.47946258</v>
      </c>
    </row>
    <row r="13" spans="1:9" x14ac:dyDescent="0.25">
      <c r="A13" s="37"/>
      <c r="B13" s="34"/>
      <c r="C13" s="35"/>
      <c r="D13" s="35"/>
      <c r="E13" s="36"/>
      <c r="F13" s="36"/>
      <c r="G13" s="5" t="s">
        <v>71</v>
      </c>
      <c r="H13" s="16">
        <v>28.530684635</v>
      </c>
      <c r="I13" s="17">
        <f t="shared" si="0"/>
        <v>28.530684635</v>
      </c>
    </row>
    <row r="14" spans="1:9" x14ac:dyDescent="0.25">
      <c r="A14" s="37"/>
      <c r="B14" s="34"/>
      <c r="C14" s="35"/>
      <c r="D14" s="35"/>
      <c r="E14" s="36"/>
      <c r="F14" s="36"/>
      <c r="G14" s="5" t="s">
        <v>60</v>
      </c>
      <c r="H14" s="16">
        <v>29.196571349999999</v>
      </c>
      <c r="I14" s="17">
        <f t="shared" si="0"/>
        <v>29.196571349999999</v>
      </c>
    </row>
    <row r="15" spans="1:9" x14ac:dyDescent="0.25">
      <c r="A15" s="37"/>
      <c r="B15" s="34"/>
      <c r="C15" s="35"/>
      <c r="D15" s="35"/>
      <c r="E15" s="36"/>
      <c r="F15" s="36"/>
      <c r="G15" s="5" t="s">
        <v>53</v>
      </c>
      <c r="H15" s="16">
        <v>30.733232999999998</v>
      </c>
      <c r="I15" s="17" t="str">
        <f t="shared" si="0"/>
        <v>Descartado</v>
      </c>
    </row>
    <row r="16" spans="1:9" x14ac:dyDescent="0.25">
      <c r="A16" s="37"/>
      <c r="B16" s="34"/>
      <c r="C16" s="35"/>
      <c r="D16" s="35"/>
      <c r="E16" s="36"/>
      <c r="F16" s="36"/>
      <c r="G16" s="5" t="s">
        <v>46</v>
      </c>
      <c r="H16" s="16">
        <v>34.206088329000004</v>
      </c>
      <c r="I16" s="17" t="str">
        <f t="shared" si="0"/>
        <v>Descartado</v>
      </c>
    </row>
    <row r="17" spans="1:9" x14ac:dyDescent="0.25">
      <c r="A17" s="37"/>
      <c r="B17" s="34"/>
      <c r="C17" s="35"/>
      <c r="D17" s="35"/>
      <c r="E17" s="36"/>
      <c r="F17" s="36"/>
      <c r="G17" s="5" t="s">
        <v>55</v>
      </c>
      <c r="H17" s="16">
        <v>34.216332739999999</v>
      </c>
      <c r="I17" s="17" t="str">
        <f t="shared" si="0"/>
        <v>Descartado</v>
      </c>
    </row>
    <row r="19" spans="1:9" s="4" customFormat="1" ht="24" x14ac:dyDescent="0.25">
      <c r="A19" s="30" t="s">
        <v>14</v>
      </c>
      <c r="B19" s="30" t="s">
        <v>15</v>
      </c>
      <c r="C19" s="30" t="s">
        <v>25</v>
      </c>
      <c r="D19" s="30" t="s">
        <v>16</v>
      </c>
      <c r="E19" s="30" t="s">
        <v>17</v>
      </c>
      <c r="F19" s="30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7.4490048925451475</v>
      </c>
      <c r="B20" s="8">
        <f>COUNT(H3:H17)</f>
        <v>15</v>
      </c>
      <c r="C20" s="9">
        <f>IF(B20&lt;2,"n/a",(A20/D20))</f>
        <v>0.32714118983509649</v>
      </c>
      <c r="D20" s="10">
        <f>IFERROR(ROUND(AVERAGE(H3:H17),2),"")</f>
        <v>22.77</v>
      </c>
      <c r="E20" s="15">
        <f>IFERROR(ROUND(IF(B20&lt;2,"n/a",(IF(C20&lt;=25%,"n/a",AVERAGE(I3:I17)))),2),"n/a")</f>
        <v>20.2</v>
      </c>
      <c r="F20" s="10">
        <f>IFERROR(ROUND(MEDIAN(H3:H17),2),"")</f>
        <v>20.49</v>
      </c>
      <c r="G20" s="11" t="str">
        <f>IFERROR(INDEX(G3:G17,MATCH(H20,H3:H17,0)),"")</f>
        <v>INDUSTRIA GRAFICA BRASILEIRA LTDA</v>
      </c>
      <c r="H20" s="12">
        <f>F3</f>
        <v>12.805513749999999</v>
      </c>
    </row>
    <row r="22" spans="1:9" x14ac:dyDescent="0.25">
      <c r="G22" s="13" t="s">
        <v>20</v>
      </c>
      <c r="H22" s="14">
        <f>IF(C20&lt;=25%,D20,MIN(E20:F20))</f>
        <v>20.2</v>
      </c>
    </row>
    <row r="23" spans="1:9" x14ac:dyDescent="0.25">
      <c r="G23" s="13" t="s">
        <v>6</v>
      </c>
      <c r="H23" s="14">
        <f>ROUND(H22,2)*D3</f>
        <v>151500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abSelected="1" view="pageBreakPreview" topLeftCell="A53" zoomScaleNormal="100" zoomScaleSheetLayoutView="100" workbookViewId="0">
      <selection activeCell="C13" sqref="C13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255" x14ac:dyDescent="0.25">
      <c r="A3" s="25" t="s">
        <v>34</v>
      </c>
      <c r="B3" s="25">
        <f>Item1!A3</f>
        <v>1</v>
      </c>
      <c r="C3" s="27" t="str">
        <f>Item1!B3</f>
        <v>Livro
Miolo:
• dimensões: 15,5 mm X 22,5 mm (fechado);
• aproximadamente 800 páginas (400 folhas);
• 1 X 1 preta; papel offset 75 g, alta alvura;
• acabamento colado;
Capa:
• dimensões:15,5 cm X 22,5 cm (fechada);
• 4 X 0;
• papel 220 g/m², supremo, plastificada, com lombada.
• Embalagem: no máximo 10 livros embalados em papel.</v>
      </c>
      <c r="D3" s="25" t="str">
        <f>Item1!C3</f>
        <v>exemplar</v>
      </c>
      <c r="E3" s="25">
        <f>Item1!D3</f>
        <v>500</v>
      </c>
      <c r="F3" s="26">
        <f>Item1!E3</f>
        <v>32.14</v>
      </c>
      <c r="G3" s="26">
        <f>ROUND((E3*F3),2)</f>
        <v>16070</v>
      </c>
    </row>
    <row r="4" spans="1:7" ht="210" x14ac:dyDescent="0.25">
      <c r="A4" s="25" t="s">
        <v>34</v>
      </c>
      <c r="B4" s="25">
        <f>Item2!A3</f>
        <v>2</v>
      </c>
      <c r="C4" s="27" t="str">
        <f>Item2!B3</f>
        <v xml:space="preserve">Livro
Miolo:
• dimensões: 210 mm X 297 mm (fechado);
• aproximadamente 200 páginas (100 folhas);
• 4 X 4; papel couche 110 g/m².
Capa:
• dimensões: 210 mm X 297 mm (fechada);
• 4 X 4;
• papel couche 220 g.
• Embalagem: no máximo 10 livros embalados em papel. </v>
      </c>
      <c r="D4" s="25" t="str">
        <f>Item2!C3</f>
        <v>exemplar</v>
      </c>
      <c r="E4" s="25">
        <f>Item2!D3</f>
        <v>1000</v>
      </c>
      <c r="F4" s="26">
        <f>Item2!E3</f>
        <v>32</v>
      </c>
      <c r="G4" s="26">
        <f t="shared" ref="G4:G29" si="0">ROUND((E4*F4),2)</f>
        <v>32000</v>
      </c>
    </row>
    <row r="5" spans="1:7" ht="360" x14ac:dyDescent="0.25">
      <c r="A5" s="25" t="s">
        <v>34</v>
      </c>
      <c r="B5" s="25">
        <f>Item3!A3</f>
        <v>3</v>
      </c>
      <c r="C5" s="27" t="str">
        <f>Item3!B3</f>
        <v>Livro
Miolo:
• dimensões: 170 mm X 240 mm (fechado);
• aproximadamente 700 páginas (350 folhas);
• l X 1 preta; papel offset 75 g, alta alvura;
• acabamento costurado e colado.
Capa:
• dimensões: 175 mm X 245 mm (fechada);
• com lombada e com orelha;
• 4 X 0 cores (policromia);
• Capa semi-dura;
• laminação fosca.
Porta livros:
• 4 X 0 cores (policromia);
• Para acondicionar dois exemplares do livro;
• Capa semi-dura;
• laminação fosca.
• Embalagem: no máximo 10 livros embalados em papel.</v>
      </c>
      <c r="D5" s="25" t="str">
        <f>Item3!C3</f>
        <v>exemplar</v>
      </c>
      <c r="E5" s="25">
        <f>Item3!D3</f>
        <v>250</v>
      </c>
      <c r="F5" s="26">
        <f>Item3!E3</f>
        <v>136.72999999999999</v>
      </c>
      <c r="G5" s="26">
        <f t="shared" si="0"/>
        <v>34182.5</v>
      </c>
    </row>
    <row r="6" spans="1:7" ht="210" x14ac:dyDescent="0.25">
      <c r="A6" s="25" t="s">
        <v>34</v>
      </c>
      <c r="B6" s="25">
        <f>Item4!A3</f>
        <v>4</v>
      </c>
      <c r="C6" s="27" t="str">
        <f>Item4!B3</f>
        <v>Livro
Capa:
• dimensões: 420 mm X 2l0 mm (aberto);
• 1 dobra;
• impressão 4X0;
• papel reciclato 200 g.
Miolo:
• dimensões: 297 mm X 2l0 mm;
• Aproximadamente 60 páginas (30 folhas);
• impressão 4X4;
• papel reciclato 110 g/m²
• Embalagem: no máximo 10 livros embalados em papel.</v>
      </c>
      <c r="D6" s="25" t="str">
        <f>Item4!C3</f>
        <v>exemplar</v>
      </c>
      <c r="E6" s="25">
        <f>Item4!D3</f>
        <v>600</v>
      </c>
      <c r="F6" s="26">
        <f>Item4!E3</f>
        <v>10.34</v>
      </c>
      <c r="G6" s="26">
        <f t="shared" si="0"/>
        <v>6204</v>
      </c>
    </row>
    <row r="7" spans="1:7" ht="225" x14ac:dyDescent="0.25">
      <c r="A7" s="25" t="s">
        <v>34</v>
      </c>
      <c r="B7" s="25">
        <f>Item5!A3</f>
        <v>5</v>
      </c>
      <c r="C7" s="27" t="str">
        <f>Item5!B3</f>
        <v>Livro
Miolo:
• dimensões: 210 mm X 297 mm;
• aproximadamente 32 páginas (16 folhas);
• 4 X 4;
• papel reciclato 120 g;
• acabamento com 2 grampos.
Capa:
• dimensões: 420 mm X 210 mm (aberta);
• 1 dobra;
• 4 X 0;
• papel reciclato 220 g.
• Embalagem: no máximo 10 livros embalados em papel.</v>
      </c>
      <c r="D7" s="25" t="str">
        <f>Item5!C3</f>
        <v>exemplar</v>
      </c>
      <c r="E7" s="25">
        <f>Item5!D3</f>
        <v>600</v>
      </c>
      <c r="F7" s="26">
        <f>Item5!E3</f>
        <v>3.48</v>
      </c>
      <c r="G7" s="26">
        <f t="shared" si="0"/>
        <v>2088</v>
      </c>
    </row>
    <row r="8" spans="1:7" ht="195" x14ac:dyDescent="0.25">
      <c r="A8" s="25" t="s">
        <v>34</v>
      </c>
      <c r="B8" s="25">
        <f>Item6!A3</f>
        <v>6</v>
      </c>
      <c r="C8" s="27" t="str">
        <f>Item6!B3</f>
        <v>Livro
Miolo:
• dimensões: 155 mm X 215 mm (fechado);
• aproximadamente 150 páginas (75 folhas);
• l X 1 preta; papel offset 90 g, branco;
• acabamento colado.
Capa:
• dimensões 155 mm X 215 mm (fechada);
• 4 X 0 cores (policromia);
• papel 150 g, couche liso.</v>
      </c>
      <c r="D8" s="25" t="str">
        <f>Item6!C3</f>
        <v>exemplar</v>
      </c>
      <c r="E8" s="25">
        <f>Item6!D3</f>
        <v>500</v>
      </c>
      <c r="F8" s="26">
        <f>Item6!E3</f>
        <v>27.72</v>
      </c>
      <c r="G8" s="26">
        <f t="shared" si="0"/>
        <v>13860</v>
      </c>
    </row>
    <row r="9" spans="1:7" ht="225" x14ac:dyDescent="0.25">
      <c r="A9" s="25" t="s">
        <v>34</v>
      </c>
      <c r="B9" s="25">
        <f>Item7!A3</f>
        <v>7</v>
      </c>
      <c r="C9" s="27" t="str">
        <f>Item7!B3</f>
        <v>Livro
Miolo:
• dimensões: 155 mm X 215 mm (fechado);
• aproximadamente 150 páginas (75 folhas);
• l X 1 preta; papel offset 90 g, branco;
• acabamento colado.
Capa:
• dimensões 155 mm X 215 mm (fechada);
• 4 X 0 cores (policromia);
• papel 150 g, couche liso, com lombada.
Embalagem: no máximo 10 livros embalados em papel.</v>
      </c>
      <c r="D9" s="25" t="str">
        <f>Item7!C3</f>
        <v>exemplar</v>
      </c>
      <c r="E9" s="25">
        <f>Item7!D3</f>
        <v>500</v>
      </c>
      <c r="F9" s="26">
        <f>Item7!E3</f>
        <v>27.72</v>
      </c>
      <c r="G9" s="26">
        <f t="shared" si="0"/>
        <v>13860</v>
      </c>
    </row>
    <row r="10" spans="1:7" ht="255" x14ac:dyDescent="0.25">
      <c r="A10" s="25" t="s">
        <v>34</v>
      </c>
      <c r="B10" s="25">
        <f>Item8!A3</f>
        <v>8</v>
      </c>
      <c r="C10" s="27" t="str">
        <f>Item8!B3</f>
        <v>Livro
Miolo:
• dimensões: 220 mm X 300 mm (fechado);
• aproximadamente  200 páginas (100 folhas);
• 4 X 4; papel couche fosco 120 g;
• acabamento costurado e colado, com fita.
Capa:
• dimensões: 225 mm X 305 mm (fechada);
• 4 X 4 cores (policromia);
• Laminação fosca
• capa dura, com guarda.
• Embalagem: no máximo 10 livros embalados em papel.</v>
      </c>
      <c r="D10" s="25" t="str">
        <f>Item8!C3</f>
        <v>exemplar</v>
      </c>
      <c r="E10" s="25">
        <f>Item8!D3</f>
        <v>500</v>
      </c>
      <c r="F10" s="26">
        <f>Item8!E3</f>
        <v>32.67</v>
      </c>
      <c r="G10" s="26">
        <f t="shared" si="0"/>
        <v>16335</v>
      </c>
    </row>
    <row r="11" spans="1:7" ht="330" x14ac:dyDescent="0.25">
      <c r="A11" s="25" t="s">
        <v>34</v>
      </c>
      <c r="B11" s="25">
        <f>Item9!A3</f>
        <v>9</v>
      </c>
      <c r="C11" s="27" t="str">
        <f>Item9!B3</f>
        <v>Livro
Miolo:
• dimensões: 145 mm X 105 mm (fechado);
• aproximadamente 320 páginas (160 folhas);
• l X 1 preta; papel offset 75 g, alta alvura;
• acabamento costurado e colado.
Capa:
• dimensões: 150 mm X 110 mm (fechada);
• com lombada e com orelha;
• 4 X 0 cores (policromia);
• Capa semi-dura;
• laminação fosca.
Porta livros:
• 4 X 0 cores (policromia);
• Para acodicionar dois exemplares do livro;
• Capa semi-dura;
• Laminação fosca.</v>
      </c>
      <c r="D11" s="25" t="str">
        <f>Item9!C3</f>
        <v>exemplar</v>
      </c>
      <c r="E11" s="25">
        <f>Item9!D3</f>
        <v>1000</v>
      </c>
      <c r="F11" s="26">
        <f>Item9!E3</f>
        <v>52.52</v>
      </c>
      <c r="G11" s="26">
        <f t="shared" si="0"/>
        <v>52520</v>
      </c>
    </row>
    <row r="12" spans="1:7" ht="150" x14ac:dyDescent="0.25">
      <c r="A12" s="25" t="s">
        <v>34</v>
      </c>
      <c r="B12" s="25">
        <f>Item10!A3</f>
        <v>10</v>
      </c>
      <c r="C12" s="27" t="str">
        <f>Item10!B3</f>
        <v>Cartilha
Capa e Miolo:
• papel couche liso 120 gr, branco;
• impressão offset 4 X 4;
• acabamento com 2 grampos;
• dimensões: l80 mm X l80 mm (fechado) e l80 mm X 360 mm (aberto);
• aproximadamente 30 páginas.
Embalagem: no máximo 20 cartilhas embalados em papel.</v>
      </c>
      <c r="D12" s="25" t="str">
        <f>Item10!C3</f>
        <v>exemplar</v>
      </c>
      <c r="E12" s="25">
        <f>Item10!D3</f>
        <v>6000</v>
      </c>
      <c r="F12" s="26">
        <f>Item10!E3</f>
        <v>1.17</v>
      </c>
      <c r="G12" s="26">
        <f t="shared" si="0"/>
        <v>7020</v>
      </c>
    </row>
    <row r="13" spans="1:7" ht="240" x14ac:dyDescent="0.25">
      <c r="A13" s="25" t="s">
        <v>34</v>
      </c>
      <c r="B13" s="25">
        <f>Item11!A3</f>
        <v>11</v>
      </c>
      <c r="C13" s="27" t="str">
        <f>Item11!B3</f>
        <v>Cartilha
Capa:
• Impressão 4 X 0;
• papel couche liso, 150 g;
• dimensões: A4 (aberta);
• 1 dobra
• Encadernação tipo canoa, com 2 grampos.
Miolo:
• Impressão 4 X 4;
• papel couche liso, 115 g;
• dimensões: A4 (aberta);
• 1 dobra;
• 20 páginas.
• Embalagem: no máximo 20 cartilhas embalados em papel.</v>
      </c>
      <c r="D13" s="25" t="str">
        <f>Item11!C3</f>
        <v>exemplar</v>
      </c>
      <c r="E13" s="25">
        <f>Item11!D3</f>
        <v>1500</v>
      </c>
      <c r="F13" s="26">
        <f>Item11!E3</f>
        <v>13.78</v>
      </c>
      <c r="G13" s="26">
        <f t="shared" si="0"/>
        <v>20670</v>
      </c>
    </row>
    <row r="14" spans="1:7" ht="240" x14ac:dyDescent="0.25">
      <c r="A14" s="25" t="s">
        <v>34</v>
      </c>
      <c r="B14" s="25">
        <f>Item12!A3</f>
        <v>12</v>
      </c>
      <c r="C14" s="27" t="str">
        <f>Item12!B3</f>
        <v>Cartilha
Miolo:
• dimensões: 148,5 mm X 210 mm (fechado);
• aproximadamente 20 páginas (10 folhas);
• impressão: 1 X 1;
• papel offset 90 g, alta alvura;
• acabamento com 2 grampos.
Capa:
• dimensões: 148,5 mm X 210 mm (fechada);
• 4 X 0 cores (policromia);
• papel couche liso, 130 g
• Embalagem: no máximo 20 cartilhas embalados em papel.</v>
      </c>
      <c r="D14" s="25" t="str">
        <f>Item12!C3</f>
        <v>unidade</v>
      </c>
      <c r="E14" s="25">
        <f>Item12!D3</f>
        <v>2000</v>
      </c>
      <c r="F14" s="26">
        <f>Item12!E3</f>
        <v>1.25</v>
      </c>
      <c r="G14" s="26">
        <f t="shared" si="0"/>
        <v>2500</v>
      </c>
    </row>
    <row r="15" spans="1:7" ht="240" x14ac:dyDescent="0.25">
      <c r="A15" s="25" t="s">
        <v>34</v>
      </c>
      <c r="B15" s="25">
        <f>Item13!A3</f>
        <v>13</v>
      </c>
      <c r="C15" s="27" t="str">
        <f>Item13!B3</f>
        <v>Cartilha
Miolo:
• dimensões: 210 mm X 297 mm (fechado);
• aproximadamente 80 páginas (40 folhas);
• impressão: 4 X 4;
• papel offset 90 g, alta alvura;
• acabamento com 2 grampos.
Capa:
• dimensões: 210 mm X 297 mm (fechada);
• 4 X 0 cores (policromia);
• papel couche liso, 130 g.
• Embalagem: no máximo 20 cartilhas embalados em papel.</v>
      </c>
      <c r="D15" s="25" t="str">
        <f>Item13!C3</f>
        <v>exemplar</v>
      </c>
      <c r="E15" s="25">
        <f>Item13!D3</f>
        <v>600</v>
      </c>
      <c r="F15" s="26">
        <f>Item13!E3</f>
        <v>7.49</v>
      </c>
      <c r="G15" s="26">
        <f t="shared" si="0"/>
        <v>4494</v>
      </c>
    </row>
    <row r="16" spans="1:7" ht="240" x14ac:dyDescent="0.25">
      <c r="A16" s="25" t="s">
        <v>34</v>
      </c>
      <c r="B16" s="25">
        <f>Item14!A3</f>
        <v>14</v>
      </c>
      <c r="C16" s="27" t="str">
        <f>Item14!B3</f>
        <v>Cartilha
Miolo:
• dimensões: 148,5 mm X 210 mm (fechado);
• aproximadamente 100 páginas (50 folhas);
• impressão: 4 X 4;
• papel offset 90 g, alta alvura;
• acabamento com 2 grampos.
Capa:
• dimensões: 148,5 mm X 210 mm (fechada);
• 4 X 0 cores (policromia);
• papel couche liso, 115 g.
• Embalagem: no máximo 20 cartilhas embalados em papel.</v>
      </c>
      <c r="D16" s="25" t="str">
        <f>Item14!C3</f>
        <v>exemplar</v>
      </c>
      <c r="E16" s="25">
        <f>Item14!D3</f>
        <v>400</v>
      </c>
      <c r="F16" s="26">
        <f>Item14!E3</f>
        <v>37.99</v>
      </c>
      <c r="G16" s="26">
        <f t="shared" si="0"/>
        <v>15196</v>
      </c>
    </row>
    <row r="17" spans="1:7" ht="240" x14ac:dyDescent="0.25">
      <c r="A17" s="25" t="s">
        <v>34</v>
      </c>
      <c r="B17" s="25">
        <f>Item15!A3</f>
        <v>15</v>
      </c>
      <c r="C17" s="27" t="str">
        <f>Item15!B3</f>
        <v>Cartilha
Miolo:
• dimensões: 190 mm X 260 mm (fechado);
• aproximadamente 50 páginas (25 folhas);
• impressão: 1 X 1;
• papel offset 90 g, alta alvura;
• acabamento com 2 grampos.
Capa:
• dimensões: 190 mm X 260 mm (fechada);
• 4 X 0 cores (policromia);
• papel 130 g, papel couche liso.
• Embalagem: no máximo 20 cartilhas embalados em papel.</v>
      </c>
      <c r="D17" s="25" t="str">
        <f>Item15!C3</f>
        <v>exemplar</v>
      </c>
      <c r="E17" s="25">
        <f>Item15!D3</f>
        <v>400</v>
      </c>
      <c r="F17" s="26">
        <f>Item15!E3</f>
        <v>4.57</v>
      </c>
      <c r="G17" s="26">
        <f t="shared" si="0"/>
        <v>1828</v>
      </c>
    </row>
    <row r="18" spans="1:7" ht="240" x14ac:dyDescent="0.25">
      <c r="A18" s="25" t="s">
        <v>34</v>
      </c>
      <c r="B18" s="25">
        <f>Item16!A3</f>
        <v>16</v>
      </c>
      <c r="C18" s="27" t="str">
        <f>Item16!B3</f>
        <v>Cartilha
Miolo:
• dimensões:170 mm X 240 mm (fechado);
• aproximadamente 70 páginas (35 folhas);
• impressão: 1 X 1;
• papel offset 90 g, alta alvura;
• acabamento com 2 grampos.
Capa:
• dimensões: 170 mm X 240 mm (fechada);
• 4 X 0 cores (policromia);
• papel couche liso, 130g;
• Embalagem: no máximo 20 cartilhas embalados em papel.</v>
      </c>
      <c r="D18" s="25" t="str">
        <f>Item16!C3</f>
        <v>exemplar</v>
      </c>
      <c r="E18" s="25">
        <f>Item16!D3</f>
        <v>200</v>
      </c>
      <c r="F18" s="26">
        <f>Item16!E3</f>
        <v>12.49</v>
      </c>
      <c r="G18" s="26">
        <f t="shared" si="0"/>
        <v>2498</v>
      </c>
    </row>
    <row r="19" spans="1:7" ht="195" x14ac:dyDescent="0.25">
      <c r="A19" s="25" t="s">
        <v>34</v>
      </c>
      <c r="B19" s="25">
        <f>Item17!A3</f>
        <v>17</v>
      </c>
      <c r="C19" s="27" t="str">
        <f>Item17!B3</f>
        <v>Cartilha
- tamanho A5 (1748 x 2480 px), na orientação vertical, contendo 30 páginas. Material grampeado.
Capa:
• papel couche liso 200 gr, laminação fosca;
• impressão offset 4 X 4;
Miolo (páginas internas):
• papel couche liso 130 gr, fosco;
• impressão offset 4 X 4.
• Embalagem: no máximo 20 cartilhas embalados em papel.</v>
      </c>
      <c r="D19" s="25" t="str">
        <f>Item17!C3</f>
        <v>exemplar</v>
      </c>
      <c r="E19" s="25">
        <f>Item17!D3</f>
        <v>10000</v>
      </c>
      <c r="F19" s="26">
        <f>Item17!E3</f>
        <v>6.12</v>
      </c>
      <c r="G19" s="26">
        <f t="shared" si="0"/>
        <v>61200</v>
      </c>
    </row>
    <row r="20" spans="1:7" ht="195" x14ac:dyDescent="0.25">
      <c r="A20" s="25" t="s">
        <v>34</v>
      </c>
      <c r="B20" s="25">
        <f>Item18!A3</f>
        <v>18</v>
      </c>
      <c r="C20" s="27" t="str">
        <f>Item18!B3</f>
        <v>Cartilha
- tamanho A4 (fechado) e A3 (aberto), na orientação vertical, contendo até 50 páginas. Material grampeado.
Capa:
• papel Offset 75g/m2;
• Padrão de cor: 4X4 (CMYK)
Miolo (páginas internas):
• papel Offset 75g/m2;
• Padrão de cor: 4X4 (CMYK)
Embalagem: em caixa de papelão resistente, com capacidade máxima de 30 (trinta) quilogramas.</v>
      </c>
      <c r="D20" s="25" t="str">
        <f>Item18!C3</f>
        <v>milheiro</v>
      </c>
      <c r="E20" s="25">
        <f>Item18!D3</f>
        <v>25</v>
      </c>
      <c r="F20" s="26">
        <f>Item18!E3</f>
        <v>2083.5100000000002</v>
      </c>
      <c r="G20" s="26">
        <f t="shared" si="0"/>
        <v>52087.75</v>
      </c>
    </row>
    <row r="21" spans="1:7" ht="90" x14ac:dyDescent="0.25">
      <c r="A21" s="25" t="s">
        <v>34</v>
      </c>
      <c r="B21" s="25">
        <f>Item19!A3</f>
        <v>19</v>
      </c>
      <c r="C21" s="27" t="str">
        <f>Item19!B3</f>
        <v>Cartão 
• dimensões: 55 mm X 95 mm.
• lâmina em 1 X 0 cores em Opaline 180 g.
• Embalagem: no máximo 50 cartões embalados em papel.</v>
      </c>
      <c r="D21" s="25" t="str">
        <f>Item19!C3</f>
        <v>unidade</v>
      </c>
      <c r="E21" s="25">
        <f>Item19!D3</f>
        <v>8000</v>
      </c>
      <c r="F21" s="26">
        <f>Item19!E3</f>
        <v>0.4</v>
      </c>
      <c r="G21" s="26">
        <f t="shared" si="0"/>
        <v>3200</v>
      </c>
    </row>
    <row r="22" spans="1:7" ht="90" x14ac:dyDescent="0.25">
      <c r="A22" s="25" t="s">
        <v>34</v>
      </c>
      <c r="B22" s="25">
        <f>Item20!A3</f>
        <v>20</v>
      </c>
      <c r="C22" s="27" t="str">
        <f>Item20!B3</f>
        <v>Cartão 
dimensões: 55 mm X 95 mm.
• lâmina em 4 X 0 cores em Opaline 180 g.
• Embalagem: no máximo 50 cartões embalados em papel.</v>
      </c>
      <c r="D22" s="25" t="str">
        <f>Item20!C3</f>
        <v>unidade</v>
      </c>
      <c r="E22" s="25">
        <f>Item20!D3</f>
        <v>3000</v>
      </c>
      <c r="F22" s="26">
        <f>Item20!E3</f>
        <v>0.45</v>
      </c>
      <c r="G22" s="26">
        <f t="shared" si="0"/>
        <v>1350</v>
      </c>
    </row>
    <row r="23" spans="1:7" ht="90" x14ac:dyDescent="0.25">
      <c r="A23" s="25" t="s">
        <v>34</v>
      </c>
      <c r="B23" s="25">
        <f>Item21!A3</f>
        <v>21</v>
      </c>
      <c r="C23" s="27" t="str">
        <f>Item21!B3</f>
        <v>Cartão 
• dimensões: 102 mm X 152 mm;
• lâminas em 4 X 0 cores em couche fosco 240 g;
• Embalagem: no máximo 50 cartões embalados em papel.</v>
      </c>
      <c r="D23" s="25" t="str">
        <f>Item21!C3</f>
        <v>exemplar</v>
      </c>
      <c r="E23" s="25">
        <f>Item21!D3</f>
        <v>1000</v>
      </c>
      <c r="F23" s="26">
        <f>Item21!E3</f>
        <v>0.61</v>
      </c>
      <c r="G23" s="26">
        <f t="shared" si="0"/>
        <v>610</v>
      </c>
    </row>
    <row r="24" spans="1:7" ht="105" x14ac:dyDescent="0.25">
      <c r="A24" s="25" t="s">
        <v>34</v>
      </c>
      <c r="B24" s="25">
        <f>Item22!A3</f>
        <v>22</v>
      </c>
      <c r="C24" s="27" t="str">
        <f>Item22!B3</f>
        <v>Pasta
dimensões: 450 mm X 320 mm (aberto);
• 1 dobra e bolso interno;
• impresso 4 X 0;
• cartão supremo 250 g com plastificação
• Embalagem: no máximo 50 pastas embaladas em papel.</v>
      </c>
      <c r="D24" s="25" t="str">
        <f>Item22!C3</f>
        <v>exemplar</v>
      </c>
      <c r="E24" s="25">
        <f>Item22!D3</f>
        <v>4000</v>
      </c>
      <c r="F24" s="26">
        <f>Item22!E3</f>
        <v>2.68</v>
      </c>
      <c r="G24" s="26">
        <f t="shared" si="0"/>
        <v>10720</v>
      </c>
    </row>
    <row r="25" spans="1:7" ht="105" x14ac:dyDescent="0.25">
      <c r="A25" s="25" t="s">
        <v>34</v>
      </c>
      <c r="B25" s="25">
        <f>Item23!A3</f>
        <v>23</v>
      </c>
      <c r="C25" s="27" t="str">
        <f>Item23!B3</f>
        <v>Pasta
• dimensões 325 mm X 474 mm (aberto);
• lâminas em 1 X 0 cores em OffSet 280 g;
• 1 dobra.
• Embalagem: no máximo 50 pastas embaladas em papel.</v>
      </c>
      <c r="D25" s="25" t="str">
        <f>Item23!C3</f>
        <v>exemplar</v>
      </c>
      <c r="E25" s="25">
        <f>Item23!D3</f>
        <v>10000</v>
      </c>
      <c r="F25" s="26">
        <f>Item23!E3</f>
        <v>2.0299999999999998</v>
      </c>
      <c r="G25" s="26">
        <f t="shared" si="0"/>
        <v>20300</v>
      </c>
    </row>
    <row r="26" spans="1:7" ht="90" x14ac:dyDescent="0.25">
      <c r="A26" s="25" t="s">
        <v>34</v>
      </c>
      <c r="B26" s="25">
        <f>Item24!A3</f>
        <v>24</v>
      </c>
      <c r="C26" s="27" t="str">
        <f>Item24!B3</f>
        <v>Cartaz
• dimensões: 297 mm X 420 mm;
• lâminas em 4 X 0 cores em couche liso 100 g;
• Embalagem: no máximo 100 cartazes embalados em papel.</v>
      </c>
      <c r="D26" s="25" t="str">
        <f>Item24!C3</f>
        <v>milheiro</v>
      </c>
      <c r="E26" s="25">
        <f>Item24!D3</f>
        <v>500</v>
      </c>
      <c r="F26" s="26">
        <f>Item24!E3</f>
        <v>5.0599999999999996</v>
      </c>
      <c r="G26" s="26">
        <f t="shared" si="0"/>
        <v>2530</v>
      </c>
    </row>
    <row r="27" spans="1:7" ht="90" x14ac:dyDescent="0.25">
      <c r="A27" s="25" t="s">
        <v>34</v>
      </c>
      <c r="B27" s="25">
        <f>Item25!A3</f>
        <v>25</v>
      </c>
      <c r="C27" s="27" t="str">
        <f>Item25!B3</f>
        <v>Cartaz
• dimensões: 297 mm X 420 mm;
• lâminas em 4 X 0 cores em couche liso 120 g;
• Embalagem: no máximo 100 cartazes embalados em papel.</v>
      </c>
      <c r="D27" s="25" t="str">
        <f>Item25!C3</f>
        <v>exemplar</v>
      </c>
      <c r="E27" s="25">
        <f>Item25!D3</f>
        <v>4000</v>
      </c>
      <c r="F27" s="26">
        <f>Item25!E3</f>
        <v>1.39</v>
      </c>
      <c r="G27" s="26">
        <f t="shared" si="0"/>
        <v>5560</v>
      </c>
    </row>
    <row r="28" spans="1:7" ht="90" x14ac:dyDescent="0.25">
      <c r="A28" s="25" t="s">
        <v>34</v>
      </c>
      <c r="B28" s="25">
        <f>Item26!A3</f>
        <v>26</v>
      </c>
      <c r="C28" s="27" t="str">
        <f>Item26!B3</f>
        <v>Cartaz
• dimensões: 420 mm X 600 mm;
• lâminas em 4 X 0 cores em couche liso 120 g;
• Embalagem: no máximo 100 cartazes embalados em papel.</v>
      </c>
      <c r="D28" s="25" t="str">
        <f>Item26!C3</f>
        <v>exemplar</v>
      </c>
      <c r="E28" s="25">
        <f>Item26!D3</f>
        <v>1000</v>
      </c>
      <c r="F28" s="26">
        <f>Item26!E3</f>
        <v>8.58</v>
      </c>
      <c r="G28" s="26">
        <f t="shared" si="0"/>
        <v>8580</v>
      </c>
    </row>
    <row r="29" spans="1:7" ht="90" x14ac:dyDescent="0.25">
      <c r="A29" s="25" t="s">
        <v>34</v>
      </c>
      <c r="B29" s="25">
        <f>Item27!A3</f>
        <v>27</v>
      </c>
      <c r="C29" s="27" t="str">
        <f>Item27!B3</f>
        <v>Cartaz
• dimensões: 285 mm X 410 mm;
• lâminas em 4 X 0 cores em couche liso 120 g;
• Embalagem: no máximo 100 cartazes embalados em papel.</v>
      </c>
      <c r="D29" s="25" t="str">
        <f>Item27!C3</f>
        <v>exemplar</v>
      </c>
      <c r="E29" s="25">
        <f>Item27!D3</f>
        <v>1000</v>
      </c>
      <c r="F29" s="26">
        <f>Item27!E3</f>
        <v>3.14</v>
      </c>
      <c r="G29" s="26">
        <f t="shared" si="0"/>
        <v>3140</v>
      </c>
    </row>
    <row r="30" spans="1:7" ht="90" x14ac:dyDescent="0.25">
      <c r="A30" s="25" t="s">
        <v>34</v>
      </c>
      <c r="B30" s="25">
        <f>Item28!A3</f>
        <v>28</v>
      </c>
      <c r="C30" s="27" t="str">
        <f>Item28!B3</f>
        <v>Cartaz
• dimensões: 400 mm X 580 mm;
• lâminas em 4 X 0 cores em couche liso 120 g;
• Embalagem: no máximo 100 cartazes embalados em papel.</v>
      </c>
      <c r="D30" s="25" t="str">
        <f>Item28!C3</f>
        <v>exemplar</v>
      </c>
      <c r="E30" s="25">
        <f>Item28!D3</f>
        <v>1000</v>
      </c>
      <c r="F30" s="26">
        <f>Item28!E3</f>
        <v>8.58</v>
      </c>
      <c r="G30" s="26">
        <f t="shared" ref="G30:G43" si="1">ROUND((E30*F30),2)</f>
        <v>8580</v>
      </c>
    </row>
    <row r="31" spans="1:7" ht="90" x14ac:dyDescent="0.25">
      <c r="A31" s="25" t="s">
        <v>34</v>
      </c>
      <c r="B31" s="25">
        <f>Item29!A3</f>
        <v>29</v>
      </c>
      <c r="C31" s="27" t="str">
        <f>Item29!B3</f>
        <v>Cartaz
• dimensões: 210 mm X 297 mm;
• lâminas em 4 X 0 cores em couche liso 120 g;
• Embalagem: no máximo 100 cartazes embalados em papel.</v>
      </c>
      <c r="D31" s="25" t="str">
        <f>Item29!C3</f>
        <v>exemplar</v>
      </c>
      <c r="E31" s="25">
        <f>Item29!D3</f>
        <v>1000</v>
      </c>
      <c r="F31" s="26">
        <f>Item29!E3</f>
        <v>2.87</v>
      </c>
      <c r="G31" s="26">
        <f t="shared" si="1"/>
        <v>2870</v>
      </c>
    </row>
    <row r="32" spans="1:7" ht="105" x14ac:dyDescent="0.25">
      <c r="A32" s="25" t="s">
        <v>34</v>
      </c>
      <c r="B32" s="25">
        <f>Item30!A3</f>
        <v>30</v>
      </c>
      <c r="C32" s="27" t="str">
        <f>Item30!B3</f>
        <v>Convite
• dimensões: 287 mm X 410 mm;
• 2 dobras;
• lâminas em 4 X 4 cores em couche fosco 210g, com laminação fosca;
• Embalagem: no máximo 50 convites embalados em papel.</v>
      </c>
      <c r="D32" s="25" t="str">
        <f>Item30!C3</f>
        <v>exemplar</v>
      </c>
      <c r="E32" s="25">
        <f>Item30!D3</f>
        <v>5000</v>
      </c>
      <c r="F32" s="26">
        <f>Item30!E3</f>
        <v>2.97</v>
      </c>
      <c r="G32" s="26">
        <f t="shared" si="1"/>
        <v>14850</v>
      </c>
    </row>
    <row r="33" spans="1:7" ht="90" x14ac:dyDescent="0.25">
      <c r="A33" s="25" t="s">
        <v>34</v>
      </c>
      <c r="B33" s="25">
        <f>Item31!A3</f>
        <v>31</v>
      </c>
      <c r="C33" s="27" t="str">
        <f>Item31!B3</f>
        <v>Convite
dimensões: 150 mm X 200 mm;
• lâminas em 4 X 0 cores em couche liso 210 g.
• Embalagem: no máximo 50 convites embalados em papel.</v>
      </c>
      <c r="D33" s="25" t="str">
        <f>Item31!C3</f>
        <v>exemplar</v>
      </c>
      <c r="E33" s="25">
        <f>Item31!D3</f>
        <v>3000</v>
      </c>
      <c r="F33" s="26">
        <f>Item31!E3</f>
        <v>4.66</v>
      </c>
      <c r="G33" s="26">
        <f t="shared" si="1"/>
        <v>13980</v>
      </c>
    </row>
    <row r="34" spans="1:7" ht="90" x14ac:dyDescent="0.25">
      <c r="A34" s="25" t="s">
        <v>34</v>
      </c>
      <c r="B34" s="25">
        <f>Item32!A3</f>
        <v>32</v>
      </c>
      <c r="C34" s="27" t="str">
        <f>Item32!B3</f>
        <v>Envelope
• dimensões: 168 mm X 225 mm;
• lâminas em 1 X 0 cores, branco, com brasão em alto relevo 240 g.
• Embalagem: no máximo 50 envelopes embalados em papel.</v>
      </c>
      <c r="D34" s="25" t="str">
        <f>Item32!C3</f>
        <v>exemplar</v>
      </c>
      <c r="E34" s="25">
        <f>Item32!D3</f>
        <v>3000</v>
      </c>
      <c r="F34" s="26">
        <f>Item32!E3</f>
        <v>1.37</v>
      </c>
      <c r="G34" s="26">
        <f t="shared" si="1"/>
        <v>4110</v>
      </c>
    </row>
    <row r="35" spans="1:7" ht="75" x14ac:dyDescent="0.25">
      <c r="A35" s="25" t="s">
        <v>34</v>
      </c>
      <c r="B35" s="25">
        <f>Item33!A3</f>
        <v>33</v>
      </c>
      <c r="C35" s="27" t="str">
        <f>Item33!B3</f>
        <v>Envelope
• dimensões: 105 mm X 158 mm;
• lâminas em 1 X 0 cores, branco, 240 g.
• Embalagem: pacote com no máximo 50 envelopes embalados em papel.</v>
      </c>
      <c r="D35" s="25" t="str">
        <f>Item33!C3</f>
        <v>exemplar</v>
      </c>
      <c r="E35" s="25">
        <f>Item33!D3</f>
        <v>1500</v>
      </c>
      <c r="F35" s="26">
        <f>Item33!E3</f>
        <v>0.95</v>
      </c>
      <c r="G35" s="26">
        <f t="shared" si="1"/>
        <v>1425</v>
      </c>
    </row>
    <row r="36" spans="1:7" ht="90" x14ac:dyDescent="0.25">
      <c r="A36" s="25" t="s">
        <v>34</v>
      </c>
      <c r="B36" s="25">
        <f>Item34!A3</f>
        <v>34</v>
      </c>
      <c r="C36" s="27" t="str">
        <f>Item34!B3</f>
        <v>Folder
• dimensões: 297 mm X 210 mm;
• 2 dobras;
• lâminas em 4 X 4 cores em offset  90 g;
• Embalagem: pacote com no máximo 100 folderes embalados em papel.</v>
      </c>
      <c r="D36" s="25" t="str">
        <f>Item34!C3</f>
        <v>exemplar</v>
      </c>
      <c r="E36" s="25">
        <f>Item34!D3</f>
        <v>700</v>
      </c>
      <c r="F36" s="26">
        <f>Item34!E3</f>
        <v>5.09</v>
      </c>
      <c r="G36" s="26">
        <f t="shared" si="1"/>
        <v>3563</v>
      </c>
    </row>
    <row r="37" spans="1:7" ht="105" x14ac:dyDescent="0.25">
      <c r="A37" s="25" t="s">
        <v>34</v>
      </c>
      <c r="B37" s="25">
        <f>Item35!A3</f>
        <v>35</v>
      </c>
      <c r="C37" s="27" t="str">
        <f>Item35!B3</f>
        <v>Folder
dimensões: 297 mm X 210 mm;
• 2 dobras;
• lâminas em 4 X 4 cores em couche 90 g;
• Embalagem: pacote com no máximo 100 folderes embalados em papel.</v>
      </c>
      <c r="D37" s="25" t="str">
        <f>Item35!C3</f>
        <v>exemplar</v>
      </c>
      <c r="E37" s="25">
        <f>Item35!D3</f>
        <v>3000</v>
      </c>
      <c r="F37" s="26">
        <f>Item35!E3</f>
        <v>0.41</v>
      </c>
      <c r="G37" s="26">
        <f t="shared" si="1"/>
        <v>1230</v>
      </c>
    </row>
    <row r="38" spans="1:7" ht="120" x14ac:dyDescent="0.25">
      <c r="A38" s="25" t="s">
        <v>34</v>
      </c>
      <c r="B38" s="25">
        <f>Item36!A3</f>
        <v>36</v>
      </c>
      <c r="C38" s="27" t="str">
        <f>Item36!B3</f>
        <v>Folder
• Papel Offset 75g/m2;
• Formato fechado: A4;
• Formato aberto: A3 (com uma dobra);
• Acabamento: com grampos;
• Padrão de cor: 4X4 (CMYK)
• Embalagem: pacotes com 25 folders, embalados em papel.</v>
      </c>
      <c r="D38" s="25" t="str">
        <f>Item36!C3</f>
        <v>milheiro</v>
      </c>
      <c r="E38" s="25">
        <f>Item36!D3</f>
        <v>100</v>
      </c>
      <c r="F38" s="26">
        <f>Item36!E3</f>
        <v>270.32</v>
      </c>
      <c r="G38" s="26">
        <f t="shared" si="1"/>
        <v>27032</v>
      </c>
    </row>
    <row r="39" spans="1:7" ht="105" x14ac:dyDescent="0.25">
      <c r="A39" s="25" t="s">
        <v>34</v>
      </c>
      <c r="B39" s="25">
        <f>Item37!A3</f>
        <v>37</v>
      </c>
      <c r="C39" s="27" t="str">
        <f>Item37!B3</f>
        <v>Folder
• dimensões: 297 mm X 210 mm;
• 2 dobras;
• lâminas em 4 X 4 cores em reciclato 100 g.
• Embalagem: pacote com no máximo 100 folderes embalados em papel.</v>
      </c>
      <c r="D39" s="25" t="str">
        <f>Item37!C3</f>
        <v>exemplar</v>
      </c>
      <c r="E39" s="25">
        <f>Item37!D3</f>
        <v>800</v>
      </c>
      <c r="F39" s="26">
        <f>Item37!E3</f>
        <v>1.84</v>
      </c>
      <c r="G39" s="26">
        <f t="shared" si="1"/>
        <v>1472</v>
      </c>
    </row>
    <row r="40" spans="1:7" ht="90" x14ac:dyDescent="0.25">
      <c r="A40" s="25" t="s">
        <v>34</v>
      </c>
      <c r="B40" s="25">
        <f>Item38!A3</f>
        <v>38</v>
      </c>
      <c r="C40" s="27" t="str">
        <f>Item38!B3</f>
        <v>Marcador de Livro
• dimensões: 50 mm X 190 mm;
• lâminas em 4 X 4 cores em offset 240 g.com plastificação.
• Embalagem: pacote com no máximo 100 marcadores embalados em papel.</v>
      </c>
      <c r="D40" s="25" t="str">
        <f>Item38!C3</f>
        <v>exemplar</v>
      </c>
      <c r="E40" s="25">
        <f>Item38!D3</f>
        <v>3000</v>
      </c>
      <c r="F40" s="26">
        <f>Item38!E3</f>
        <v>0.42</v>
      </c>
      <c r="G40" s="26">
        <f t="shared" si="1"/>
        <v>1260</v>
      </c>
    </row>
    <row r="41" spans="1:7" ht="90" x14ac:dyDescent="0.25">
      <c r="A41" s="25" t="s">
        <v>34</v>
      </c>
      <c r="B41" s="25">
        <f>Item39!A3</f>
        <v>39</v>
      </c>
      <c r="C41" s="27" t="str">
        <f>Item39!B3</f>
        <v>Diploma
• dimensões: 364 mm X 257 mm;
• lâminas em 4 X 0 cores em Opaline 180 g.
• Embalagem: pacote com no máximo 20 diplomas embalados em papel.</v>
      </c>
      <c r="D41" s="25" t="str">
        <f>Item39!C3</f>
        <v>exemplar</v>
      </c>
      <c r="E41" s="25">
        <f>Item39!D3</f>
        <v>500</v>
      </c>
      <c r="F41" s="26">
        <f>Item39!E3</f>
        <v>0.52</v>
      </c>
      <c r="G41" s="26">
        <f t="shared" si="1"/>
        <v>260</v>
      </c>
    </row>
    <row r="42" spans="1:7" ht="195" x14ac:dyDescent="0.25">
      <c r="A42" s="25" t="s">
        <v>34</v>
      </c>
      <c r="B42" s="25">
        <f>Item40!A3</f>
        <v>40</v>
      </c>
      <c r="C42" s="27" t="str">
        <f>Item40!B3</f>
        <v>Bloco
Miolo:
• dimensões: 220 mm X 280 mm;
• aproximadamente 50 páginas (25 folhas);
• páginas em 1 X 0 cores em offset 75.
Capa:
• dimensões: 220 mm X 280 mm (fechado);
• 4 X 0 cores;
• cartão supremo 250 g.
• Embalagem: pacote com no máximo 25 blocos embalados em papel.</v>
      </c>
      <c r="D42" s="25" t="str">
        <f>Item40!C3</f>
        <v>exemplar</v>
      </c>
      <c r="E42" s="25">
        <f>Item40!D3</f>
        <v>1500</v>
      </c>
      <c r="F42" s="26">
        <f>Item40!E3</f>
        <v>6.18</v>
      </c>
      <c r="G42" s="26">
        <f t="shared" si="1"/>
        <v>9270</v>
      </c>
    </row>
    <row r="43" spans="1:7" ht="210" x14ac:dyDescent="0.25">
      <c r="A43" s="25" t="s">
        <v>34</v>
      </c>
      <c r="B43" s="25">
        <f>Item41!A3</f>
        <v>41</v>
      </c>
      <c r="C43" s="27" t="str">
        <f>Item41!B3</f>
        <v>Bloco
Miolo:
• dimensões: 160 mm X 220 mm;
• aproximadamente 50 páginas (25 folhas);
• páginas em 1 X 0 cores em papel reciclato 90.
Capa:
• dimensões: 160 mm X 220 mm (fechado);
• 4 X 0 cores;
• papel reciclato 120g.
• Embalagem: pacote com no máximo 25 blocos embalados em papel.</v>
      </c>
      <c r="D43" s="25" t="str">
        <f>Item41!C3</f>
        <v>exemplar</v>
      </c>
      <c r="E43" s="25">
        <f>Item41!D3</f>
        <v>1500</v>
      </c>
      <c r="F43" s="26">
        <f>Item41!E3</f>
        <v>9.57</v>
      </c>
      <c r="G43" s="26">
        <f t="shared" si="1"/>
        <v>14355</v>
      </c>
    </row>
    <row r="44" spans="1:7" ht="409.5" x14ac:dyDescent="0.25">
      <c r="A44" s="25" t="s">
        <v>34</v>
      </c>
      <c r="B44" s="25">
        <f>Item42!A3</f>
        <v>42</v>
      </c>
      <c r="C44" s="27" t="str">
        <f>Item42!B3</f>
        <v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a serem fornecidos pela SEINFO (NÃO SERÁ ACEITA INSCRIÇÃO EM SILK SCREEN).
OBS: 1: serão confeccionados 06 clichês com as assinaturas dos magistrados.
OBS.: 2: o clichê referente ao Brasão da República será fornecido pelo TRE-BA.
OBS. 3: O TRE-BA não se obriga a executar todo o quantitativo de coletâneas/exemplares indicados, sendo este uma estimativa da necessidade do Órgão para o exercício.</v>
      </c>
      <c r="D44" s="25" t="str">
        <f>Item42!C3</f>
        <v>exemplar</v>
      </c>
      <c r="E44" s="25">
        <f>Item42!D3</f>
        <v>14</v>
      </c>
      <c r="F44" s="26">
        <f>Item42!E3</f>
        <v>546.26</v>
      </c>
      <c r="G44" s="26">
        <f t="shared" ref="G44:G52" si="2">ROUND((E44*F44),2)</f>
        <v>7647.64</v>
      </c>
    </row>
    <row r="45" spans="1:7" ht="300" x14ac:dyDescent="0.25">
      <c r="A45" s="25" t="s">
        <v>34</v>
      </c>
      <c r="B45" s="25">
        <f>Item43!A3</f>
        <v>43</v>
      </c>
      <c r="C45" s="27" t="str">
        <f>Item43!B3</f>
        <v>Agenda
Miolo:
• papel reciclado, 75g;
• dimensões: 120 mm x 160 mm (BxH);
• aproximadamente 350 páginas (175 folhas), 4 x 4.
• Impressão em Offset, utilizando tintas vegetais.
Capa:
• papelão espessura 1.1/ nº 30 revestido externamente com papel reciclado 120 g;
• impressão 4 x 0 cores, utilizando tintas vegetais, e internamente com papel reciclado 90 g, 0 x 0 cores;
• dimensões: 125 mm x 165 mm (BxH);
• impressão em Offset;
• encadernação em espiral verde escuro, em metal reciclado.
• Embalagem: pacote com no máximo 50 agendas embaladas em papel.</v>
      </c>
      <c r="D45" s="25" t="str">
        <f>Item43!C3</f>
        <v>exemplar</v>
      </c>
      <c r="E45" s="25">
        <f>Item43!D3</f>
        <v>3000</v>
      </c>
      <c r="F45" s="26">
        <f>Item43!E3</f>
        <v>12.46</v>
      </c>
      <c r="G45" s="26">
        <f t="shared" si="2"/>
        <v>37380</v>
      </c>
    </row>
    <row r="46" spans="1:7" ht="210" x14ac:dyDescent="0.25">
      <c r="A46" s="25" t="s">
        <v>34</v>
      </c>
      <c r="B46" s="25">
        <f>Item44!A3</f>
        <v>44</v>
      </c>
      <c r="C46" s="27" t="str">
        <f>Item44!B3</f>
        <v>Calendário
Base:
• dimensões: 350 mm X 210 mm;
• corte/vinco, duas dobras;
• Impressão 4X0 em papel reciclado de 250 g.
Páginas
• aproximadamente 7 folhas (14 páginas):
• dimensões: 130mm X 210 mm;
• lâminas em 4 X 4 cores em papel reciclado de 110 g;
• acabamento em wire-o branca.
• Embalagem: pacote com no máximo 25 calendários embalados em papel.</v>
      </c>
      <c r="D46" s="25" t="str">
        <f>Item44!C3</f>
        <v>unidade</v>
      </c>
      <c r="E46" s="25">
        <f>Item44!D3</f>
        <v>2400</v>
      </c>
      <c r="F46" s="26">
        <f>Item44!E3</f>
        <v>17.440000000000001</v>
      </c>
      <c r="G46" s="26">
        <f t="shared" si="2"/>
        <v>41856</v>
      </c>
    </row>
    <row r="47" spans="1:7" ht="135" x14ac:dyDescent="0.25">
      <c r="A47" s="25" t="s">
        <v>34</v>
      </c>
      <c r="B47" s="25">
        <f>Item45!A3</f>
        <v>45</v>
      </c>
      <c r="C47" s="27" t="str">
        <f>Item45!B3</f>
        <v>Crachá
• dimensões 110 mm X 150 mm;
• lâminas em 4 X 0 cores em Couche fosco 300g.
• plastificado;
• cordão branco ou preto.
• Embalagem: pacote (ou caixa de papel) com no máximo 100 crachás embalados em papel.</v>
      </c>
      <c r="D47" s="25" t="str">
        <f>Item45!C3</f>
        <v>unidade</v>
      </c>
      <c r="E47" s="25">
        <f>Item45!D3</f>
        <v>55000</v>
      </c>
      <c r="F47" s="26">
        <f>Item45!E3</f>
        <v>1.24</v>
      </c>
      <c r="G47" s="26">
        <f t="shared" si="2"/>
        <v>68200</v>
      </c>
    </row>
    <row r="48" spans="1:7" ht="135" x14ac:dyDescent="0.25">
      <c r="A48" s="25" t="s">
        <v>34</v>
      </c>
      <c r="B48" s="25">
        <f>Item46!A3</f>
        <v>46</v>
      </c>
      <c r="C48" s="27" t="str">
        <f>Item46!B3</f>
        <v>Crachá
• dimensões 55 mm X 75 mm;
• lâminas em 4 X 0 cores em Couche fosco 300g.
• plastificado;
• cordão branco ou preto.
• Embalagem: pacote (ou caixa de papel) com no máximo 100 crachás embalados em papel.</v>
      </c>
      <c r="D48" s="25" t="str">
        <f>Item46!C3</f>
        <v>unidade</v>
      </c>
      <c r="E48" s="25">
        <f>Item46!D3</f>
        <v>42000</v>
      </c>
      <c r="F48" s="26">
        <f>Item46!E3</f>
        <v>1.85</v>
      </c>
      <c r="G48" s="26">
        <f t="shared" si="2"/>
        <v>77700</v>
      </c>
    </row>
    <row r="49" spans="1:7" ht="135" x14ac:dyDescent="0.25">
      <c r="A49" s="25" t="s">
        <v>34</v>
      </c>
      <c r="B49" s="25">
        <f>Item47!A3</f>
        <v>47</v>
      </c>
      <c r="C49" s="27" t="str">
        <f>Item47!B3</f>
        <v>Formulário
• Papel: AP 75g/m2 
• Dimensões: 29,5 cm X 8,5 cm Impressão: em preto e branco 
• Serrilha: vertical, para fácil destaque entre a via da Justiça Eleitoral e o comprovante do eleitor. Embalagem: pacote com 500 unidades, embaladas em papel.</v>
      </c>
      <c r="D49" s="25" t="str">
        <f>Item47!C3</f>
        <v>pacote</v>
      </c>
      <c r="E49" s="25">
        <f>Item47!D3</f>
        <v>2500</v>
      </c>
      <c r="F49" s="26">
        <f>Item47!E3</f>
        <v>20.2</v>
      </c>
      <c r="G49" s="26">
        <f t="shared" si="2"/>
        <v>50500</v>
      </c>
    </row>
    <row r="50" spans="1:7" ht="195" x14ac:dyDescent="0.25">
      <c r="A50" s="25" t="s">
        <v>34</v>
      </c>
      <c r="B50" s="25">
        <f>Item48!A3</f>
        <v>48</v>
      </c>
      <c r="C50" s="27" t="str">
        <f>Item48!B3</f>
        <v>Etiqueta
• Papel: autoadesivo; 
• Dimensões: 37,5mm x 21mm; 
• Frontal: Offset branco fosco 60 a 75g/m²; 
• Adesivo: Hotmelt 25g/m²; 
• Liner: Couchê 80 a 90g/m²; 
• Impressão: em preto, apenas na frente;
• Acabamento: meio-corte para destacar cada etiqueta individualmente; 
• Acondicionamento: que resguarde a integridade das etiquetas.
• Cartela com 40 etiquetas.</v>
      </c>
      <c r="D50" s="25" t="str">
        <f>Item48!C3</f>
        <v>cartela</v>
      </c>
      <c r="E50" s="25">
        <f>Item48!D3</f>
        <v>3000</v>
      </c>
      <c r="F50" s="26">
        <f>Item48!E3</f>
        <v>5.15</v>
      </c>
      <c r="G50" s="26">
        <f t="shared" si="2"/>
        <v>15450</v>
      </c>
    </row>
    <row r="51" spans="1:7" ht="195" x14ac:dyDescent="0.25">
      <c r="A51" s="25" t="s">
        <v>34</v>
      </c>
      <c r="B51" s="25">
        <f>Item49!A3</f>
        <v>49</v>
      </c>
      <c r="C51" s="27" t="str">
        <f>Item49!B3</f>
        <v>Etiqueta
• Papel: autoadesivo; 
• Dimensões: 64mm x 44mm; 
• Frontal: Offset branco fosco 60 a 75g/m²; 
• Adesivo: Hotmelt 25g/m²; 
• Liner: Couchê 80 a 90g/m²; 
• Imprssão: em preto, apenas na frente;
• Acabamento: meio-corte para destacar cada etiqueta individualmente; 
• Acondicionamento: que resguarde a integridade das etiquetas.
Cartela com 17 etiquetas.</v>
      </c>
      <c r="D51" s="25" t="str">
        <f>Item49!C3</f>
        <v>cartela</v>
      </c>
      <c r="E51" s="25">
        <f>Item49!D3</f>
        <v>6000</v>
      </c>
      <c r="F51" s="26">
        <f>Item49!E3</f>
        <v>2.08</v>
      </c>
      <c r="G51" s="26">
        <f t="shared" si="2"/>
        <v>12480</v>
      </c>
    </row>
    <row r="52" spans="1:7" ht="135" x14ac:dyDescent="0.25">
      <c r="A52" s="25" t="s">
        <v>34</v>
      </c>
      <c r="B52" s="25">
        <f>Item50!A3</f>
        <v>50</v>
      </c>
      <c r="C52" s="27" t="str">
        <f>Item50!B3</f>
        <v>Etiqueta
• Formato: A4 
• Gramatura: 75g/m2. 
• Especificação: etiqueta adesiva na cor branca com impressão em preto na frente e com serrilha ao meio, sendo 2 (duas) etiquetas por folha. 
• Embalagem: pacote com 25 folhas, embaladas em plástico transparente.</v>
      </c>
      <c r="D52" s="25" t="str">
        <f>Item50!C3</f>
        <v>folha</v>
      </c>
      <c r="E52" s="25">
        <f>Item50!D3</f>
        <v>50000</v>
      </c>
      <c r="F52" s="26">
        <f>Item50!E3</f>
        <v>0.56000000000000005</v>
      </c>
      <c r="G52" s="26">
        <f t="shared" si="2"/>
        <v>28000</v>
      </c>
    </row>
    <row r="53" spans="1:7" ht="360" x14ac:dyDescent="0.25">
      <c r="A53" s="25" t="s">
        <v>34</v>
      </c>
      <c r="B53" s="25">
        <f>Item51!A3</f>
        <v>51</v>
      </c>
      <c r="C53" s="27" t="str">
        <f>Item51!B3</f>
        <v>Livro
Miolo:
• dimensões: 170 mm X 240 mm (fechado);
• aproximadamente 700 páginas (350 folhas);
• l X 1 preta; papel offset 75 g, alta alvura;
• acabamento costurado e colado.
Capa:
• dimensões: 175 mm X 245 mm (fechada);
• com lombada e com orelha;
• 4 X 0 cores (policromia);
• Capa semi-dura;
• laminação fosca.
Porta livros:
• 4 X 0 cores (policromia);
• Para acondicionar dois exemplares do livro;
• Capa semi-dura;
• laminação fosca.
• Embalagem: no máximo 10 livros embalados em papel.</v>
      </c>
      <c r="D53" s="25" t="str">
        <f>Item51!C3</f>
        <v>exemplar</v>
      </c>
      <c r="E53" s="25">
        <f>Item51!D3</f>
        <v>750</v>
      </c>
      <c r="F53" s="26">
        <f>Item51!E3</f>
        <v>136.72999999999999</v>
      </c>
      <c r="G53" s="26">
        <f t="shared" ref="G53:G57" si="3">ROUND((E53*F53),2)</f>
        <v>102547.5</v>
      </c>
    </row>
    <row r="54" spans="1:7" ht="240" x14ac:dyDescent="0.25">
      <c r="A54" s="25" t="s">
        <v>34</v>
      </c>
      <c r="B54" s="25">
        <f>Item52!A3</f>
        <v>52</v>
      </c>
      <c r="C54" s="27" t="str">
        <f>Item52!B3</f>
        <v>Cartilha
Capa:
• Impressão 4 X 0;
• papel couche liso, 150 g;
• dimensões: A4 (aberta);
• 1 dobra
• Encadernação tipo canoa, com 2 grampos.
Miolo:
• Impressão 4 X 4;
• papel couche liso, 115 g;
• dimensões: A4 (aberta);
• 1 dobra;
• 20 páginas.
• Embalagem: no máximo 20 cartilhas embalados em papel.</v>
      </c>
      <c r="D54" s="25" t="str">
        <f>Item52!C3</f>
        <v>exemplar</v>
      </c>
      <c r="E54" s="25">
        <f>Item52!D3</f>
        <v>4500</v>
      </c>
      <c r="F54" s="26">
        <f>Item52!E3</f>
        <v>13.78</v>
      </c>
      <c r="G54" s="26">
        <f t="shared" si="3"/>
        <v>62010</v>
      </c>
    </row>
    <row r="55" spans="1:7" ht="195" x14ac:dyDescent="0.25">
      <c r="A55" s="25" t="s">
        <v>34</v>
      </c>
      <c r="B55" s="25">
        <f>Item53!A3</f>
        <v>53</v>
      </c>
      <c r="C55" s="27" t="str">
        <f>Item53!B3</f>
        <v>Cartilha
- tamanho A4 (fechado) e A3 (aberto), na orientação vertical, contendo até 50 páginas. Material grampeado.
Capa:
• papel Offset 75g/m2;
• Padrão de cor: 4X4 (CMYK)
Miolo (páginas internas):
• papel Offset 75g/m2;
• Padrão de cor: 4X4 (CMYK)
Embalagem: em caixa de papelão resistente, com capacidade máxima de 30 (trinta) quilogramas.</v>
      </c>
      <c r="D55" s="25" t="str">
        <f>Item53!C3</f>
        <v>milheiro</v>
      </c>
      <c r="E55" s="25">
        <f>Item53!D3</f>
        <v>75</v>
      </c>
      <c r="F55" s="26">
        <f>Item53!E3</f>
        <v>2083.5100000000002</v>
      </c>
      <c r="G55" s="26">
        <f t="shared" si="3"/>
        <v>156263.25</v>
      </c>
    </row>
    <row r="56" spans="1:7" ht="135" x14ac:dyDescent="0.25">
      <c r="A56" s="25" t="s">
        <v>34</v>
      </c>
      <c r="B56" s="25">
        <f>Item54!A3</f>
        <v>54</v>
      </c>
      <c r="C56" s="27" t="str">
        <f>Item54!B3</f>
        <v>Crachá
• dimensões 55 mm X 75 mm;
• lâminas em 4 X 0 cores em Couche fosco 300g.
• plastificado;
• cordão branco ou preto.
• Embalagem: pacote (ou caixa de papel) com no máximo 100 crachás embalados em papel.</v>
      </c>
      <c r="D56" s="25" t="str">
        <f>Item54!C3</f>
        <v>unidade</v>
      </c>
      <c r="E56" s="25">
        <f>Item54!D3</f>
        <v>126000</v>
      </c>
      <c r="F56" s="26">
        <f>Item54!E3</f>
        <v>1.85</v>
      </c>
      <c r="G56" s="26">
        <f t="shared" si="3"/>
        <v>233100</v>
      </c>
    </row>
    <row r="57" spans="1:7" ht="135" x14ac:dyDescent="0.25">
      <c r="A57" s="25" t="s">
        <v>34</v>
      </c>
      <c r="B57" s="25">
        <f>Item55!A3</f>
        <v>55</v>
      </c>
      <c r="C57" s="27" t="str">
        <f>Item55!B3</f>
        <v>Formulário
• Papel: AP 75g/m2 
• Dimensões: 29,5 cm X 8,5 cm Impressão: em preto e branco 
• Serrilha: vertical, para fácil destaque entre a via da Justiça Eleitoral e o comprovante do eleitor. Embalagem: pacote com 500 unidades, embaladas em papel.</v>
      </c>
      <c r="D57" s="25" t="str">
        <f>Item55!C3</f>
        <v>pacote</v>
      </c>
      <c r="E57" s="25">
        <f>Item55!D3</f>
        <v>7500</v>
      </c>
      <c r="F57" s="26">
        <f>Item55!E3</f>
        <v>20.2</v>
      </c>
      <c r="G57" s="26">
        <f t="shared" si="3"/>
        <v>151500</v>
      </c>
    </row>
    <row r="58" spans="1:7" ht="15.75" thickBot="1" x14ac:dyDescent="0.3"/>
    <row r="59" spans="1:7" ht="16.5" thickTop="1" thickBot="1" x14ac:dyDescent="0.3">
      <c r="D59" s="22"/>
      <c r="E59" s="23" t="s">
        <v>33</v>
      </c>
      <c r="F59" s="24">
        <f>SUM(G:G)</f>
        <v>1559494.6400000001</v>
      </c>
    </row>
    <row r="60" spans="1:7" ht="15.75" thickTop="1" x14ac:dyDescent="0.25">
      <c r="F60" s="3"/>
    </row>
    <row r="61" spans="1:7" x14ac:dyDescent="0.25">
      <c r="D61" s="21" t="s">
        <v>32</v>
      </c>
      <c r="E61" s="13">
        <f>MAX(A:A)</f>
        <v>0</v>
      </c>
    </row>
    <row r="63" spans="1:7" x14ac:dyDescent="0.25">
      <c r="D63" s="18" t="s">
        <v>31</v>
      </c>
      <c r="E63" s="19">
        <v>1</v>
      </c>
      <c r="F63" s="20">
        <f>SUMIF(A:A,E63,G:G)</f>
        <v>0</v>
      </c>
    </row>
    <row r="64" spans="1:7" x14ac:dyDescent="0.25">
      <c r="D64" s="18" t="s">
        <v>31</v>
      </c>
      <c r="E64" s="19">
        <v>2</v>
      </c>
      <c r="F64" s="20">
        <f>SUMIF(A:A,E64,G:G)</f>
        <v>0</v>
      </c>
    </row>
    <row r="65" spans="4:6" x14ac:dyDescent="0.25">
      <c r="D65" s="18" t="s">
        <v>31</v>
      </c>
      <c r="E65" s="19">
        <v>3</v>
      </c>
      <c r="F65" s="20">
        <f>SUMIF(A:A,E65,G:G)</f>
        <v>0</v>
      </c>
    </row>
    <row r="66" spans="4:6" x14ac:dyDescent="0.25">
      <c r="D66" s="18" t="s">
        <v>31</v>
      </c>
      <c r="E66" s="19">
        <v>4</v>
      </c>
      <c r="F66" s="20">
        <f>SUMIF(A:A,E66,G:G)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fitToHeight="0" orientation="portrait" r:id="rId1"/>
  <headerFooter>
    <oddHeader>&amp;C&amp;G</oddHeader>
    <oddFooter>&amp;L&amp;"-,Negrito"Estimativa em &amp;D&amp;Rn/a = não se aplica</oddFooter>
  </headerFooter>
  <rowBreaks count="1" manualBreakCount="1">
    <brk id="26" max="6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4" sqref="H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6</v>
      </c>
      <c r="B3" s="33" t="s">
        <v>135</v>
      </c>
      <c r="C3" s="35" t="s">
        <v>35</v>
      </c>
      <c r="D3" s="35">
        <v>500</v>
      </c>
      <c r="E3" s="36">
        <f>IF(C20&lt;=25%,D20,MIN(E20:F20))</f>
        <v>27.72</v>
      </c>
      <c r="F3" s="36">
        <f>MIN(H3:H17)</f>
        <v>18</v>
      </c>
      <c r="G3" s="5" t="s">
        <v>183</v>
      </c>
      <c r="H3" s="16">
        <v>30</v>
      </c>
      <c r="I3" s="17">
        <f>IF(H3="","",(IF($C$20&lt;25%,"n/a",IF(H3&lt;=($D$20+$A$20),H3,"Descartado"))))</f>
        <v>30</v>
      </c>
    </row>
    <row r="4" spans="1:9" x14ac:dyDescent="0.25">
      <c r="A4" s="37"/>
      <c r="B4" s="34"/>
      <c r="C4" s="35"/>
      <c r="D4" s="35"/>
      <c r="E4" s="36"/>
      <c r="F4" s="36"/>
      <c r="G4" s="5" t="s">
        <v>124</v>
      </c>
      <c r="H4" s="16">
        <v>18</v>
      </c>
      <c r="I4" s="17">
        <f t="shared" ref="I4:I17" si="0">IF(H4="","",(IF($C$20&lt;25%,"n/a",IF(H4&lt;=($D$20+$A$20),H4,"Descartado"))))</f>
        <v>18</v>
      </c>
    </row>
    <row r="5" spans="1:9" x14ac:dyDescent="0.25">
      <c r="A5" s="37"/>
      <c r="B5" s="34"/>
      <c r="C5" s="35"/>
      <c r="D5" s="35"/>
      <c r="E5" s="36"/>
      <c r="F5" s="36"/>
      <c r="G5" s="5" t="s">
        <v>184</v>
      </c>
      <c r="H5" s="16">
        <v>25</v>
      </c>
      <c r="I5" s="17">
        <f t="shared" si="0"/>
        <v>25</v>
      </c>
    </row>
    <row r="6" spans="1:9" x14ac:dyDescent="0.25">
      <c r="A6" s="37"/>
      <c r="B6" s="34"/>
      <c r="C6" s="35"/>
      <c r="D6" s="35"/>
      <c r="E6" s="36"/>
      <c r="F6" s="36"/>
      <c r="G6" s="5" t="s">
        <v>185</v>
      </c>
      <c r="H6" s="16">
        <v>23</v>
      </c>
      <c r="I6" s="17">
        <f t="shared" si="0"/>
        <v>23</v>
      </c>
    </row>
    <row r="7" spans="1:9" x14ac:dyDescent="0.25">
      <c r="A7" s="37"/>
      <c r="B7" s="34"/>
      <c r="C7" s="35"/>
      <c r="D7" s="35"/>
      <c r="E7" s="36"/>
      <c r="F7" s="36"/>
      <c r="G7" s="5" t="s">
        <v>186</v>
      </c>
      <c r="H7" s="16">
        <v>36</v>
      </c>
      <c r="I7" s="17">
        <f t="shared" si="0"/>
        <v>36</v>
      </c>
    </row>
    <row r="8" spans="1:9" x14ac:dyDescent="0.25">
      <c r="A8" s="37"/>
      <c r="B8" s="34"/>
      <c r="C8" s="35"/>
      <c r="D8" s="35"/>
      <c r="E8" s="36"/>
      <c r="F8" s="36"/>
      <c r="G8" s="5" t="s">
        <v>61</v>
      </c>
      <c r="H8" s="16">
        <v>27</v>
      </c>
      <c r="I8" s="17">
        <f t="shared" si="0"/>
        <v>27</v>
      </c>
    </row>
    <row r="9" spans="1:9" x14ac:dyDescent="0.25">
      <c r="A9" s="37"/>
      <c r="B9" s="34"/>
      <c r="C9" s="35"/>
      <c r="D9" s="35"/>
      <c r="E9" s="36"/>
      <c r="F9" s="36"/>
      <c r="G9" s="5" t="s">
        <v>187</v>
      </c>
      <c r="H9" s="16">
        <v>29</v>
      </c>
      <c r="I9" s="17">
        <f t="shared" si="0"/>
        <v>29</v>
      </c>
    </row>
    <row r="10" spans="1:9" x14ac:dyDescent="0.25">
      <c r="A10" s="37"/>
      <c r="B10" s="34"/>
      <c r="C10" s="35"/>
      <c r="D10" s="35"/>
      <c r="E10" s="36"/>
      <c r="F10" s="36"/>
      <c r="G10" s="5" t="s">
        <v>121</v>
      </c>
      <c r="H10" s="16">
        <v>30.2</v>
      </c>
      <c r="I10" s="17">
        <f t="shared" si="0"/>
        <v>30.2</v>
      </c>
    </row>
    <row r="11" spans="1:9" x14ac:dyDescent="0.25">
      <c r="A11" s="37"/>
      <c r="B11" s="34"/>
      <c r="C11" s="35"/>
      <c r="D11" s="35"/>
      <c r="E11" s="36"/>
      <c r="F11" s="36"/>
      <c r="G11" s="5" t="s">
        <v>188</v>
      </c>
      <c r="H11" s="16">
        <v>100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89</v>
      </c>
      <c r="H12" s="16">
        <v>28</v>
      </c>
      <c r="I12" s="17">
        <f t="shared" si="0"/>
        <v>28</v>
      </c>
    </row>
    <row r="13" spans="1:9" x14ac:dyDescent="0.25">
      <c r="A13" s="37"/>
      <c r="B13" s="34"/>
      <c r="C13" s="35"/>
      <c r="D13" s="35"/>
      <c r="E13" s="36"/>
      <c r="F13" s="36"/>
      <c r="G13" s="5" t="s">
        <v>189</v>
      </c>
      <c r="H13" s="16">
        <v>31</v>
      </c>
      <c r="I13" s="17">
        <f t="shared" si="0"/>
        <v>31</v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22.285666000613695</v>
      </c>
      <c r="B20" s="8">
        <f>COUNT(H3:H17)</f>
        <v>11</v>
      </c>
      <c r="C20" s="9">
        <f>IF(B20&lt;2,"n/a",(A20/D20))</f>
        <v>0.64991735201556422</v>
      </c>
      <c r="D20" s="10">
        <f>IFERROR(ROUND(AVERAGE(H3:H17),2),"")</f>
        <v>34.29</v>
      </c>
      <c r="E20" s="15">
        <f>IFERROR(ROUND(IF(B20&lt;2,"n/a",(IF(C20&lt;=25%,"n/a",AVERAGE(I3:I17)))),2),"n/a")</f>
        <v>27.72</v>
      </c>
      <c r="F20" s="10">
        <f>IFERROR(ROUND(MEDIAN(H3:H17),2),"")</f>
        <v>29</v>
      </c>
      <c r="G20" s="11" t="str">
        <f>IFERROR(INDEX(G3:G17,MATCH(H20,H3:H17,0)),"")</f>
        <v>ACDF COMUNICACAO VISUAL E GRAFICA LTDA</v>
      </c>
      <c r="H20" s="12">
        <f>F3</f>
        <v>18</v>
      </c>
    </row>
    <row r="22" spans="1:9" x14ac:dyDescent="0.25">
      <c r="G22" s="13" t="s">
        <v>20</v>
      </c>
      <c r="H22" s="14">
        <f>IF(C20&lt;=25%,D20,MIN(E20:F20))</f>
        <v>27.72</v>
      </c>
    </row>
    <row r="23" spans="1:9" x14ac:dyDescent="0.25">
      <c r="G23" s="13" t="s">
        <v>6</v>
      </c>
      <c r="H23" s="14">
        <f>ROUND(H22,2)*D3</f>
        <v>13860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4" sqref="H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7</v>
      </c>
      <c r="B3" s="33" t="s">
        <v>136</v>
      </c>
      <c r="C3" s="35" t="s">
        <v>35</v>
      </c>
      <c r="D3" s="35">
        <v>500</v>
      </c>
      <c r="E3" s="36">
        <f>IF(C20&lt;=25%,D20,MIN(E20:F20))</f>
        <v>27.72</v>
      </c>
      <c r="F3" s="36">
        <f>MIN(H3:H17)</f>
        <v>18</v>
      </c>
      <c r="G3" s="5" t="s">
        <v>183</v>
      </c>
      <c r="H3" s="16">
        <v>30</v>
      </c>
      <c r="I3" s="17">
        <f>IF(H3="","",(IF($C$20&lt;25%,"n/a",IF(H3&lt;=($D$20+$A$20),H3,"Descartado"))))</f>
        <v>30</v>
      </c>
    </row>
    <row r="4" spans="1:9" x14ac:dyDescent="0.25">
      <c r="A4" s="37"/>
      <c r="B4" s="34"/>
      <c r="C4" s="35"/>
      <c r="D4" s="35"/>
      <c r="E4" s="36"/>
      <c r="F4" s="36"/>
      <c r="G4" s="5" t="s">
        <v>124</v>
      </c>
      <c r="H4" s="16">
        <v>18</v>
      </c>
      <c r="I4" s="17">
        <f t="shared" ref="I4:I17" si="0">IF(H4="","",(IF($C$20&lt;25%,"n/a",IF(H4&lt;=($D$20+$A$20),H4,"Descartado"))))</f>
        <v>18</v>
      </c>
    </row>
    <row r="5" spans="1:9" x14ac:dyDescent="0.25">
      <c r="A5" s="37"/>
      <c r="B5" s="34"/>
      <c r="C5" s="35"/>
      <c r="D5" s="35"/>
      <c r="E5" s="36"/>
      <c r="F5" s="36"/>
      <c r="G5" s="5" t="s">
        <v>184</v>
      </c>
      <c r="H5" s="16">
        <v>25</v>
      </c>
      <c r="I5" s="17">
        <f t="shared" si="0"/>
        <v>25</v>
      </c>
    </row>
    <row r="6" spans="1:9" x14ac:dyDescent="0.25">
      <c r="A6" s="37"/>
      <c r="B6" s="34"/>
      <c r="C6" s="35"/>
      <c r="D6" s="35"/>
      <c r="E6" s="36"/>
      <c r="F6" s="36"/>
      <c r="G6" s="5" t="s">
        <v>185</v>
      </c>
      <c r="H6" s="16">
        <v>23</v>
      </c>
      <c r="I6" s="17">
        <f t="shared" si="0"/>
        <v>23</v>
      </c>
    </row>
    <row r="7" spans="1:9" x14ac:dyDescent="0.25">
      <c r="A7" s="37"/>
      <c r="B7" s="34"/>
      <c r="C7" s="35"/>
      <c r="D7" s="35"/>
      <c r="E7" s="36"/>
      <c r="F7" s="36"/>
      <c r="G7" s="5" t="s">
        <v>186</v>
      </c>
      <c r="H7" s="16">
        <v>36</v>
      </c>
      <c r="I7" s="17">
        <f t="shared" si="0"/>
        <v>36</v>
      </c>
    </row>
    <row r="8" spans="1:9" x14ac:dyDescent="0.25">
      <c r="A8" s="37"/>
      <c r="B8" s="34"/>
      <c r="C8" s="35"/>
      <c r="D8" s="35"/>
      <c r="E8" s="36"/>
      <c r="F8" s="36"/>
      <c r="G8" s="5" t="s">
        <v>61</v>
      </c>
      <c r="H8" s="16">
        <v>27</v>
      </c>
      <c r="I8" s="17">
        <f t="shared" si="0"/>
        <v>27</v>
      </c>
    </row>
    <row r="9" spans="1:9" x14ac:dyDescent="0.25">
      <c r="A9" s="37"/>
      <c r="B9" s="34"/>
      <c r="C9" s="35"/>
      <c r="D9" s="35"/>
      <c r="E9" s="36"/>
      <c r="F9" s="36"/>
      <c r="G9" s="5" t="s">
        <v>187</v>
      </c>
      <c r="H9" s="16">
        <v>29</v>
      </c>
      <c r="I9" s="17">
        <f t="shared" si="0"/>
        <v>29</v>
      </c>
    </row>
    <row r="10" spans="1:9" x14ac:dyDescent="0.25">
      <c r="A10" s="37"/>
      <c r="B10" s="34"/>
      <c r="C10" s="35"/>
      <c r="D10" s="35"/>
      <c r="E10" s="36"/>
      <c r="F10" s="36"/>
      <c r="G10" s="5" t="s">
        <v>121</v>
      </c>
      <c r="H10" s="16">
        <v>30.2</v>
      </c>
      <c r="I10" s="17">
        <f t="shared" si="0"/>
        <v>30.2</v>
      </c>
    </row>
    <row r="11" spans="1:9" x14ac:dyDescent="0.25">
      <c r="A11" s="37"/>
      <c r="B11" s="34"/>
      <c r="C11" s="35"/>
      <c r="D11" s="35"/>
      <c r="E11" s="36"/>
      <c r="F11" s="36"/>
      <c r="G11" s="5" t="s">
        <v>188</v>
      </c>
      <c r="H11" s="16">
        <v>100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89</v>
      </c>
      <c r="H12" s="16">
        <v>28</v>
      </c>
      <c r="I12" s="17">
        <f t="shared" si="0"/>
        <v>28</v>
      </c>
    </row>
    <row r="13" spans="1:9" x14ac:dyDescent="0.25">
      <c r="A13" s="37"/>
      <c r="B13" s="34"/>
      <c r="C13" s="35"/>
      <c r="D13" s="35"/>
      <c r="E13" s="36"/>
      <c r="F13" s="36"/>
      <c r="G13" s="5" t="s">
        <v>189</v>
      </c>
      <c r="H13" s="16">
        <v>31</v>
      </c>
      <c r="I13" s="17">
        <f t="shared" si="0"/>
        <v>31</v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22.285666000613695</v>
      </c>
      <c r="B20" s="8">
        <f>COUNT(H3:H17)</f>
        <v>11</v>
      </c>
      <c r="C20" s="9">
        <f>IF(B20&lt;2,"n/a",(A20/D20))</f>
        <v>0.64991735201556422</v>
      </c>
      <c r="D20" s="10">
        <f>IFERROR(ROUND(AVERAGE(H3:H17),2),"")</f>
        <v>34.29</v>
      </c>
      <c r="E20" s="15">
        <f>IFERROR(ROUND(IF(B20&lt;2,"n/a",(IF(C20&lt;=25%,"n/a",AVERAGE(I3:I17)))),2),"n/a")</f>
        <v>27.72</v>
      </c>
      <c r="F20" s="10">
        <f>IFERROR(ROUND(MEDIAN(H3:H17),2),"")</f>
        <v>29</v>
      </c>
      <c r="G20" s="11" t="str">
        <f>IFERROR(INDEX(G3:G17,MATCH(H20,H3:H17,0)),"")</f>
        <v>ACDF COMUNICACAO VISUAL E GRAFICA LTDA</v>
      </c>
      <c r="H20" s="12">
        <f>F3</f>
        <v>18</v>
      </c>
    </row>
    <row r="22" spans="1:9" x14ac:dyDescent="0.25">
      <c r="G22" s="13" t="s">
        <v>20</v>
      </c>
      <c r="H22" s="14">
        <f>IF(C20&lt;=25%,D20,MIN(E20:F20))</f>
        <v>27.72</v>
      </c>
    </row>
    <row r="23" spans="1:9" x14ac:dyDescent="0.25">
      <c r="G23" s="13" t="s">
        <v>6</v>
      </c>
      <c r="H23" s="14">
        <f>ROUND(H22,2)*D3</f>
        <v>13860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8</v>
      </c>
      <c r="B3" s="33" t="s">
        <v>137</v>
      </c>
      <c r="C3" s="35" t="s">
        <v>35</v>
      </c>
      <c r="D3" s="35">
        <v>500</v>
      </c>
      <c r="E3" s="36">
        <f>IF(C20&lt;=25%,D20,MIN(E20:F20))</f>
        <v>32.67</v>
      </c>
      <c r="F3" s="36">
        <f>MIN(H3:H17)</f>
        <v>18.5</v>
      </c>
      <c r="G3" s="5" t="s">
        <v>240</v>
      </c>
      <c r="H3" s="16">
        <v>36.9</v>
      </c>
      <c r="I3" s="17">
        <f>IF(H3="","",(IF($C$20&lt;25%,"n/a",IF(H3&lt;=($D$20+$A$20),H3,"Descartado"))))</f>
        <v>36.9</v>
      </c>
    </row>
    <row r="4" spans="1:9" x14ac:dyDescent="0.25">
      <c r="A4" s="37"/>
      <c r="B4" s="34"/>
      <c r="C4" s="35"/>
      <c r="D4" s="35"/>
      <c r="E4" s="36"/>
      <c r="F4" s="36"/>
      <c r="G4" s="5" t="s">
        <v>49</v>
      </c>
      <c r="H4" s="16">
        <v>47.9</v>
      </c>
      <c r="I4" s="17">
        <f t="shared" ref="I4:I17" si="0">IF(H4="","",(IF($C$20&lt;25%,"n/a",IF(H4&lt;=($D$20+$A$20),H4,"Descartado"))))</f>
        <v>47.9</v>
      </c>
    </row>
    <row r="5" spans="1:9" x14ac:dyDescent="0.25">
      <c r="A5" s="37"/>
      <c r="B5" s="34"/>
      <c r="C5" s="35"/>
      <c r="D5" s="35"/>
      <c r="E5" s="36"/>
      <c r="F5" s="36"/>
      <c r="G5" s="5" t="s">
        <v>107</v>
      </c>
      <c r="H5" s="16">
        <v>34.299999999999997</v>
      </c>
      <c r="I5" s="17">
        <f t="shared" si="0"/>
        <v>34.299999999999997</v>
      </c>
    </row>
    <row r="6" spans="1:9" x14ac:dyDescent="0.25">
      <c r="A6" s="37"/>
      <c r="B6" s="34"/>
      <c r="C6" s="35"/>
      <c r="D6" s="35"/>
      <c r="E6" s="36"/>
      <c r="F6" s="36"/>
      <c r="G6" s="5" t="s">
        <v>46</v>
      </c>
      <c r="H6" s="16">
        <v>34.29</v>
      </c>
      <c r="I6" s="17">
        <f t="shared" si="0"/>
        <v>34.29</v>
      </c>
    </row>
    <row r="7" spans="1:9" x14ac:dyDescent="0.25">
      <c r="A7" s="37"/>
      <c r="B7" s="34"/>
      <c r="C7" s="35"/>
      <c r="D7" s="35"/>
      <c r="E7" s="36"/>
      <c r="F7" s="36"/>
      <c r="G7" s="5" t="s">
        <v>189</v>
      </c>
      <c r="H7" s="16">
        <v>28</v>
      </c>
      <c r="I7" s="17">
        <f t="shared" si="0"/>
        <v>28</v>
      </c>
    </row>
    <row r="8" spans="1:9" x14ac:dyDescent="0.25">
      <c r="A8" s="37"/>
      <c r="B8" s="34"/>
      <c r="C8" s="35"/>
      <c r="D8" s="35"/>
      <c r="E8" s="36"/>
      <c r="F8" s="36"/>
      <c r="G8" s="5" t="s">
        <v>235</v>
      </c>
      <c r="H8" s="16">
        <v>110.5</v>
      </c>
      <c r="I8" s="17" t="str">
        <f t="shared" si="0"/>
        <v>Descartado</v>
      </c>
    </row>
    <row r="9" spans="1:9" x14ac:dyDescent="0.25">
      <c r="A9" s="37"/>
      <c r="B9" s="34"/>
      <c r="C9" s="35"/>
      <c r="D9" s="35"/>
      <c r="E9" s="36"/>
      <c r="F9" s="36"/>
      <c r="G9" s="5" t="s">
        <v>105</v>
      </c>
      <c r="H9" s="16">
        <v>43</v>
      </c>
      <c r="I9" s="17">
        <f t="shared" si="0"/>
        <v>43</v>
      </c>
    </row>
    <row r="10" spans="1:9" x14ac:dyDescent="0.25">
      <c r="A10" s="37"/>
      <c r="B10" s="34"/>
      <c r="C10" s="35"/>
      <c r="D10" s="35"/>
      <c r="E10" s="36"/>
      <c r="F10" s="36"/>
      <c r="G10" s="5" t="s">
        <v>236</v>
      </c>
      <c r="H10" s="16">
        <v>33</v>
      </c>
      <c r="I10" s="17">
        <f t="shared" si="0"/>
        <v>33</v>
      </c>
    </row>
    <row r="11" spans="1:9" x14ac:dyDescent="0.25">
      <c r="A11" s="37"/>
      <c r="B11" s="34"/>
      <c r="C11" s="35"/>
      <c r="D11" s="35"/>
      <c r="E11" s="36"/>
      <c r="F11" s="36"/>
      <c r="G11" s="5" t="s">
        <v>110</v>
      </c>
      <c r="H11" s="16">
        <v>19.829999999999998</v>
      </c>
      <c r="I11" s="17">
        <f t="shared" si="0"/>
        <v>19.829999999999998</v>
      </c>
    </row>
    <row r="12" spans="1:9" x14ac:dyDescent="0.25">
      <c r="A12" s="37"/>
      <c r="B12" s="34"/>
      <c r="C12" s="35"/>
      <c r="D12" s="35"/>
      <c r="E12" s="36"/>
      <c r="F12" s="36"/>
      <c r="G12" s="5" t="s">
        <v>237</v>
      </c>
      <c r="H12" s="16">
        <v>36</v>
      </c>
      <c r="I12" s="17">
        <f t="shared" si="0"/>
        <v>36</v>
      </c>
    </row>
    <row r="13" spans="1:9" x14ac:dyDescent="0.25">
      <c r="A13" s="37"/>
      <c r="B13" s="34"/>
      <c r="C13" s="35"/>
      <c r="D13" s="35"/>
      <c r="E13" s="36"/>
      <c r="F13" s="36"/>
      <c r="G13" s="5" t="s">
        <v>61</v>
      </c>
      <c r="H13" s="16">
        <v>29</v>
      </c>
      <c r="I13" s="17">
        <f t="shared" si="0"/>
        <v>29</v>
      </c>
    </row>
    <row r="14" spans="1:9" x14ac:dyDescent="0.25">
      <c r="A14" s="37"/>
      <c r="B14" s="34"/>
      <c r="C14" s="35"/>
      <c r="D14" s="35"/>
      <c r="E14" s="36"/>
      <c r="F14" s="36"/>
      <c r="G14" s="5" t="s">
        <v>197</v>
      </c>
      <c r="H14" s="16">
        <v>104</v>
      </c>
      <c r="I14" s="17" t="str">
        <f t="shared" si="0"/>
        <v>Descartado</v>
      </c>
    </row>
    <row r="15" spans="1:9" x14ac:dyDescent="0.25">
      <c r="A15" s="37"/>
      <c r="B15" s="34"/>
      <c r="C15" s="35"/>
      <c r="D15" s="35"/>
      <c r="E15" s="36"/>
      <c r="F15" s="36"/>
      <c r="G15" s="5" t="s">
        <v>55</v>
      </c>
      <c r="H15" s="16">
        <v>31.3</v>
      </c>
      <c r="I15" s="17">
        <f t="shared" si="0"/>
        <v>31.3</v>
      </c>
    </row>
    <row r="16" spans="1:9" x14ac:dyDescent="0.25">
      <c r="A16" s="37"/>
      <c r="B16" s="34"/>
      <c r="C16" s="35"/>
      <c r="D16" s="35"/>
      <c r="E16" s="36"/>
      <c r="F16" s="36"/>
      <c r="G16" s="5" t="s">
        <v>99</v>
      </c>
      <c r="H16" s="16">
        <v>18.5</v>
      </c>
      <c r="I16" s="17">
        <f t="shared" si="0"/>
        <v>18.5</v>
      </c>
    </row>
    <row r="17" spans="1:9" x14ac:dyDescent="0.25">
      <c r="A17" s="37"/>
      <c r="B17" s="34"/>
      <c r="C17" s="35"/>
      <c r="D17" s="35"/>
      <c r="E17" s="36"/>
      <c r="F17" s="36"/>
      <c r="G17" s="5" t="s">
        <v>239</v>
      </c>
      <c r="H17" s="16">
        <v>91.6</v>
      </c>
      <c r="I17" s="17" t="str">
        <f t="shared" si="0"/>
        <v>Descartado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29.890105115397702</v>
      </c>
      <c r="B20" s="8">
        <f>COUNT(H3:H17)</f>
        <v>15</v>
      </c>
      <c r="C20" s="9">
        <f>IF(B20&lt;2,"n/a",(A20/D20))</f>
        <v>0.64224549023200905</v>
      </c>
      <c r="D20" s="10">
        <f>IFERROR(ROUND(AVERAGE(H3:H17),2),"")</f>
        <v>46.54</v>
      </c>
      <c r="E20" s="15">
        <f>IFERROR(ROUND(IF(B20&lt;2,"n/a",(IF(C20&lt;=25%,"n/a",AVERAGE(I3:I17)))),2),"n/a")</f>
        <v>32.67</v>
      </c>
      <c r="F20" s="10">
        <f>IFERROR(ROUND(MEDIAN(H3:H17),2),"")</f>
        <v>34.299999999999997</v>
      </c>
      <c r="G20" s="11" t="str">
        <f>IFERROR(INDEX(G3:G17,MATCH(H20,H3:H17,0)),"")</f>
        <v>MULTYGRAFHIC EDITORA LTDA</v>
      </c>
      <c r="H20" s="12">
        <f>F3</f>
        <v>18.5</v>
      </c>
    </row>
    <row r="22" spans="1:9" x14ac:dyDescent="0.25">
      <c r="G22" s="13" t="s">
        <v>20</v>
      </c>
      <c r="H22" s="14">
        <f>IF(C20&lt;=25%,D20,MIN(E20:F20))</f>
        <v>32.67</v>
      </c>
    </row>
    <row r="23" spans="1:9" x14ac:dyDescent="0.25">
      <c r="G23" s="13" t="s">
        <v>6</v>
      </c>
      <c r="H23" s="14">
        <f>ROUND(H22,2)*D3</f>
        <v>16335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9</v>
      </c>
      <c r="B3" s="33" t="s">
        <v>138</v>
      </c>
      <c r="C3" s="35" t="s">
        <v>35</v>
      </c>
      <c r="D3" s="35">
        <v>1000</v>
      </c>
      <c r="E3" s="36">
        <f>IF(C20&lt;=25%,D20,MIN(E20:F20))</f>
        <v>52.52</v>
      </c>
      <c r="F3" s="36">
        <f>MIN(H3:H17)</f>
        <v>42.063551566000001</v>
      </c>
      <c r="G3" s="5" t="s">
        <v>124</v>
      </c>
      <c r="H3" s="16">
        <v>42.063551566000001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64</v>
      </c>
      <c r="H4" s="16">
        <v>58.106299192000002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125</v>
      </c>
      <c r="H5" s="16">
        <v>58.126788013999999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126</v>
      </c>
      <c r="H6" s="16">
        <v>51.785497604999996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7.5833066001714045</v>
      </c>
      <c r="B20" s="8">
        <f>COUNT(H3:H17)</f>
        <v>4</v>
      </c>
      <c r="C20" s="9">
        <f>IF(B20&lt;2,"n/a",(A20/D20))</f>
        <v>0.14438892993471827</v>
      </c>
      <c r="D20" s="10">
        <f>IFERROR(ROUND(AVERAGE(H3:H17),2),"")</f>
        <v>52.52</v>
      </c>
      <c r="E20" s="15" t="str">
        <f>IFERROR(ROUND(IF(B20&lt;2,"n/a",(IF(C20&lt;=25%,"n/a",AVERAGE(I3:I17)))),2),"n/a")</f>
        <v>n/a</v>
      </c>
      <c r="F20" s="10">
        <f>IFERROR(ROUND(MEDIAN(H3:H17),2),"")</f>
        <v>54.95</v>
      </c>
      <c r="G20" s="11" t="str">
        <f>IFERROR(INDEX(G3:G17,MATCH(H20,H3:H17,0)),"")</f>
        <v>ACDF COMUNICACAO VISUAL E GRAFICA LTDA</v>
      </c>
      <c r="H20" s="12">
        <f>F3</f>
        <v>42.063551566000001</v>
      </c>
    </row>
    <row r="22" spans="1:9" x14ac:dyDescent="0.25">
      <c r="G22" s="13" t="s">
        <v>20</v>
      </c>
      <c r="H22" s="14">
        <f>IF(C20&lt;=25%,D20,MIN(E20:F20))</f>
        <v>52.52</v>
      </c>
    </row>
    <row r="23" spans="1:9" x14ac:dyDescent="0.25">
      <c r="G23" s="13" t="s">
        <v>6</v>
      </c>
      <c r="H23" s="14">
        <f>ROUND(H22,2)*D3</f>
        <v>52520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56</vt:i4>
      </vt:variant>
      <vt:variant>
        <vt:lpstr>Intervalos nomeados</vt:lpstr>
      </vt:variant>
      <vt:variant>
        <vt:i4>2</vt:i4>
      </vt:variant>
    </vt:vector>
  </HeadingPairs>
  <TitlesOfParts>
    <vt:vector size="5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Item51</vt:lpstr>
      <vt:lpstr>Item52</vt:lpstr>
      <vt:lpstr>Item53</vt:lpstr>
      <vt:lpstr>Item54</vt:lpstr>
      <vt:lpstr>Item55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2024-05-14T17:17:27Z</cp:lastPrinted>
  <dcterms:created xsi:type="dcterms:W3CDTF">2023-11-07T17:10:34Z</dcterms:created>
  <dcterms:modified xsi:type="dcterms:W3CDTF">2025-01-31T16:40:57Z</dcterms:modified>
</cp:coreProperties>
</file>