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2995" windowHeight="10035" firstSheet="10" activeTab="14"/>
  </bookViews>
  <sheets>
    <sheet name="auxtecop" sheetId="1" r:id="rId1"/>
    <sheet name="coordadm" sheetId="2" r:id="rId2"/>
    <sheet name="copeiro" sheetId="3" r:id="rId3"/>
    <sheet name="garcom" sheetId="4" r:id="rId4"/>
    <sheet name="maitre" sheetId="5" r:id="rId5"/>
    <sheet name="mensag" sheetId="6" r:id="rId6"/>
    <sheet name="recep1" sheetId="7" r:id="rId7"/>
    <sheet name="recep3" sheetId="8" r:id="rId8"/>
    <sheet name="recep4" sheetId="9" r:id="rId9"/>
    <sheet name="copeiroad" sheetId="10" r:id="rId10"/>
    <sheet name="garcomad" sheetId="11" r:id="rId11"/>
    <sheet name="mensagad" sheetId="12" r:id="rId12"/>
    <sheet name="recep1ad" sheetId="13" r:id="rId13"/>
    <sheet name="recep3ad" sheetId="14" r:id="rId14"/>
    <sheet name="horaextra" sheetId="15" r:id="rId15"/>
    <sheet name="diarias" sheetId="16" r:id="rId16"/>
    <sheet name="total" sheetId="17" r:id="rId17"/>
  </sheets>
  <definedNames>
    <definedName name="_xlnm.Print_Titles" localSheetId="14">horaextra!$1:$13</definedName>
  </definedNames>
  <calcPr calcId="145621"/>
</workbook>
</file>

<file path=xl/calcChain.xml><?xml version="1.0" encoding="utf-8"?>
<calcChain xmlns="http://schemas.openxmlformats.org/spreadsheetml/2006/main">
  <c r="D22" i="17" l="1"/>
  <c r="D21" i="17"/>
  <c r="D20" i="17"/>
  <c r="D19" i="17"/>
  <c r="D18" i="17"/>
  <c r="B22" i="17"/>
  <c r="B21" i="17"/>
  <c r="B20" i="17"/>
  <c r="B19" i="17"/>
  <c r="B18" i="17"/>
  <c r="D10" i="17"/>
  <c r="D7" i="17"/>
  <c r="D13" i="17"/>
  <c r="D12" i="17"/>
  <c r="D11" i="17"/>
  <c r="D9" i="17"/>
  <c r="D8" i="17"/>
  <c r="D6" i="17"/>
  <c r="D5" i="17"/>
  <c r="B13" i="17"/>
  <c r="B12" i="17"/>
  <c r="B11" i="17"/>
  <c r="B10" i="17"/>
  <c r="B9" i="17"/>
  <c r="B8" i="17"/>
  <c r="B7" i="17"/>
  <c r="B6" i="17"/>
  <c r="B5" i="17"/>
  <c r="C5" i="16"/>
  <c r="C4" i="16"/>
  <c r="D69" i="15"/>
  <c r="F69" i="15"/>
  <c r="H69" i="15"/>
  <c r="J69" i="15"/>
  <c r="L69" i="15"/>
  <c r="N69" i="15"/>
  <c r="P69" i="15"/>
  <c r="R69" i="15"/>
  <c r="B69" i="15"/>
  <c r="E34" i="15"/>
  <c r="G34" i="15"/>
  <c r="I34" i="15"/>
  <c r="K34" i="15"/>
  <c r="M34" i="15"/>
  <c r="O34" i="15"/>
  <c r="Q34" i="15"/>
  <c r="S34" i="15"/>
  <c r="D37" i="15"/>
  <c r="F37" i="15"/>
  <c r="H37" i="15"/>
  <c r="J37" i="15"/>
  <c r="L37" i="15"/>
  <c r="N37" i="15"/>
  <c r="P37" i="15"/>
  <c r="R37" i="15"/>
  <c r="D38" i="15"/>
  <c r="F38" i="15"/>
  <c r="H38" i="15"/>
  <c r="J38" i="15"/>
  <c r="L38" i="15"/>
  <c r="N38" i="15"/>
  <c r="P38" i="15"/>
  <c r="R38" i="15"/>
  <c r="E41" i="15"/>
  <c r="G41" i="15"/>
  <c r="I41" i="15"/>
  <c r="K41" i="15"/>
  <c r="M41" i="15"/>
  <c r="O41" i="15"/>
  <c r="Q41" i="15"/>
  <c r="S41" i="15"/>
  <c r="D44" i="15"/>
  <c r="F44" i="15"/>
  <c r="H44" i="15"/>
  <c r="J44" i="15"/>
  <c r="L44" i="15"/>
  <c r="N44" i="15"/>
  <c r="P44" i="15"/>
  <c r="R44" i="15"/>
  <c r="D45" i="15"/>
  <c r="F45" i="15"/>
  <c r="H45" i="15"/>
  <c r="J45" i="15"/>
  <c r="L45" i="15"/>
  <c r="N45" i="15"/>
  <c r="P45" i="15"/>
  <c r="R45" i="15"/>
  <c r="E55" i="15"/>
  <c r="G55" i="15"/>
  <c r="I55" i="15"/>
  <c r="K55" i="15"/>
  <c r="M55" i="15"/>
  <c r="O55" i="15"/>
  <c r="Q55" i="15"/>
  <c r="S55" i="15"/>
  <c r="D58" i="15"/>
  <c r="F58" i="15"/>
  <c r="H58" i="15"/>
  <c r="J58" i="15"/>
  <c r="L58" i="15"/>
  <c r="N58" i="15"/>
  <c r="P58" i="15"/>
  <c r="R58" i="15"/>
  <c r="D59" i="15"/>
  <c r="F59" i="15"/>
  <c r="H59" i="15"/>
  <c r="J59" i="15"/>
  <c r="L59" i="15"/>
  <c r="N59" i="15"/>
  <c r="P59" i="15"/>
  <c r="R59" i="15"/>
  <c r="E62" i="15"/>
  <c r="G62" i="15"/>
  <c r="I62" i="15"/>
  <c r="K62" i="15"/>
  <c r="M62" i="15"/>
  <c r="O62" i="15"/>
  <c r="Q62" i="15"/>
  <c r="S62" i="15"/>
  <c r="D65" i="15"/>
  <c r="F65" i="15"/>
  <c r="H65" i="15"/>
  <c r="J65" i="15"/>
  <c r="L65" i="15"/>
  <c r="N65" i="15"/>
  <c r="P65" i="15"/>
  <c r="R65" i="15"/>
  <c r="D66" i="15"/>
  <c r="F66" i="15"/>
  <c r="H66" i="15"/>
  <c r="J66" i="15"/>
  <c r="L66" i="15"/>
  <c r="N66" i="15"/>
  <c r="P66" i="15"/>
  <c r="R66" i="15"/>
  <c r="B66" i="15"/>
  <c r="B65" i="15"/>
  <c r="C62" i="15"/>
  <c r="B59" i="15"/>
  <c r="B58" i="15"/>
  <c r="C55" i="15"/>
  <c r="B45" i="15"/>
  <c r="B44" i="15"/>
  <c r="C41" i="15"/>
  <c r="B38" i="15"/>
  <c r="B37" i="15"/>
  <c r="C34" i="15"/>
  <c r="R20" i="15"/>
  <c r="R18" i="15"/>
  <c r="S16" i="15"/>
  <c r="S17" i="15" s="1"/>
  <c r="P20" i="15"/>
  <c r="P18" i="15"/>
  <c r="Q16" i="15"/>
  <c r="Q17" i="15" s="1"/>
  <c r="N22" i="15"/>
  <c r="N42" i="15" s="1"/>
  <c r="O42" i="15" s="1"/>
  <c r="O43" i="15" s="1"/>
  <c r="N20" i="15"/>
  <c r="N18" i="15"/>
  <c r="O16" i="15"/>
  <c r="O17" i="15" s="1"/>
  <c r="L20" i="15"/>
  <c r="L18" i="15"/>
  <c r="M16" i="15"/>
  <c r="M17" i="15" s="1"/>
  <c r="J20" i="15"/>
  <c r="J18" i="15"/>
  <c r="K16" i="15"/>
  <c r="K17" i="15" s="1"/>
  <c r="H20" i="15"/>
  <c r="H18" i="15"/>
  <c r="I16" i="15"/>
  <c r="I17" i="15" s="1"/>
  <c r="F20" i="15"/>
  <c r="F18" i="15"/>
  <c r="G16" i="15"/>
  <c r="G17" i="15" s="1"/>
  <c r="D20" i="15"/>
  <c r="D18" i="15"/>
  <c r="E16" i="15"/>
  <c r="E17" i="15" s="1"/>
  <c r="B20" i="15"/>
  <c r="B18" i="15"/>
  <c r="C16" i="15"/>
  <c r="C17" i="15" s="1"/>
  <c r="R15" i="15"/>
  <c r="R27" i="15" s="1"/>
  <c r="P15" i="15"/>
  <c r="P27" i="15" s="1"/>
  <c r="N15" i="15"/>
  <c r="N27" i="15" s="1"/>
  <c r="L15" i="15"/>
  <c r="L27" i="15" s="1"/>
  <c r="J15" i="15"/>
  <c r="J27" i="15" s="1"/>
  <c r="H15" i="15"/>
  <c r="H27" i="15" s="1"/>
  <c r="F15" i="15"/>
  <c r="F27" i="15" s="1"/>
  <c r="D15" i="15"/>
  <c r="D27" i="15" s="1"/>
  <c r="B15" i="15"/>
  <c r="B27" i="15" s="1"/>
  <c r="C95" i="14"/>
  <c r="C94" i="14"/>
  <c r="C93" i="14"/>
  <c r="C92" i="14"/>
  <c r="C91" i="14"/>
  <c r="C81" i="14"/>
  <c r="D81" i="14" s="1"/>
  <c r="C80" i="14"/>
  <c r="D79" i="14"/>
  <c r="D80" i="14" s="1"/>
  <c r="C79" i="14"/>
  <c r="C78" i="14"/>
  <c r="D78" i="14" s="1"/>
  <c r="C76" i="14"/>
  <c r="D76" i="14" s="1"/>
  <c r="C130" i="14"/>
  <c r="C137" i="14" s="1"/>
  <c r="D122" i="14"/>
  <c r="D147" i="14" s="1"/>
  <c r="D57" i="14"/>
  <c r="D61" i="14" s="1"/>
  <c r="D69" i="14" s="1"/>
  <c r="D56" i="14"/>
  <c r="C50" i="14"/>
  <c r="C35" i="14"/>
  <c r="D34" i="14"/>
  <c r="C34" i="14"/>
  <c r="C36" i="14" s="1"/>
  <c r="D26" i="14"/>
  <c r="C95" i="13"/>
  <c r="C94" i="13"/>
  <c r="C93" i="13"/>
  <c r="C92" i="13"/>
  <c r="C91" i="13"/>
  <c r="C81" i="13"/>
  <c r="D81" i="13" s="1"/>
  <c r="C80" i="13"/>
  <c r="D79" i="13"/>
  <c r="D80" i="13" s="1"/>
  <c r="C79" i="13"/>
  <c r="C78" i="13"/>
  <c r="D78" i="13" s="1"/>
  <c r="C76" i="13"/>
  <c r="D76" i="13" s="1"/>
  <c r="C130" i="13"/>
  <c r="C137" i="13" s="1"/>
  <c r="D122" i="13"/>
  <c r="D147" i="13" s="1"/>
  <c r="D57" i="13"/>
  <c r="D56" i="13"/>
  <c r="D61" i="13" s="1"/>
  <c r="D69" i="13" s="1"/>
  <c r="C50" i="13"/>
  <c r="C35" i="13"/>
  <c r="C36" i="13" s="1"/>
  <c r="C34" i="13"/>
  <c r="D26" i="13"/>
  <c r="C95" i="12"/>
  <c r="C94" i="12"/>
  <c r="C93" i="12"/>
  <c r="C92" i="12"/>
  <c r="C91" i="12"/>
  <c r="C81" i="12"/>
  <c r="D81" i="12" s="1"/>
  <c r="C80" i="12"/>
  <c r="C79" i="12"/>
  <c r="D79" i="12" s="1"/>
  <c r="D80" i="12" s="1"/>
  <c r="C78" i="12"/>
  <c r="D78" i="12" s="1"/>
  <c r="D77" i="12"/>
  <c r="D76" i="12"/>
  <c r="C76" i="12"/>
  <c r="C137" i="12"/>
  <c r="C130" i="12"/>
  <c r="D122" i="12"/>
  <c r="D147" i="12" s="1"/>
  <c r="D57" i="12"/>
  <c r="D56" i="12"/>
  <c r="D61" i="12" s="1"/>
  <c r="D69" i="12" s="1"/>
  <c r="C50" i="12"/>
  <c r="C35" i="12"/>
  <c r="C36" i="12" s="1"/>
  <c r="C34" i="12"/>
  <c r="D26" i="12"/>
  <c r="C95" i="11"/>
  <c r="C94" i="11"/>
  <c r="C93" i="11"/>
  <c r="C92" i="11"/>
  <c r="C91" i="11"/>
  <c r="C81" i="11"/>
  <c r="D81" i="11" s="1"/>
  <c r="C80" i="11"/>
  <c r="C79" i="11"/>
  <c r="D79" i="11" s="1"/>
  <c r="D80" i="11" s="1"/>
  <c r="C78" i="11"/>
  <c r="D78" i="11" s="1"/>
  <c r="D77" i="11"/>
  <c r="D82" i="11" s="1"/>
  <c r="D76" i="11"/>
  <c r="C76" i="11"/>
  <c r="C137" i="11"/>
  <c r="C130" i="11"/>
  <c r="D122" i="11"/>
  <c r="D147" i="11" s="1"/>
  <c r="D57" i="11"/>
  <c r="D56" i="11"/>
  <c r="D61" i="11" s="1"/>
  <c r="D69" i="11" s="1"/>
  <c r="C50" i="11"/>
  <c r="C36" i="11"/>
  <c r="D35" i="11"/>
  <c r="C35" i="11"/>
  <c r="C34" i="11"/>
  <c r="D26" i="11"/>
  <c r="C95" i="10"/>
  <c r="C94" i="10"/>
  <c r="C93" i="10"/>
  <c r="C91" i="10"/>
  <c r="C81" i="10"/>
  <c r="C79" i="10"/>
  <c r="C78" i="10"/>
  <c r="D78" i="10" s="1"/>
  <c r="C76" i="10"/>
  <c r="C137" i="10"/>
  <c r="C130" i="10"/>
  <c r="D122" i="10"/>
  <c r="D147" i="10" s="1"/>
  <c r="C92" i="10"/>
  <c r="D81" i="10"/>
  <c r="D57" i="10"/>
  <c r="D56" i="10"/>
  <c r="D61" i="10" s="1"/>
  <c r="D69" i="10" s="1"/>
  <c r="C50" i="10"/>
  <c r="C80" i="10" s="1"/>
  <c r="C35" i="10"/>
  <c r="D35" i="10" s="1"/>
  <c r="C34" i="10"/>
  <c r="D26" i="10"/>
  <c r="C130" i="9"/>
  <c r="C137" i="9" s="1"/>
  <c r="R22" i="15" s="1"/>
  <c r="R35" i="15" s="1"/>
  <c r="D122" i="9"/>
  <c r="D147" i="9" s="1"/>
  <c r="C95" i="9"/>
  <c r="C94" i="9"/>
  <c r="C93" i="9"/>
  <c r="C92" i="9"/>
  <c r="C91" i="9"/>
  <c r="C81" i="9"/>
  <c r="C79" i="9"/>
  <c r="C78" i="9"/>
  <c r="C76" i="9"/>
  <c r="D57" i="9"/>
  <c r="D56" i="9"/>
  <c r="D61" i="9" s="1"/>
  <c r="D69" i="9" s="1"/>
  <c r="C50" i="9"/>
  <c r="C80" i="9" s="1"/>
  <c r="C35" i="9"/>
  <c r="C36" i="9" s="1"/>
  <c r="C34" i="9"/>
  <c r="D26" i="9"/>
  <c r="D147" i="8"/>
  <c r="C137" i="8"/>
  <c r="P22" i="15" s="1"/>
  <c r="P35" i="15" s="1"/>
  <c r="C130" i="8"/>
  <c r="D122" i="8"/>
  <c r="C95" i="8"/>
  <c r="C94" i="8"/>
  <c r="C93" i="8"/>
  <c r="C92" i="8"/>
  <c r="C91" i="8"/>
  <c r="C81" i="8"/>
  <c r="C79" i="8"/>
  <c r="C78" i="8"/>
  <c r="C76" i="8"/>
  <c r="D57" i="8"/>
  <c r="D56" i="8"/>
  <c r="C50" i="8"/>
  <c r="C80" i="8" s="1"/>
  <c r="C35" i="8"/>
  <c r="C34" i="8"/>
  <c r="C36" i="8" s="1"/>
  <c r="D26" i="8"/>
  <c r="C130" i="7"/>
  <c r="C137" i="7" s="1"/>
  <c r="D122" i="7"/>
  <c r="D147" i="7" s="1"/>
  <c r="C95" i="7"/>
  <c r="C94" i="7"/>
  <c r="C93" i="7"/>
  <c r="C92" i="7"/>
  <c r="C91" i="7"/>
  <c r="C81" i="7"/>
  <c r="C79" i="7"/>
  <c r="C78" i="7"/>
  <c r="C76" i="7"/>
  <c r="D57" i="7"/>
  <c r="D56" i="7"/>
  <c r="D61" i="7" s="1"/>
  <c r="D69" i="7" s="1"/>
  <c r="C50" i="7"/>
  <c r="C80" i="7" s="1"/>
  <c r="C36" i="7"/>
  <c r="C35" i="7"/>
  <c r="C34" i="7"/>
  <c r="D26" i="7"/>
  <c r="C130" i="6"/>
  <c r="C137" i="6" s="1"/>
  <c r="L22" i="15" s="1"/>
  <c r="L56" i="15" s="1"/>
  <c r="D122" i="6"/>
  <c r="D147" i="6" s="1"/>
  <c r="C95" i="6"/>
  <c r="C94" i="6"/>
  <c r="C93" i="6"/>
  <c r="C92" i="6"/>
  <c r="C91" i="6"/>
  <c r="C81" i="6"/>
  <c r="C79" i="6"/>
  <c r="C78" i="6"/>
  <c r="C76" i="6"/>
  <c r="D57" i="6"/>
  <c r="D56" i="6"/>
  <c r="D61" i="6" s="1"/>
  <c r="D69" i="6" s="1"/>
  <c r="C50" i="6"/>
  <c r="C80" i="6" s="1"/>
  <c r="C36" i="6"/>
  <c r="C35" i="6"/>
  <c r="C34" i="6"/>
  <c r="D26" i="6"/>
  <c r="C137" i="5"/>
  <c r="J22" i="15" s="1"/>
  <c r="J35" i="15" s="1"/>
  <c r="K35" i="15" s="1"/>
  <c r="K36" i="15" s="1"/>
  <c r="C130" i="5"/>
  <c r="D122" i="5"/>
  <c r="D147" i="5" s="1"/>
  <c r="C95" i="5"/>
  <c r="C94" i="5"/>
  <c r="C93" i="5"/>
  <c r="C92" i="5"/>
  <c r="C91" i="5"/>
  <c r="C81" i="5"/>
  <c r="C80" i="5"/>
  <c r="C79" i="5"/>
  <c r="C78" i="5"/>
  <c r="C76" i="5"/>
  <c r="D57" i="5"/>
  <c r="D56" i="5"/>
  <c r="D61" i="5" s="1"/>
  <c r="D69" i="5" s="1"/>
  <c r="C50" i="5"/>
  <c r="C36" i="5"/>
  <c r="C35" i="5"/>
  <c r="C34" i="5"/>
  <c r="D26" i="5"/>
  <c r="C130" i="4"/>
  <c r="C137" i="4" s="1"/>
  <c r="H22" i="15" s="1"/>
  <c r="H63" i="15" s="1"/>
  <c r="D122" i="4"/>
  <c r="D147" i="4" s="1"/>
  <c r="C95" i="4"/>
  <c r="C94" i="4"/>
  <c r="C93" i="4"/>
  <c r="C92" i="4"/>
  <c r="C91" i="4"/>
  <c r="C81" i="4"/>
  <c r="C79" i="4"/>
  <c r="C78" i="4"/>
  <c r="C76" i="4"/>
  <c r="D57" i="4"/>
  <c r="D56" i="4"/>
  <c r="D61" i="4" s="1"/>
  <c r="D69" i="4" s="1"/>
  <c r="C50" i="4"/>
  <c r="C80" i="4" s="1"/>
  <c r="C35" i="4"/>
  <c r="C34" i="4"/>
  <c r="C36" i="4" s="1"/>
  <c r="D26" i="4"/>
  <c r="D34" i="4" s="1"/>
  <c r="D122" i="1"/>
  <c r="D122" i="2"/>
  <c r="D122" i="3"/>
  <c r="D147" i="3"/>
  <c r="C137" i="3"/>
  <c r="F22" i="15" s="1"/>
  <c r="F63" i="15" s="1"/>
  <c r="G63" i="15" s="1"/>
  <c r="G64" i="15" s="1"/>
  <c r="C130" i="3"/>
  <c r="C95" i="3"/>
  <c r="C94" i="3"/>
  <c r="C93" i="3"/>
  <c r="C92" i="3"/>
  <c r="C91" i="3"/>
  <c r="C81" i="3"/>
  <c r="C79" i="3"/>
  <c r="C78" i="3"/>
  <c r="C76" i="3"/>
  <c r="D57" i="3"/>
  <c r="D56" i="3"/>
  <c r="C50" i="3"/>
  <c r="C80" i="3" s="1"/>
  <c r="C35" i="3"/>
  <c r="C34" i="3"/>
  <c r="C36" i="3" s="1"/>
  <c r="D26" i="3"/>
  <c r="D143" i="3" s="1"/>
  <c r="D147" i="2"/>
  <c r="C130" i="2"/>
  <c r="C137" i="2" s="1"/>
  <c r="D22" i="15" s="1"/>
  <c r="D35" i="15" s="1"/>
  <c r="C95" i="2"/>
  <c r="C94" i="2"/>
  <c r="C93" i="2"/>
  <c r="C92" i="2"/>
  <c r="C91" i="2"/>
  <c r="C81" i="2"/>
  <c r="C79" i="2"/>
  <c r="C78" i="2"/>
  <c r="C76" i="2"/>
  <c r="D57" i="2"/>
  <c r="D56" i="2"/>
  <c r="D61" i="2" s="1"/>
  <c r="D69" i="2" s="1"/>
  <c r="C50" i="2"/>
  <c r="C80" i="2" s="1"/>
  <c r="C36" i="2"/>
  <c r="C35" i="2"/>
  <c r="C34" i="2"/>
  <c r="D26" i="2"/>
  <c r="D143" i="2" s="1"/>
  <c r="D103" i="1"/>
  <c r="D61" i="1"/>
  <c r="D57" i="1"/>
  <c r="D56" i="1"/>
  <c r="S35" i="15" l="1"/>
  <c r="S36" i="15" s="1"/>
  <c r="S38" i="15" s="1"/>
  <c r="P42" i="15"/>
  <c r="Q42" i="15" s="1"/>
  <c r="Q43" i="15" s="1"/>
  <c r="Q45" i="15" s="1"/>
  <c r="N48" i="15"/>
  <c r="L48" i="15"/>
  <c r="J48" i="15"/>
  <c r="B48" i="15"/>
  <c r="H48" i="15"/>
  <c r="J63" i="15"/>
  <c r="K63" i="15" s="1"/>
  <c r="K64" i="15" s="1"/>
  <c r="K65" i="15" s="1"/>
  <c r="R48" i="15"/>
  <c r="F48" i="15"/>
  <c r="P56" i="15"/>
  <c r="Q56" i="15" s="1"/>
  <c r="Q57" i="15" s="1"/>
  <c r="Q59" i="15" s="1"/>
  <c r="P48" i="15"/>
  <c r="D48" i="15"/>
  <c r="D56" i="15"/>
  <c r="E56" i="15" s="1"/>
  <c r="E57" i="15" s="1"/>
  <c r="E58" i="15" s="1"/>
  <c r="J42" i="15"/>
  <c r="D42" i="15"/>
  <c r="E42" i="15" s="1"/>
  <c r="E43" i="15" s="1"/>
  <c r="J56" i="15"/>
  <c r="K56" i="15" s="1"/>
  <c r="K57" i="15" s="1"/>
  <c r="K59" i="15" s="1"/>
  <c r="P63" i="15"/>
  <c r="Q63" i="15" s="1"/>
  <c r="Q64" i="15" s="1"/>
  <c r="D63" i="15"/>
  <c r="E63" i="15" s="1"/>
  <c r="E64" i="15" s="1"/>
  <c r="I63" i="15"/>
  <c r="I64" i="15" s="1"/>
  <c r="I66" i="15" s="1"/>
  <c r="H56" i="15"/>
  <c r="I56" i="15" s="1"/>
  <c r="I57" i="15" s="1"/>
  <c r="I58" i="15" s="1"/>
  <c r="M56" i="15"/>
  <c r="M57" i="15" s="1"/>
  <c r="M58" i="15" s="1"/>
  <c r="L42" i="15"/>
  <c r="M42" i="15" s="1"/>
  <c r="M43" i="15" s="1"/>
  <c r="H35" i="15"/>
  <c r="N63" i="15"/>
  <c r="O63" i="15" s="1"/>
  <c r="O64" i="15" s="1"/>
  <c r="O65" i="15" s="1"/>
  <c r="R56" i="15"/>
  <c r="S56" i="15" s="1"/>
  <c r="S57" i="15" s="1"/>
  <c r="S58" i="15" s="1"/>
  <c r="F56" i="15"/>
  <c r="G56" i="15" s="1"/>
  <c r="G57" i="15" s="1"/>
  <c r="G59" i="15" s="1"/>
  <c r="K42" i="15"/>
  <c r="K43" i="15" s="1"/>
  <c r="K45" i="15" s="1"/>
  <c r="F35" i="15"/>
  <c r="G35" i="15" s="1"/>
  <c r="G36" i="15" s="1"/>
  <c r="G37" i="15" s="1"/>
  <c r="L63" i="15"/>
  <c r="M63" i="15" s="1"/>
  <c r="M64" i="15" s="1"/>
  <c r="H42" i="15"/>
  <c r="I42" i="15" s="1"/>
  <c r="I43" i="15" s="1"/>
  <c r="I44" i="15" s="1"/>
  <c r="N35" i="15"/>
  <c r="N56" i="15"/>
  <c r="O56" i="15" s="1"/>
  <c r="O57" i="15" s="1"/>
  <c r="R42" i="15"/>
  <c r="S42" i="15" s="1"/>
  <c r="S43" i="15" s="1"/>
  <c r="F42" i="15"/>
  <c r="G42" i="15" s="1"/>
  <c r="G43" i="15" s="1"/>
  <c r="L35" i="15"/>
  <c r="Q35" i="15"/>
  <c r="Q36" i="15" s="1"/>
  <c r="Q38" i="15" s="1"/>
  <c r="E35" i="15"/>
  <c r="E36" i="15" s="1"/>
  <c r="E37" i="15" s="1"/>
  <c r="R63" i="15"/>
  <c r="S63" i="15" s="1"/>
  <c r="S64" i="15" s="1"/>
  <c r="S65" i="15" s="1"/>
  <c r="G66" i="15"/>
  <c r="G65" i="15"/>
  <c r="O45" i="15"/>
  <c r="O44" i="15"/>
  <c r="S37" i="15"/>
  <c r="K38" i="15"/>
  <c r="K37" i="15"/>
  <c r="C18" i="15"/>
  <c r="C19" i="15" s="1"/>
  <c r="S18" i="15"/>
  <c r="S19" i="15" s="1"/>
  <c r="Q18" i="15"/>
  <c r="Q19" i="15" s="1"/>
  <c r="O18" i="15"/>
  <c r="O19" i="15" s="1"/>
  <c r="M18" i="15"/>
  <c r="M19" i="15" s="1"/>
  <c r="M20" i="15" s="1"/>
  <c r="M21" i="15" s="1"/>
  <c r="K18" i="15"/>
  <c r="K19" i="15" s="1"/>
  <c r="I18" i="15"/>
  <c r="I19" i="15" s="1"/>
  <c r="I20" i="15" s="1"/>
  <c r="I21" i="15" s="1"/>
  <c r="G18" i="15"/>
  <c r="G19" i="15" s="1"/>
  <c r="E18" i="15"/>
  <c r="E19" i="15" s="1"/>
  <c r="D77" i="14"/>
  <c r="D82" i="14" s="1"/>
  <c r="D36" i="14"/>
  <c r="D35" i="14"/>
  <c r="D46" i="14"/>
  <c r="D143" i="14"/>
  <c r="D42" i="14"/>
  <c r="D77" i="13"/>
  <c r="D82" i="13" s="1"/>
  <c r="D34" i="13"/>
  <c r="D36" i="13" s="1"/>
  <c r="D67" i="13" s="1"/>
  <c r="D49" i="13"/>
  <c r="D35" i="13"/>
  <c r="D143" i="13"/>
  <c r="D82" i="12"/>
  <c r="D35" i="12"/>
  <c r="D143" i="12"/>
  <c r="D34" i="12"/>
  <c r="D36" i="12" s="1"/>
  <c r="D94" i="11"/>
  <c r="D91" i="11"/>
  <c r="D93" i="11"/>
  <c r="D95" i="11"/>
  <c r="D96" i="11"/>
  <c r="D92" i="11"/>
  <c r="D143" i="11"/>
  <c r="D34" i="11"/>
  <c r="D36" i="11" s="1"/>
  <c r="D43" i="11"/>
  <c r="D49" i="11"/>
  <c r="C36" i="10"/>
  <c r="D34" i="10"/>
  <c r="D36" i="10" s="1"/>
  <c r="D79" i="10"/>
  <c r="D80" i="10" s="1"/>
  <c r="D143" i="10"/>
  <c r="D76" i="10"/>
  <c r="D79" i="9"/>
  <c r="D80" i="9" s="1"/>
  <c r="D143" i="9"/>
  <c r="D34" i="9"/>
  <c r="D35" i="9"/>
  <c r="D78" i="9"/>
  <c r="D81" i="9"/>
  <c r="D76" i="9"/>
  <c r="D61" i="8"/>
  <c r="D69" i="8" s="1"/>
  <c r="D79" i="8"/>
  <c r="D80" i="8" s="1"/>
  <c r="D143" i="8"/>
  <c r="D76" i="8"/>
  <c r="D34" i="8"/>
  <c r="D35" i="8"/>
  <c r="D78" i="8"/>
  <c r="D81" i="8"/>
  <c r="D79" i="7"/>
  <c r="D80" i="7" s="1"/>
  <c r="D76" i="7"/>
  <c r="D34" i="7"/>
  <c r="D35" i="7"/>
  <c r="D78" i="7"/>
  <c r="D81" i="7"/>
  <c r="D143" i="7"/>
  <c r="D34" i="6"/>
  <c r="D36" i="6" s="1"/>
  <c r="D43" i="6" s="1"/>
  <c r="D35" i="6"/>
  <c r="D78" i="6"/>
  <c r="D81" i="6"/>
  <c r="D143" i="6"/>
  <c r="D79" i="6"/>
  <c r="D80" i="6" s="1"/>
  <c r="D76" i="6"/>
  <c r="D143" i="5"/>
  <c r="D34" i="5"/>
  <c r="D79" i="5"/>
  <c r="D80" i="5" s="1"/>
  <c r="D76" i="5"/>
  <c r="D35" i="5"/>
  <c r="D78" i="5"/>
  <c r="D81" i="5"/>
  <c r="D36" i="4"/>
  <c r="D35" i="4"/>
  <c r="D78" i="4"/>
  <c r="D81" i="4"/>
  <c r="D79" i="4"/>
  <c r="D80" i="4" s="1"/>
  <c r="D143" i="4"/>
  <c r="D76" i="4"/>
  <c r="D61" i="3"/>
  <c r="D69" i="3" s="1"/>
  <c r="D79" i="3"/>
  <c r="D80" i="3" s="1"/>
  <c r="D76" i="3"/>
  <c r="D34" i="3"/>
  <c r="D35" i="3"/>
  <c r="D78" i="3"/>
  <c r="D81" i="3"/>
  <c r="D79" i="2"/>
  <c r="D80" i="2" s="1"/>
  <c r="D76" i="2"/>
  <c r="D34" i="2"/>
  <c r="D35" i="2"/>
  <c r="D78" i="2"/>
  <c r="D81" i="2"/>
  <c r="C81" i="1"/>
  <c r="C78" i="1"/>
  <c r="G67" i="15" l="1"/>
  <c r="G76" i="15" s="1"/>
  <c r="K66" i="15"/>
  <c r="K67" i="15" s="1"/>
  <c r="K76" i="15" s="1"/>
  <c r="O46" i="15"/>
  <c r="E59" i="15"/>
  <c r="E60" i="15" s="1"/>
  <c r="E75" i="15" s="1"/>
  <c r="Q58" i="15"/>
  <c r="Q60" i="15" s="1"/>
  <c r="Q75" i="15" s="1"/>
  <c r="K39" i="15"/>
  <c r="K71" i="15" s="1"/>
  <c r="S59" i="15"/>
  <c r="S60" i="15" s="1"/>
  <c r="S75" i="15" s="1"/>
  <c r="M59" i="15"/>
  <c r="M60" i="15" s="1"/>
  <c r="M75" i="15" s="1"/>
  <c r="S66" i="15"/>
  <c r="S67" i="15" s="1"/>
  <c r="S76" i="15" s="1"/>
  <c r="Q37" i="15"/>
  <c r="Q39" i="15" s="1"/>
  <c r="Q71" i="15" s="1"/>
  <c r="E45" i="15"/>
  <c r="E50" i="15" s="1"/>
  <c r="E44" i="15"/>
  <c r="M65" i="15"/>
  <c r="M66" i="15"/>
  <c r="I35" i="15"/>
  <c r="I36" i="15" s="1"/>
  <c r="I37" i="15" s="1"/>
  <c r="O66" i="15"/>
  <c r="O67" i="15" s="1"/>
  <c r="O76" i="15" s="1"/>
  <c r="K58" i="15"/>
  <c r="K60" i="15" s="1"/>
  <c r="K75" i="15" s="1"/>
  <c r="M35" i="15"/>
  <c r="M36" i="15" s="1"/>
  <c r="I65" i="15"/>
  <c r="I67" i="15" s="1"/>
  <c r="I76" i="15" s="1"/>
  <c r="G38" i="15"/>
  <c r="G39" i="15" s="1"/>
  <c r="G71" i="15" s="1"/>
  <c r="E38" i="15"/>
  <c r="E39" i="15" s="1"/>
  <c r="E71" i="15" s="1"/>
  <c r="I45" i="15"/>
  <c r="I49" i="15" s="1"/>
  <c r="K44" i="15"/>
  <c r="K46" i="15" s="1"/>
  <c r="S39" i="15"/>
  <c r="S71" i="15" s="1"/>
  <c r="O35" i="15"/>
  <c r="O36" i="15" s="1"/>
  <c r="S45" i="15"/>
  <c r="S50" i="15" s="1"/>
  <c r="S44" i="15"/>
  <c r="E65" i="15"/>
  <c r="E66" i="15"/>
  <c r="Q65" i="15"/>
  <c r="Q66" i="15"/>
  <c r="O59" i="15"/>
  <c r="O58" i="15"/>
  <c r="O60" i="15" s="1"/>
  <c r="O75" i="15" s="1"/>
  <c r="G44" i="15"/>
  <c r="G45" i="15"/>
  <c r="G50" i="15" s="1"/>
  <c r="M44" i="15"/>
  <c r="M45" i="15"/>
  <c r="M49" i="15" s="1"/>
  <c r="I59" i="15"/>
  <c r="I60" i="15" s="1"/>
  <c r="I75" i="15" s="1"/>
  <c r="G58" i="15"/>
  <c r="G60" i="15" s="1"/>
  <c r="G75" i="15" s="1"/>
  <c r="Q44" i="15"/>
  <c r="Q46" i="15" s="1"/>
  <c r="G49" i="15"/>
  <c r="K50" i="15"/>
  <c r="K49" i="15"/>
  <c r="Q49" i="15"/>
  <c r="Q50" i="15"/>
  <c r="O49" i="15"/>
  <c r="O50" i="15"/>
  <c r="C20" i="15"/>
  <c r="C21" i="15" s="1"/>
  <c r="S20" i="15"/>
  <c r="S21" i="15" s="1"/>
  <c r="Q20" i="15"/>
  <c r="Q21" i="15" s="1"/>
  <c r="O20" i="15"/>
  <c r="O21" i="15" s="1"/>
  <c r="M22" i="15"/>
  <c r="M23" i="15" s="1"/>
  <c r="K20" i="15"/>
  <c r="K21" i="15" s="1"/>
  <c r="I22" i="15"/>
  <c r="I23" i="15" s="1"/>
  <c r="G20" i="15"/>
  <c r="G21" i="15" s="1"/>
  <c r="E20" i="15"/>
  <c r="E21" i="15" s="1"/>
  <c r="D96" i="14"/>
  <c r="D94" i="14"/>
  <c r="D91" i="14"/>
  <c r="D93" i="14"/>
  <c r="D95" i="14"/>
  <c r="D92" i="14"/>
  <c r="D49" i="14"/>
  <c r="D44" i="14"/>
  <c r="D43" i="14"/>
  <c r="D50" i="14" s="1"/>
  <c r="D68" i="14" s="1"/>
  <c r="D67" i="14"/>
  <c r="D145" i="14"/>
  <c r="D47" i="14"/>
  <c r="D45" i="14"/>
  <c r="D48" i="14"/>
  <c r="D93" i="13"/>
  <c r="D96" i="13"/>
  <c r="D95" i="13"/>
  <c r="D92" i="13"/>
  <c r="D94" i="13"/>
  <c r="D91" i="13"/>
  <c r="D145" i="13"/>
  <c r="D47" i="13"/>
  <c r="D45" i="13"/>
  <c r="D43" i="13"/>
  <c r="D48" i="13"/>
  <c r="D42" i="13"/>
  <c r="D46" i="13"/>
  <c r="D44" i="13"/>
  <c r="D96" i="12"/>
  <c r="D95" i="12"/>
  <c r="D92" i="12"/>
  <c r="D94" i="12"/>
  <c r="D91" i="12"/>
  <c r="D97" i="12" s="1"/>
  <c r="D93" i="12"/>
  <c r="D45" i="12"/>
  <c r="D44" i="12"/>
  <c r="D67" i="12"/>
  <c r="D46" i="12"/>
  <c r="D47" i="12"/>
  <c r="D145" i="12"/>
  <c r="D49" i="12"/>
  <c r="D48" i="12"/>
  <c r="D43" i="12"/>
  <c r="D42" i="12"/>
  <c r="D97" i="11"/>
  <c r="D46" i="11"/>
  <c r="D45" i="11"/>
  <c r="D67" i="11"/>
  <c r="D47" i="11"/>
  <c r="D42" i="11"/>
  <c r="D44" i="11"/>
  <c r="D145" i="11"/>
  <c r="D48" i="11"/>
  <c r="D45" i="10"/>
  <c r="D46" i="10"/>
  <c r="D44" i="10"/>
  <c r="D67" i="10"/>
  <c r="D77" i="10"/>
  <c r="D82" i="10" s="1"/>
  <c r="D145" i="10" s="1"/>
  <c r="D47" i="10"/>
  <c r="D48" i="10"/>
  <c r="D49" i="10"/>
  <c r="D42" i="10"/>
  <c r="D43" i="10"/>
  <c r="D36" i="9"/>
  <c r="D44" i="9"/>
  <c r="D67" i="9"/>
  <c r="D45" i="9"/>
  <c r="D77" i="9"/>
  <c r="D82" i="9" s="1"/>
  <c r="D145" i="9" s="1"/>
  <c r="D46" i="9"/>
  <c r="D48" i="9"/>
  <c r="D36" i="8"/>
  <c r="D43" i="8" s="1"/>
  <c r="D67" i="8"/>
  <c r="D45" i="8"/>
  <c r="D77" i="8"/>
  <c r="D82" i="8" s="1"/>
  <c r="D145" i="8" s="1"/>
  <c r="D47" i="8"/>
  <c r="D48" i="8"/>
  <c r="D49" i="8"/>
  <c r="D42" i="8"/>
  <c r="D36" i="7"/>
  <c r="D77" i="7"/>
  <c r="D82" i="7" s="1"/>
  <c r="D145" i="7" s="1"/>
  <c r="D45" i="6"/>
  <c r="D48" i="6"/>
  <c r="D49" i="6"/>
  <c r="D77" i="6"/>
  <c r="D82" i="6" s="1"/>
  <c r="D145" i="6" s="1"/>
  <c r="D42" i="6"/>
  <c r="D46" i="6"/>
  <c r="D44" i="6"/>
  <c r="D67" i="6"/>
  <c r="D47" i="6"/>
  <c r="D77" i="5"/>
  <c r="D82" i="5" s="1"/>
  <c r="D145" i="5" s="1"/>
  <c r="D36" i="5"/>
  <c r="D43" i="4"/>
  <c r="D44" i="4"/>
  <c r="D49" i="4"/>
  <c r="D67" i="4"/>
  <c r="D77" i="4"/>
  <c r="D82" i="4" s="1"/>
  <c r="D145" i="4" s="1"/>
  <c r="D47" i="4"/>
  <c r="D45" i="4"/>
  <c r="D42" i="4"/>
  <c r="D46" i="4"/>
  <c r="D48" i="4"/>
  <c r="D36" i="3"/>
  <c r="D67" i="3" s="1"/>
  <c r="D49" i="3"/>
  <c r="D45" i="3"/>
  <c r="D48" i="3"/>
  <c r="D44" i="3"/>
  <c r="D46" i="3"/>
  <c r="D47" i="3"/>
  <c r="D77" i="3"/>
  <c r="D82" i="3" s="1"/>
  <c r="D145" i="3" s="1"/>
  <c r="D43" i="3"/>
  <c r="D42" i="3"/>
  <c r="D36" i="2"/>
  <c r="D48" i="2" s="1"/>
  <c r="D77" i="2"/>
  <c r="D82" i="2" s="1"/>
  <c r="D145" i="2" s="1"/>
  <c r="D46" i="2"/>
  <c r="C130" i="1"/>
  <c r="C137" i="1" s="1"/>
  <c r="C95" i="1"/>
  <c r="C94" i="1"/>
  <c r="C93" i="1"/>
  <c r="C92" i="1"/>
  <c r="C91" i="1"/>
  <c r="C79" i="1"/>
  <c r="C76" i="1"/>
  <c r="C35" i="1"/>
  <c r="C36" i="1" s="1"/>
  <c r="C34" i="1"/>
  <c r="E46" i="15" l="1"/>
  <c r="E51" i="15" s="1"/>
  <c r="B6" i="16"/>
  <c r="C6" i="16" s="1"/>
  <c r="C7" i="16" s="1"/>
  <c r="B22" i="15"/>
  <c r="S46" i="15"/>
  <c r="S51" i="15" s="1"/>
  <c r="S49" i="15"/>
  <c r="E49" i="15"/>
  <c r="M46" i="15"/>
  <c r="M72" i="15" s="1"/>
  <c r="K51" i="15"/>
  <c r="K52" i="15" s="1"/>
  <c r="K74" i="15" s="1"/>
  <c r="K77" i="15" s="1"/>
  <c r="K72" i="15"/>
  <c r="O51" i="15"/>
  <c r="O52" i="15" s="1"/>
  <c r="O74" i="15" s="1"/>
  <c r="O77" i="15" s="1"/>
  <c r="O72" i="15"/>
  <c r="E72" i="15"/>
  <c r="M51" i="15"/>
  <c r="Q51" i="15"/>
  <c r="Q52" i="15" s="1"/>
  <c r="Q74" i="15" s="1"/>
  <c r="Q72" i="15"/>
  <c r="Q67" i="15"/>
  <c r="Q76" i="15" s="1"/>
  <c r="G46" i="15"/>
  <c r="E67" i="15"/>
  <c r="E76" i="15" s="1"/>
  <c r="M67" i="15"/>
  <c r="M76" i="15" s="1"/>
  <c r="I38" i="15"/>
  <c r="I39" i="15" s="1"/>
  <c r="I71" i="15" s="1"/>
  <c r="O37" i="15"/>
  <c r="O38" i="15"/>
  <c r="M37" i="15"/>
  <c r="M38" i="15"/>
  <c r="I46" i="15"/>
  <c r="I50" i="15"/>
  <c r="M50" i="15"/>
  <c r="C22" i="15"/>
  <c r="C23" i="15" s="1"/>
  <c r="S22" i="15"/>
  <c r="S23" i="15" s="1"/>
  <c r="Q22" i="15"/>
  <c r="Q23" i="15" s="1"/>
  <c r="O22" i="15"/>
  <c r="O23" i="15" s="1"/>
  <c r="M25" i="15"/>
  <c r="M30" i="15" s="1"/>
  <c r="M24" i="15"/>
  <c r="K22" i="15"/>
  <c r="K23" i="15" s="1"/>
  <c r="I25" i="15"/>
  <c r="I30" i="15" s="1"/>
  <c r="I24" i="15"/>
  <c r="G22" i="15"/>
  <c r="G23" i="15" s="1"/>
  <c r="E22" i="15"/>
  <c r="E23" i="15" s="1"/>
  <c r="D70" i="14"/>
  <c r="D50" i="13"/>
  <c r="D68" i="13" s="1"/>
  <c r="D70" i="13" s="1"/>
  <c r="D50" i="12"/>
  <c r="D68" i="12" s="1"/>
  <c r="D70" i="12" s="1"/>
  <c r="D50" i="11"/>
  <c r="D68" i="11" s="1"/>
  <c r="D70" i="11" s="1"/>
  <c r="D50" i="10"/>
  <c r="D68" i="10" s="1"/>
  <c r="D70" i="10"/>
  <c r="D47" i="9"/>
  <c r="D43" i="9"/>
  <c r="D42" i="9"/>
  <c r="D50" i="9" s="1"/>
  <c r="D68" i="9" s="1"/>
  <c r="D70" i="9" s="1"/>
  <c r="D49" i="9"/>
  <c r="D46" i="8"/>
  <c r="D44" i="8"/>
  <c r="D50" i="8" s="1"/>
  <c r="D68" i="8" s="1"/>
  <c r="D70" i="8" s="1"/>
  <c r="D67" i="7"/>
  <c r="D46" i="7"/>
  <c r="D44" i="7"/>
  <c r="D42" i="7"/>
  <c r="D47" i="7"/>
  <c r="D43" i="7"/>
  <c r="D45" i="7"/>
  <c r="D49" i="7"/>
  <c r="D48" i="7"/>
  <c r="D50" i="6"/>
  <c r="D68" i="6" s="1"/>
  <c r="D70" i="6" s="1"/>
  <c r="D46" i="5"/>
  <c r="D67" i="5"/>
  <c r="D49" i="5"/>
  <c r="D47" i="5"/>
  <c r="D48" i="5"/>
  <c r="D43" i="5"/>
  <c r="D44" i="5"/>
  <c r="D45" i="5"/>
  <c r="D42" i="5"/>
  <c r="D50" i="4"/>
  <c r="D68" i="4" s="1"/>
  <c r="D70" i="4" s="1"/>
  <c r="D50" i="3"/>
  <c r="D68" i="3" s="1"/>
  <c r="D70" i="3" s="1"/>
  <c r="D44" i="2"/>
  <c r="D49" i="2"/>
  <c r="D45" i="2"/>
  <c r="D42" i="2"/>
  <c r="D50" i="2" s="1"/>
  <c r="D68" i="2" s="1"/>
  <c r="D70" i="2" s="1"/>
  <c r="D43" i="2"/>
  <c r="D67" i="2"/>
  <c r="D47" i="2"/>
  <c r="D147" i="1"/>
  <c r="D69" i="1"/>
  <c r="C50" i="1"/>
  <c r="C80" i="1" s="1"/>
  <c r="D26" i="1"/>
  <c r="E52" i="15" l="1"/>
  <c r="E74" i="15" s="1"/>
  <c r="E77" i="15" s="1"/>
  <c r="C9" i="16"/>
  <c r="F30" i="17" s="1"/>
  <c r="C8" i="16"/>
  <c r="C30" i="17" s="1"/>
  <c r="B56" i="15"/>
  <c r="C56" i="15" s="1"/>
  <c r="C57" i="15" s="1"/>
  <c r="B35" i="15"/>
  <c r="C35" i="15" s="1"/>
  <c r="C36" i="15" s="1"/>
  <c r="B63" i="15"/>
  <c r="C63" i="15" s="1"/>
  <c r="C64" i="15" s="1"/>
  <c r="B42" i="15"/>
  <c r="C42" i="15" s="1"/>
  <c r="C43" i="15" s="1"/>
  <c r="Q77" i="15"/>
  <c r="S52" i="15"/>
  <c r="S74" i="15" s="1"/>
  <c r="S77" i="15" s="1"/>
  <c r="S72" i="15"/>
  <c r="M52" i="15"/>
  <c r="M74" i="15" s="1"/>
  <c r="M77" i="15" s="1"/>
  <c r="I51" i="15"/>
  <c r="I52" i="15" s="1"/>
  <c r="I74" i="15" s="1"/>
  <c r="I77" i="15" s="1"/>
  <c r="I72" i="15"/>
  <c r="G51" i="15"/>
  <c r="G52" i="15" s="1"/>
  <c r="G74" i="15" s="1"/>
  <c r="G77" i="15" s="1"/>
  <c r="G72" i="15"/>
  <c r="M39" i="15"/>
  <c r="M71" i="15" s="1"/>
  <c r="O39" i="15"/>
  <c r="O71" i="15" s="1"/>
  <c r="M28" i="15"/>
  <c r="M29" i="15"/>
  <c r="I29" i="15"/>
  <c r="I28" i="15"/>
  <c r="C25" i="15"/>
  <c r="C30" i="15" s="1"/>
  <c r="C24" i="15"/>
  <c r="S25" i="15"/>
  <c r="S30" i="15" s="1"/>
  <c r="S24" i="15"/>
  <c r="Q25" i="15"/>
  <c r="Q30" i="15" s="1"/>
  <c r="Q24" i="15"/>
  <c r="O25" i="15"/>
  <c r="O30" i="15" s="1"/>
  <c r="O24" i="15"/>
  <c r="K24" i="15"/>
  <c r="K25" i="15"/>
  <c r="K30" i="15" s="1"/>
  <c r="G25" i="15"/>
  <c r="G30" i="15" s="1"/>
  <c r="G24" i="15"/>
  <c r="E25" i="15"/>
  <c r="E30" i="15" s="1"/>
  <c r="E24" i="15"/>
  <c r="D144" i="14"/>
  <c r="D103" i="14"/>
  <c r="D104" i="14" s="1"/>
  <c r="D111" i="14" s="1"/>
  <c r="D144" i="13"/>
  <c r="D103" i="13"/>
  <c r="D104" i="13" s="1"/>
  <c r="D111" i="13" s="1"/>
  <c r="D97" i="13"/>
  <c r="D110" i="13" s="1"/>
  <c r="D112" i="13" s="1"/>
  <c r="D146" i="13" s="1"/>
  <c r="D144" i="12"/>
  <c r="D103" i="12"/>
  <c r="D104" i="12" s="1"/>
  <c r="D111" i="12" s="1"/>
  <c r="D144" i="11"/>
  <c r="D103" i="11"/>
  <c r="D104" i="11" s="1"/>
  <c r="D111" i="11" s="1"/>
  <c r="D144" i="10"/>
  <c r="D93" i="10"/>
  <c r="D96" i="10"/>
  <c r="D95" i="10"/>
  <c r="D92" i="10"/>
  <c r="D94" i="10"/>
  <c r="D91" i="10"/>
  <c r="D103" i="10"/>
  <c r="D104" i="10" s="1"/>
  <c r="D111" i="10" s="1"/>
  <c r="D144" i="9"/>
  <c r="D94" i="9"/>
  <c r="D92" i="9"/>
  <c r="D96" i="9"/>
  <c r="D95" i="9"/>
  <c r="D91" i="9"/>
  <c r="D93" i="9"/>
  <c r="D103" i="9"/>
  <c r="D104" i="9" s="1"/>
  <c r="D111" i="9" s="1"/>
  <c r="D144" i="8"/>
  <c r="D95" i="8"/>
  <c r="D92" i="8"/>
  <c r="D94" i="8"/>
  <c r="D93" i="8"/>
  <c r="D91" i="8"/>
  <c r="D103" i="8"/>
  <c r="D104" i="8" s="1"/>
  <c r="D111" i="8" s="1"/>
  <c r="D96" i="8"/>
  <c r="D50" i="7"/>
  <c r="D68" i="7" s="1"/>
  <c r="D70" i="7" s="1"/>
  <c r="D144" i="6"/>
  <c r="D93" i="6"/>
  <c r="D94" i="6"/>
  <c r="D95" i="6"/>
  <c r="D103" i="6"/>
  <c r="D104" i="6" s="1"/>
  <c r="D111" i="6" s="1"/>
  <c r="D91" i="6"/>
  <c r="D97" i="6" s="1"/>
  <c r="D110" i="6" s="1"/>
  <c r="D112" i="6" s="1"/>
  <c r="D146" i="6" s="1"/>
  <c r="D92" i="6"/>
  <c r="D96" i="6"/>
  <c r="D50" i="5"/>
  <c r="D68" i="5" s="1"/>
  <c r="D70" i="5" s="1"/>
  <c r="D144" i="4"/>
  <c r="D92" i="4"/>
  <c r="D95" i="4"/>
  <c r="D93" i="4"/>
  <c r="D103" i="4"/>
  <c r="D104" i="4" s="1"/>
  <c r="D111" i="4" s="1"/>
  <c r="D94" i="4"/>
  <c r="D96" i="4"/>
  <c r="D91" i="4"/>
  <c r="D144" i="3"/>
  <c r="D94" i="3"/>
  <c r="D92" i="3"/>
  <c r="D96" i="3"/>
  <c r="D103" i="3"/>
  <c r="D104" i="3" s="1"/>
  <c r="D111" i="3" s="1"/>
  <c r="D95" i="3"/>
  <c r="D93" i="3"/>
  <c r="D91" i="3"/>
  <c r="D93" i="2"/>
  <c r="D144" i="2"/>
  <c r="D94" i="2"/>
  <c r="D92" i="2"/>
  <c r="D103" i="2"/>
  <c r="D104" i="2" s="1"/>
  <c r="D111" i="2" s="1"/>
  <c r="D96" i="2"/>
  <c r="D91" i="2"/>
  <c r="D95" i="2"/>
  <c r="D76" i="1"/>
  <c r="D77" i="1" s="1"/>
  <c r="D79" i="1"/>
  <c r="D80" i="1" s="1"/>
  <c r="D78" i="1"/>
  <c r="D143" i="1"/>
  <c r="D35" i="1"/>
  <c r="D81" i="1"/>
  <c r="D34" i="1"/>
  <c r="C45" i="15" l="1"/>
  <c r="C44" i="15"/>
  <c r="C46" i="15" s="1"/>
  <c r="C66" i="15"/>
  <c r="C65" i="15"/>
  <c r="C67" i="15" s="1"/>
  <c r="C76" i="15" s="1"/>
  <c r="C38" i="15"/>
  <c r="C37" i="15"/>
  <c r="C59" i="15"/>
  <c r="C58" i="15"/>
  <c r="C60" i="15" s="1"/>
  <c r="C75" i="15" s="1"/>
  <c r="I31" i="15"/>
  <c r="I70" i="15" s="1"/>
  <c r="I73" i="15" s="1"/>
  <c r="M31" i="15"/>
  <c r="M70" i="15" s="1"/>
  <c r="M73" i="15" s="1"/>
  <c r="E28" i="15"/>
  <c r="E29" i="15"/>
  <c r="G29" i="15"/>
  <c r="G28" i="15"/>
  <c r="Q28" i="15"/>
  <c r="Q29" i="15"/>
  <c r="O28" i="15"/>
  <c r="O29" i="15"/>
  <c r="S29" i="15"/>
  <c r="S28" i="15"/>
  <c r="K28" i="15"/>
  <c r="K29" i="15"/>
  <c r="C29" i="15"/>
  <c r="C28" i="15"/>
  <c r="D97" i="14"/>
  <c r="D110" i="14" s="1"/>
  <c r="D112" i="14" s="1"/>
  <c r="D146" i="14" s="1"/>
  <c r="D148" i="14" s="1"/>
  <c r="D148" i="13"/>
  <c r="D110" i="12"/>
  <c r="D112" i="12" s="1"/>
  <c r="D146" i="12" s="1"/>
  <c r="D148" i="12" s="1"/>
  <c r="D110" i="11"/>
  <c r="D112" i="11" s="1"/>
  <c r="D146" i="11" s="1"/>
  <c r="D148" i="11" s="1"/>
  <c r="D97" i="10"/>
  <c r="D110" i="10" s="1"/>
  <c r="D112" i="10" s="1"/>
  <c r="D146" i="10" s="1"/>
  <c r="D148" i="10" s="1"/>
  <c r="D97" i="9"/>
  <c r="D110" i="9" s="1"/>
  <c r="D112" i="9" s="1"/>
  <c r="D146" i="9" s="1"/>
  <c r="D148" i="9"/>
  <c r="D97" i="8"/>
  <c r="D110" i="8" s="1"/>
  <c r="D112" i="8" s="1"/>
  <c r="D146" i="8" s="1"/>
  <c r="D148" i="8" s="1"/>
  <c r="D93" i="7"/>
  <c r="D144" i="7"/>
  <c r="D103" i="7"/>
  <c r="D104" i="7" s="1"/>
  <c r="D111" i="7" s="1"/>
  <c r="D94" i="7"/>
  <c r="D91" i="7"/>
  <c r="D92" i="7"/>
  <c r="D96" i="7"/>
  <c r="D95" i="7"/>
  <c r="D148" i="6"/>
  <c r="D144" i="5"/>
  <c r="D93" i="5"/>
  <c r="D96" i="5"/>
  <c r="D92" i="5"/>
  <c r="D95" i="5"/>
  <c r="D103" i="5"/>
  <c r="D104" i="5" s="1"/>
  <c r="D111" i="5" s="1"/>
  <c r="D94" i="5"/>
  <c r="D91" i="5"/>
  <c r="D97" i="4"/>
  <c r="D110" i="4" s="1"/>
  <c r="D112" i="4" s="1"/>
  <c r="D146" i="4" s="1"/>
  <c r="D148" i="4" s="1"/>
  <c r="D97" i="3"/>
  <c r="D110" i="3" s="1"/>
  <c r="D112" i="3" s="1"/>
  <c r="D146" i="3" s="1"/>
  <c r="D148" i="3"/>
  <c r="D97" i="2"/>
  <c r="D110" i="2" s="1"/>
  <c r="D112" i="2" s="1"/>
  <c r="D146" i="2" s="1"/>
  <c r="D148" i="2" s="1"/>
  <c r="D36" i="1"/>
  <c r="D82" i="1"/>
  <c r="C31" i="15" l="1"/>
  <c r="C70" i="15" s="1"/>
  <c r="C39" i="15"/>
  <c r="C71" i="15" s="1"/>
  <c r="C51" i="15"/>
  <c r="C72" i="15"/>
  <c r="C73" i="15" s="1"/>
  <c r="C50" i="15"/>
  <c r="C49" i="15"/>
  <c r="K31" i="15"/>
  <c r="K70" i="15" s="1"/>
  <c r="K73" i="15" s="1"/>
  <c r="Q31" i="15"/>
  <c r="Q70" i="15" s="1"/>
  <c r="Q73" i="15" s="1"/>
  <c r="S31" i="15"/>
  <c r="S70" i="15" s="1"/>
  <c r="S73" i="15" s="1"/>
  <c r="G31" i="15"/>
  <c r="G70" i="15" s="1"/>
  <c r="G73" i="15" s="1"/>
  <c r="O31" i="15"/>
  <c r="O70" i="15" s="1"/>
  <c r="O73" i="15" s="1"/>
  <c r="E31" i="15"/>
  <c r="E70" i="15" s="1"/>
  <c r="E73" i="15" s="1"/>
  <c r="D128" i="14"/>
  <c r="D129" i="14" s="1"/>
  <c r="D130" i="14" s="1"/>
  <c r="D128" i="13"/>
  <c r="D129" i="13" s="1"/>
  <c r="D130" i="13" s="1"/>
  <c r="D128" i="12"/>
  <c r="D128" i="11"/>
  <c r="D128" i="10"/>
  <c r="D129" i="10" s="1"/>
  <c r="D130" i="10" s="1"/>
  <c r="D128" i="9"/>
  <c r="D128" i="8"/>
  <c r="D97" i="7"/>
  <c r="D110" i="7" s="1"/>
  <c r="D112" i="7" s="1"/>
  <c r="D146" i="7" s="1"/>
  <c r="D148" i="7" s="1"/>
  <c r="D128" i="6"/>
  <c r="D97" i="5"/>
  <c r="D110" i="5" s="1"/>
  <c r="D112" i="5" s="1"/>
  <c r="D146" i="5" s="1"/>
  <c r="D148" i="5" s="1"/>
  <c r="D128" i="4"/>
  <c r="D128" i="3"/>
  <c r="D129" i="3"/>
  <c r="D130" i="3" s="1"/>
  <c r="D128" i="2"/>
  <c r="D67" i="1"/>
  <c r="D47" i="1"/>
  <c r="D42" i="1"/>
  <c r="D48" i="1"/>
  <c r="D46" i="1"/>
  <c r="D43" i="1"/>
  <c r="D45" i="1"/>
  <c r="D49" i="1"/>
  <c r="D44" i="1"/>
  <c r="D145" i="1"/>
  <c r="A71" i="15" l="1"/>
  <c r="C29" i="17" s="1"/>
  <c r="C52" i="15"/>
  <c r="C74" i="15" s="1"/>
  <c r="C77" i="15" s="1"/>
  <c r="A75" i="15" s="1"/>
  <c r="F29" i="17" s="1"/>
  <c r="D137" i="14"/>
  <c r="D149" i="14" s="1"/>
  <c r="D150" i="14" s="1"/>
  <c r="C22" i="17" s="1"/>
  <c r="E22" i="17" s="1"/>
  <c r="F22" i="17" s="1"/>
  <c r="D137" i="13"/>
  <c r="D149" i="13" s="1"/>
  <c r="D150" i="13" s="1"/>
  <c r="C21" i="17" s="1"/>
  <c r="E21" i="17" s="1"/>
  <c r="F21" i="17" s="1"/>
  <c r="D129" i="12"/>
  <c r="D130" i="12" s="1"/>
  <c r="D129" i="11"/>
  <c r="D130" i="11" s="1"/>
  <c r="D137" i="10"/>
  <c r="D149" i="10" s="1"/>
  <c r="D150" i="10" s="1"/>
  <c r="C18" i="17" s="1"/>
  <c r="E18" i="17" s="1"/>
  <c r="F18" i="17" s="1"/>
  <c r="D129" i="9"/>
  <c r="D129" i="8"/>
  <c r="D128" i="7"/>
  <c r="D129" i="7" s="1"/>
  <c r="D129" i="6"/>
  <c r="D130" i="6" s="1"/>
  <c r="D128" i="5"/>
  <c r="D129" i="4"/>
  <c r="D130" i="4" s="1"/>
  <c r="D137" i="3"/>
  <c r="D149" i="3" s="1"/>
  <c r="D150" i="3" s="1"/>
  <c r="C7" i="17" s="1"/>
  <c r="E7" i="17" s="1"/>
  <c r="F7" i="17" s="1"/>
  <c r="D129" i="2"/>
  <c r="D130" i="2" s="1"/>
  <c r="D50" i="1"/>
  <c r="D68" i="1" s="1"/>
  <c r="D70" i="1" s="1"/>
  <c r="D94" i="1" s="1"/>
  <c r="D134" i="14" l="1"/>
  <c r="D135" i="14"/>
  <c r="D133" i="14"/>
  <c r="D132" i="14"/>
  <c r="D136" i="14"/>
  <c r="D131" i="14"/>
  <c r="D134" i="13"/>
  <c r="D133" i="13"/>
  <c r="D132" i="13"/>
  <c r="D131" i="13"/>
  <c r="D136" i="13"/>
  <c r="D135" i="13"/>
  <c r="D137" i="12"/>
  <c r="D149" i="12" s="1"/>
  <c r="D137" i="11"/>
  <c r="D149" i="11" s="1"/>
  <c r="D134" i="10"/>
  <c r="D133" i="10"/>
  <c r="D131" i="10"/>
  <c r="D136" i="10"/>
  <c r="D135" i="10"/>
  <c r="D132" i="10"/>
  <c r="D130" i="9"/>
  <c r="D137" i="9" s="1"/>
  <c r="D149" i="9" s="1"/>
  <c r="D150" i="9" s="1"/>
  <c r="C13" i="17" s="1"/>
  <c r="E13" i="17" s="1"/>
  <c r="F13" i="17" s="1"/>
  <c r="D130" i="8"/>
  <c r="D137" i="8" s="1"/>
  <c r="D149" i="8" s="1"/>
  <c r="D150" i="8" s="1"/>
  <c r="C12" i="17" s="1"/>
  <c r="E12" i="17" s="1"/>
  <c r="F12" i="17" s="1"/>
  <c r="D130" i="7"/>
  <c r="D137" i="7" s="1"/>
  <c r="D149" i="7" s="1"/>
  <c r="D150" i="7" s="1"/>
  <c r="C11" i="17" s="1"/>
  <c r="E11" i="17" s="1"/>
  <c r="F11" i="17" s="1"/>
  <c r="D137" i="6"/>
  <c r="D149" i="6" s="1"/>
  <c r="D150" i="6" s="1"/>
  <c r="C10" i="17" s="1"/>
  <c r="E10" i="17" s="1"/>
  <c r="F10" i="17" s="1"/>
  <c r="D129" i="5"/>
  <c r="D137" i="4"/>
  <c r="D149" i="4" s="1"/>
  <c r="D150" i="4" s="1"/>
  <c r="C8" i="17" s="1"/>
  <c r="E8" i="17" s="1"/>
  <c r="F8" i="17" s="1"/>
  <c r="D133" i="3"/>
  <c r="D132" i="3"/>
  <c r="D131" i="3"/>
  <c r="D136" i="3"/>
  <c r="D135" i="3"/>
  <c r="D134" i="3"/>
  <c r="D137" i="2"/>
  <c r="D149" i="2" s="1"/>
  <c r="D150" i="2" s="1"/>
  <c r="C6" i="17" s="1"/>
  <c r="E6" i="17" s="1"/>
  <c r="F6" i="17" s="1"/>
  <c r="D95" i="1"/>
  <c r="D92" i="1"/>
  <c r="D96" i="1"/>
  <c r="D104" i="1"/>
  <c r="D111" i="1" s="1"/>
  <c r="D91" i="1"/>
  <c r="D144" i="1"/>
  <c r="D93" i="1"/>
  <c r="D150" i="12" l="1"/>
  <c r="D135" i="12" s="1"/>
  <c r="D150" i="11"/>
  <c r="C19" i="17" s="1"/>
  <c r="E19" i="17" s="1"/>
  <c r="F19" i="17" s="1"/>
  <c r="D133" i="12"/>
  <c r="D135" i="11"/>
  <c r="D132" i="11"/>
  <c r="D134" i="9"/>
  <c r="D132" i="9"/>
  <c r="D136" i="9"/>
  <c r="D131" i="9"/>
  <c r="D135" i="9"/>
  <c r="D133" i="9"/>
  <c r="D134" i="8"/>
  <c r="D132" i="8"/>
  <c r="D131" i="8"/>
  <c r="D136" i="8"/>
  <c r="D135" i="8"/>
  <c r="D133" i="8"/>
  <c r="D132" i="7"/>
  <c r="D131" i="7"/>
  <c r="D136" i="7"/>
  <c r="D135" i="7"/>
  <c r="D134" i="7"/>
  <c r="D133" i="7"/>
  <c r="D134" i="6"/>
  <c r="D133" i="6"/>
  <c r="D132" i="6"/>
  <c r="D131" i="6"/>
  <c r="D136" i="6"/>
  <c r="D135" i="6"/>
  <c r="D130" i="5"/>
  <c r="D137" i="5" s="1"/>
  <c r="D149" i="5" s="1"/>
  <c r="D134" i="4"/>
  <c r="D133" i="4"/>
  <c r="D135" i="4"/>
  <c r="D132" i="4"/>
  <c r="D136" i="4"/>
  <c r="D131" i="4"/>
  <c r="D132" i="2"/>
  <c r="D131" i="2"/>
  <c r="D136" i="2"/>
  <c r="D134" i="2"/>
  <c r="D133" i="2"/>
  <c r="D135" i="2"/>
  <c r="D97" i="1"/>
  <c r="D110" i="1" s="1"/>
  <c r="D112" i="1" s="1"/>
  <c r="D146" i="1" s="1"/>
  <c r="D148" i="1" s="1"/>
  <c r="D128" i="1" s="1"/>
  <c r="D129" i="1" s="1"/>
  <c r="D130" i="1" s="1"/>
  <c r="D134" i="11" l="1"/>
  <c r="D136" i="11"/>
  <c r="D133" i="11"/>
  <c r="D150" i="5"/>
  <c r="C9" i="17" s="1"/>
  <c r="E9" i="17" s="1"/>
  <c r="F9" i="17" s="1"/>
  <c r="C20" i="17"/>
  <c r="E20" i="17" s="1"/>
  <c r="F20" i="17" s="1"/>
  <c r="F23" i="17" s="1"/>
  <c r="F28" i="17" s="1"/>
  <c r="D132" i="12"/>
  <c r="D136" i="12"/>
  <c r="D131" i="11"/>
  <c r="D134" i="12"/>
  <c r="D131" i="12"/>
  <c r="D137" i="1"/>
  <c r="D149" i="1" s="1"/>
  <c r="D150" i="1" l="1"/>
  <c r="C5" i="17" s="1"/>
  <c r="E5" i="17" s="1"/>
  <c r="F5" i="17" s="1"/>
  <c r="F14" i="17" s="1"/>
  <c r="D131" i="5"/>
  <c r="D132" i="5"/>
  <c r="D136" i="5"/>
  <c r="D134" i="5"/>
  <c r="D133" i="5"/>
  <c r="D135" i="5"/>
  <c r="D132" i="1"/>
  <c r="D133" i="1"/>
  <c r="D131" i="1"/>
  <c r="D134" i="1"/>
  <c r="F27" i="17" l="1"/>
  <c r="F31" i="17" s="1"/>
  <c r="C27" i="17"/>
  <c r="C31" i="17" s="1"/>
  <c r="F32" i="17" s="1"/>
  <c r="D135" i="1"/>
  <c r="D136" i="1"/>
</calcChain>
</file>

<file path=xl/sharedStrings.xml><?xml version="1.0" encoding="utf-8"?>
<sst xmlns="http://schemas.openxmlformats.org/spreadsheetml/2006/main" count="2742" uniqueCount="194">
  <si>
    <t>PLANILHA DE CUSTOS E FORMAÇÃO DE PREÇOS</t>
  </si>
  <si>
    <t>Módulo 1 - Composição da Remuneração</t>
  </si>
  <si>
    <t>Composição da Remuneração</t>
  </si>
  <si>
    <t>Valor (R$)</t>
  </si>
  <si>
    <t>A</t>
  </si>
  <si>
    <t>Salário-Base</t>
  </si>
  <si>
    <t>B</t>
  </si>
  <si>
    <t>Adicional de Periculosidade</t>
  </si>
  <si>
    <t>C</t>
  </si>
  <si>
    <t>Adicional de Insalubridade</t>
  </si>
  <si>
    <t>D</t>
  </si>
  <si>
    <t>Adicional Noturno</t>
  </si>
  <si>
    <t>E</t>
  </si>
  <si>
    <t>Adicional de Hora Noturna Reduzida</t>
  </si>
  <si>
    <t>G</t>
  </si>
  <si>
    <t>Outros (especificar)</t>
  </si>
  <si>
    <t>Total</t>
  </si>
  <si>
    <t>Módulo 2 - Encargos e Benefícios Anuais, Mensais e Diários</t>
  </si>
  <si>
    <t>Submódulo 2.1 - 13º (décimo terceiro) Salário, Férias e Adicional de Férias</t>
  </si>
  <si>
    <t>2.1</t>
  </si>
  <si>
    <t>13º (décimo terceiro) Salário, Férias e Adicional de Férias</t>
  </si>
  <si>
    <t>13º (décimo terceiro) Salário</t>
  </si>
  <si>
    <t>Férias e Adicional de Férias</t>
  </si>
  <si>
    <t>Submódulo 2.2 - Encargos Previdenciários (GPS), Fundo de Garantia por Tempo de Serviço (FGTS) e outras contribuições.</t>
  </si>
  <si>
    <t>2.2</t>
  </si>
  <si>
    <t>GPS, FGTS e outras contribuições</t>
  </si>
  <si>
    <t>Percentual (%)</t>
  </si>
  <si>
    <t>INSS</t>
  </si>
  <si>
    <t>Salário Educação</t>
  </si>
  <si>
    <t>SAT</t>
  </si>
  <si>
    <t>SESC ou SESI</t>
  </si>
  <si>
    <t>SENAI - SENAC</t>
  </si>
  <si>
    <t>F</t>
  </si>
  <si>
    <t>SEBRAE</t>
  </si>
  <si>
    <t>INCRA</t>
  </si>
  <si>
    <t>H</t>
  </si>
  <si>
    <t>FGTS</t>
  </si>
  <si>
    <t xml:space="preserve">Total 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</si>
  <si>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</si>
  <si>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</si>
  <si>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</si>
  <si>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</si>
  <si>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</si>
  <si>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Quadro-Resumo do Módulo 2 - Encargos e Benefícios anuais, mensais e diários</t>
  </si>
  <si>
    <t>Encargos e Benefícios Anuais, Mensais e Diários</t>
  </si>
  <si>
    <t>Módulo 3 - Provisão para Rescisão</t>
  </si>
  <si>
    <t>Provisão para Rescisão</t>
  </si>
  <si>
    <t>Aviso Prévio Indenizado</t>
  </si>
  <si>
    <t>Incidência do FGTS sobre o Aviso Prévio Indenizado</t>
  </si>
  <si>
    <t>Aviso Prévio Trabalhado</t>
  </si>
  <si>
    <t>Módulo 4 - Custo de Reposição do Profissional Ausente</t>
  </si>
  <si>
    <t>4.1</t>
  </si>
  <si>
    <t>4.2</t>
  </si>
  <si>
    <t>Quadro-Resumo do Módulo 4 - Custo de Reposição do Profissional Ausente</t>
  </si>
  <si>
    <t>Custo de Reposição do Profissional Ausente</t>
  </si>
  <si>
    <t>Módulo 5 - Insumos Diversos</t>
  </si>
  <si>
    <t>Insumos Diversos</t>
  </si>
  <si>
    <t>Uniformes</t>
  </si>
  <si>
    <t>Materiais</t>
  </si>
  <si>
    <t>Equipamentos</t>
  </si>
  <si>
    <t>Módulo 6 - Custos Indiretos, Tributos e Lucro</t>
  </si>
  <si>
    <t>Custos Indiretos, Tributos e Lucro</t>
  </si>
  <si>
    <t>Custos Indiretos</t>
  </si>
  <si>
    <t>Lucro</t>
  </si>
  <si>
    <t>Tributos</t>
  </si>
  <si>
    <t>C.1. Tributos Federais (especificar)</t>
  </si>
  <si>
    <t>C.2. Tributos Estaduais (especificar)</t>
  </si>
  <si>
    <t>C.3. Tributos Municipais (especificar)</t>
  </si>
  <si>
    <t>2. QUADRO-RESUMO DO CUSTO POR EMPREGADO</t>
  </si>
  <si>
    <t>Mão de obra vinculada à execução contratual (valor por empregado)</t>
  </si>
  <si>
    <t>Módulo 6 – Custos Indiretos, Tributos e Lucro</t>
  </si>
  <si>
    <t xml:space="preserve">Valor Total por Empregado </t>
  </si>
  <si>
    <t>Dados complementares para composição dos custos referente à mão-de-obra</t>
  </si>
  <si>
    <t>Tipo de serviço (mesmo serviço com características distintas)</t>
  </si>
  <si>
    <t>Salário Normativo da Categoria Profissional</t>
  </si>
  <si>
    <t>Categoria profissional (vinculada à execução contratual)</t>
  </si>
  <si>
    <t>Data base da categoria (dia/mês/ano)</t>
  </si>
  <si>
    <t>Submódulo 4.1 - Substituto nas Ausências Legais</t>
  </si>
  <si>
    <t>Substituto nas Ausências Legais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</si>
  <si>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</si>
  <si>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</si>
  <si>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</si>
  <si>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</si>
  <si>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</si>
  <si>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Outras ausências (especificar)</t>
  </si>
  <si>
    <t>Submódulo 4.2 - Substituto na Intrajornada</t>
  </si>
  <si>
    <t>Substituto na Intrajornada</t>
  </si>
  <si>
    <t>Substituto na cobertura de Intervalo para repouso e alimentação</t>
  </si>
  <si>
    <t>Identificação do Serviço</t>
  </si>
  <si>
    <t>Tipo de Serviço</t>
  </si>
  <si>
    <t>Unidade de Medida</t>
  </si>
  <si>
    <t>Quantidade total a contratar (em função da unidade de medida)</t>
  </si>
  <si>
    <t>Classificação Brasileira de Ocupações (CBO)</t>
  </si>
  <si>
    <t>Incidência de GPS, FGTS e outras contribuições sobre o Aviso Prévio Trabalhado</t>
  </si>
  <si>
    <t>Subtotal (A + B +C+ D + E)</t>
  </si>
  <si>
    <t>C.1.A. PIS</t>
  </si>
  <si>
    <t>C.1.B. COFINS</t>
  </si>
  <si>
    <t>C.3.A. ISS</t>
  </si>
  <si>
    <t>Multa do FGTS sobre o Aviso Prévio Indenizado</t>
  </si>
  <si>
    <t>Multa do FGTS sobre o Aviso Prévio Trabalhado</t>
  </si>
  <si>
    <t>Auxiliar Técnico Operacional</t>
  </si>
  <si>
    <t>posto de serviço</t>
  </si>
  <si>
    <t>3731-05</t>
  </si>
  <si>
    <t>Assistência Médica</t>
  </si>
  <si>
    <t>Assistência Odontológica</t>
  </si>
  <si>
    <t>Seguro de Vida</t>
  </si>
  <si>
    <t>Coordenador(a) Administrativo(a)</t>
  </si>
  <si>
    <t>4101-05</t>
  </si>
  <si>
    <t>Copeiro(a)</t>
  </si>
  <si>
    <t>5134-25</t>
  </si>
  <si>
    <t>Garçom/garçonete</t>
  </si>
  <si>
    <t>5134-05</t>
  </si>
  <si>
    <t>Maître</t>
  </si>
  <si>
    <t>5101-35</t>
  </si>
  <si>
    <t>Mensageiro(a)</t>
  </si>
  <si>
    <t>4122-05</t>
  </si>
  <si>
    <t>Recepcionista I</t>
  </si>
  <si>
    <t>4221-05</t>
  </si>
  <si>
    <t>Recepcionista III</t>
  </si>
  <si>
    <t>Recepcionista IV</t>
  </si>
  <si>
    <t>Copeiro(a) - acréscimo em ano eleitoral</t>
  </si>
  <si>
    <t>Garçom/garçonete - acréscimo em ano eleitoral</t>
  </si>
  <si>
    <t>Mensageiro(a) - acréscimo em ano eleitoral</t>
  </si>
  <si>
    <t>Recepcionista I - acréscimo em ano eleitoral</t>
  </si>
  <si>
    <t>Recepcionista III - acréscimo em ano eleitoral</t>
  </si>
  <si>
    <t>Horas Extras - tópico 4.2 do Termo de Referência</t>
  </si>
  <si>
    <t>posto</t>
  </si>
  <si>
    <t>vhe = [ rem × (1+13fa) × (1+es) × (1+i) × (1+ci) × (1+ℓ) ÷ d ] / (1-t)</t>
  </si>
  <si>
    <t>rem</t>
  </si>
  <si>
    <t>13fa</t>
  </si>
  <si>
    <t>subtotal 1</t>
  </si>
  <si>
    <t>es</t>
  </si>
  <si>
    <t>subtotal 2</t>
  </si>
  <si>
    <t>ci, ℓ, t</t>
  </si>
  <si>
    <t>custo hora normal</t>
  </si>
  <si>
    <t>he dias úteis</t>
  </si>
  <si>
    <t>he dom-fer</t>
  </si>
  <si>
    <t>Onde:</t>
  </si>
  <si>
    <t>vhe = valor da hora extra</t>
  </si>
  <si>
    <t>rem = remuneração</t>
  </si>
  <si>
    <t>rem/hora</t>
  </si>
  <si>
    <t>d = divisor, de acordo com a jornada mensal prevista na CCT ou, na sua falta, na legislação trabalhista</t>
  </si>
  <si>
    <t>13fa = incidência sobre 13º salário, férias e adicional</t>
  </si>
  <si>
    <t>es = encargos sociais relativos ao módulo 2.2 da planilha de custos e formação de preços</t>
  </si>
  <si>
    <t>i = índice referente ao acréscimo legal sobre a hora normal, previsto na respectiva Convenção Coletiva de Trabalho - CCT ou, na sua falta, na legislação trabalhista</t>
  </si>
  <si>
    <t>ci = custos indiretos</t>
  </si>
  <si>
    <t>ℓ = lucro</t>
  </si>
  <si>
    <t>t = tributos incidentes sobre o faturamento</t>
  </si>
  <si>
    <t>Ano Não Eleitoral</t>
  </si>
  <si>
    <t>dias úteis</t>
  </si>
  <si>
    <t>sábados</t>
  </si>
  <si>
    <t>domingos e feriados</t>
  </si>
  <si>
    <t>valor unitário</t>
  </si>
  <si>
    <t>por dia</t>
  </si>
  <si>
    <t>custo vt/dia</t>
  </si>
  <si>
    <t>total horas extras</t>
  </si>
  <si>
    <t>total vt com he</t>
  </si>
  <si>
    <t>Valores Referenciais</t>
  </si>
  <si>
    <t>custo va/dia</t>
  </si>
  <si>
    <t>total va com he</t>
  </si>
  <si>
    <t>Ano Eleitoral</t>
  </si>
  <si>
    <t>Resumo</t>
  </si>
  <si>
    <t>he</t>
  </si>
  <si>
    <t>vt</t>
  </si>
  <si>
    <t>va</t>
  </si>
  <si>
    <t>total</t>
  </si>
  <si>
    <t>Transporte (vt)</t>
  </si>
  <si>
    <t>Alimentação (va)</t>
  </si>
  <si>
    <t>Deslocamentos - tópico 4.8.4 do Termo de Referência</t>
  </si>
  <si>
    <t>desconto vale transporte</t>
  </si>
  <si>
    <t>subtotal</t>
  </si>
  <si>
    <t>custos inditetos, lucro e tributos</t>
  </si>
  <si>
    <t>custo unitário com diária</t>
  </si>
  <si>
    <t>ano não eleitoral</t>
  </si>
  <si>
    <t>ano eleitoral</t>
  </si>
  <si>
    <t>quadro resumo - valor total estimado</t>
  </si>
  <si>
    <t>postos regulares - valor anual</t>
  </si>
  <si>
    <t>item</t>
  </si>
  <si>
    <t>especificação</t>
  </si>
  <si>
    <t>valor mensal unitário</t>
  </si>
  <si>
    <t>quantidade</t>
  </si>
  <si>
    <t>valor mensal</t>
  </si>
  <si>
    <t>valor anual</t>
  </si>
  <si>
    <t>acréscimo de postos em ano eleitoral</t>
  </si>
  <si>
    <t>valor total
(até 120 dias)</t>
  </si>
  <si>
    <t>total estimado da contratação</t>
  </si>
  <si>
    <t>postos regulares</t>
  </si>
  <si>
    <t>acréscimo de postos</t>
  </si>
  <si>
    <t>horas extras</t>
  </si>
  <si>
    <t>diárias</t>
  </si>
  <si>
    <t>total [A]</t>
  </si>
  <si>
    <t>total [B]</t>
  </si>
  <si>
    <t>[A] + [B] =</t>
  </si>
  <si>
    <t>valor total da contratação (para o prazo de 24 meses)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</si>
</sst>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(* #,##0.00_);_(* \(#,##0.00\);_(* \-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64"/>
      <name val="Calibri"/>
      <family val="2"/>
      <scheme val="minor"/>
    </font>
    <font>
      <sz val="10"/>
      <name val="Arial"/>
      <family val="2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sz val="12"/>
      <color theme="0"/>
      <name val="Times New Roman"/>
      <family val="1"/>
    </font>
    <font>
      <b/>
      <i/>
      <sz val="10"/>
      <color theme="1"/>
      <name val="Times New Roman"/>
      <family val="1"/>
    </font>
    <font>
      <i/>
      <sz val="10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1" tint="0.49998474074526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</borders>
  <cellStyleXfs count="12">
    <xf numFmtId="0" fontId="0" fillId="0" borderId="0"/>
    <xf numFmtId="0" fontId="2" fillId="0" borderId="0"/>
    <xf numFmtId="164" fontId="3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3">
    <xf numFmtId="0" fontId="0" fillId="0" borderId="0" xfId="0"/>
    <xf numFmtId="0" fontId="4" fillId="0" borderId="0" xfId="0" applyFont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1" xfId="0" applyFont="1" applyBorder="1"/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10" fontId="4" fillId="0" borderId="1" xfId="11" applyNumberFormat="1" applyFont="1" applyBorder="1" applyAlignment="1">
      <alignment horizontal="center" vertical="center" wrapText="1"/>
    </xf>
    <xf numFmtId="43" fontId="4" fillId="0" borderId="1" xfId="10" applyFont="1" applyBorder="1" applyAlignment="1">
      <alignment horizontal="center" vertical="center" wrapText="1"/>
    </xf>
    <xf numFmtId="43" fontId="4" fillId="0" borderId="1" xfId="0" applyNumberFormat="1" applyFont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10" fontId="4" fillId="2" borderId="1" xfId="11" applyNumberFormat="1" applyFont="1" applyFill="1" applyBorder="1" applyAlignment="1">
      <alignment horizontal="center" vertical="center" wrapText="1"/>
    </xf>
    <xf numFmtId="43" fontId="4" fillId="0" borderId="0" xfId="0" applyNumberFormat="1" applyFont="1"/>
    <xf numFmtId="10" fontId="4" fillId="0" borderId="0" xfId="11" applyNumberFormat="1" applyFont="1"/>
    <xf numFmtId="43" fontId="5" fillId="0" borderId="1" xfId="0" applyNumberFormat="1" applyFont="1" applyBorder="1" applyAlignment="1">
      <alignment horizontal="center" vertical="center" wrapText="1"/>
    </xf>
    <xf numFmtId="43" fontId="5" fillId="0" borderId="1" xfId="10" applyFont="1" applyBorder="1" applyAlignment="1">
      <alignment horizontal="center" vertical="center" wrapText="1"/>
    </xf>
    <xf numFmtId="10" fontId="7" fillId="0" borderId="3" xfId="11" applyNumberFormat="1" applyFont="1" applyBorder="1" applyAlignment="1">
      <alignment horizontal="center" vertical="center" wrapText="1"/>
    </xf>
    <xf numFmtId="43" fontId="4" fillId="0" borderId="1" xfId="0" applyNumberFormat="1" applyFont="1" applyBorder="1" applyAlignment="1">
      <alignment vertical="center" wrapText="1"/>
    </xf>
    <xf numFmtId="43" fontId="5" fillId="0" borderId="1" xfId="0" applyNumberFormat="1" applyFont="1" applyBorder="1" applyAlignment="1">
      <alignment vertical="center" wrapText="1"/>
    </xf>
    <xf numFmtId="43" fontId="4" fillId="0" borderId="1" xfId="1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6" fillId="0" borderId="0" xfId="0" applyFont="1" applyFill="1" applyAlignment="1">
      <alignment horizontal="center"/>
    </xf>
    <xf numFmtId="0" fontId="4" fillId="0" borderId="1" xfId="0" applyFont="1" applyBorder="1" applyAlignment="1">
      <alignment horizontal="left" vertical="center" wrapText="1"/>
    </xf>
    <xf numFmtId="10" fontId="5" fillId="0" borderId="3" xfId="0" applyNumberFormat="1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9" fontId="4" fillId="0" borderId="0" xfId="0" applyNumberFormat="1" applyFont="1"/>
    <xf numFmtId="0" fontId="4" fillId="0" borderId="0" xfId="0" applyFont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5" xfId="0" applyFont="1" applyBorder="1"/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/>
    <xf numFmtId="43" fontId="4" fillId="0" borderId="7" xfId="0" applyNumberFormat="1" applyFont="1" applyBorder="1"/>
    <xf numFmtId="0" fontId="4" fillId="0" borderId="8" xfId="0" applyFont="1" applyBorder="1"/>
    <xf numFmtId="0" fontId="4" fillId="0" borderId="6" xfId="0" applyFont="1" applyBorder="1"/>
    <xf numFmtId="0" fontId="4" fillId="0" borderId="9" xfId="0" applyFont="1" applyBorder="1"/>
    <xf numFmtId="43" fontId="4" fillId="0" borderId="10" xfId="0" applyNumberFormat="1" applyFont="1" applyBorder="1"/>
    <xf numFmtId="10" fontId="4" fillId="0" borderId="9" xfId="0" applyNumberFormat="1" applyFont="1" applyBorder="1"/>
    <xf numFmtId="9" fontId="4" fillId="0" borderId="9" xfId="0" applyNumberFormat="1" applyFont="1" applyBorder="1"/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/>
    <xf numFmtId="43" fontId="4" fillId="0" borderId="0" xfId="10" applyFont="1"/>
    <xf numFmtId="0" fontId="4" fillId="0" borderId="11" xfId="0" applyFont="1" applyBorder="1"/>
    <xf numFmtId="43" fontId="4" fillId="0" borderId="10" xfId="10" applyFont="1" applyBorder="1"/>
    <xf numFmtId="10" fontId="4" fillId="0" borderId="11" xfId="0" applyNumberFormat="1" applyFont="1" applyBorder="1"/>
    <xf numFmtId="0" fontId="5" fillId="0" borderId="0" xfId="0" applyFont="1"/>
    <xf numFmtId="0" fontId="4" fillId="0" borderId="0" xfId="0" applyFont="1" applyAlignment="1">
      <alignment vertical="top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5" fillId="0" borderId="0" xfId="0" applyFont="1" applyAlignment="1">
      <alignment vertical="top"/>
    </xf>
    <xf numFmtId="0" fontId="4" fillId="0" borderId="5" xfId="0" applyFont="1" applyBorder="1" applyAlignment="1">
      <alignment horizontal="center" vertical="top" wrapText="1"/>
    </xf>
    <xf numFmtId="0" fontId="4" fillId="0" borderId="5" xfId="0" applyFont="1" applyBorder="1" applyAlignment="1">
      <alignment vertical="top"/>
    </xf>
    <xf numFmtId="43" fontId="4" fillId="0" borderId="5" xfId="0" applyNumberFormat="1" applyFont="1" applyBorder="1" applyAlignment="1">
      <alignment vertical="top"/>
    </xf>
    <xf numFmtId="0" fontId="4" fillId="0" borderId="5" xfId="0" applyFont="1" applyBorder="1" applyAlignment="1">
      <alignment vertical="top" wrapText="1"/>
    </xf>
    <xf numFmtId="0" fontId="4" fillId="0" borderId="9" xfId="0" applyFont="1" applyBorder="1" applyAlignment="1">
      <alignment vertical="top"/>
    </xf>
    <xf numFmtId="0" fontId="4" fillId="0" borderId="11" xfId="0" applyFont="1" applyBorder="1" applyAlignment="1">
      <alignment vertical="top"/>
    </xf>
    <xf numFmtId="0" fontId="5" fillId="0" borderId="9" xfId="0" applyFont="1" applyBorder="1" applyAlignment="1">
      <alignment vertical="top"/>
    </xf>
    <xf numFmtId="0" fontId="5" fillId="0" borderId="11" xfId="0" applyFont="1" applyBorder="1" applyAlignment="1">
      <alignment vertical="top"/>
    </xf>
    <xf numFmtId="0" fontId="5" fillId="0" borderId="10" xfId="0" applyFont="1" applyBorder="1" applyAlignment="1">
      <alignment vertical="top"/>
    </xf>
    <xf numFmtId="0" fontId="5" fillId="0" borderId="5" xfId="0" applyFont="1" applyBorder="1" applyAlignment="1">
      <alignment horizontal="center" vertical="top"/>
    </xf>
    <xf numFmtId="43" fontId="5" fillId="0" borderId="5" xfId="0" applyNumberFormat="1" applyFont="1" applyBorder="1" applyAlignment="1">
      <alignment vertical="top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5" borderId="0" xfId="0" applyFont="1" applyFill="1" applyAlignment="1">
      <alignment horizontal="center" vertical="center"/>
    </xf>
    <xf numFmtId="0" fontId="6" fillId="4" borderId="0" xfId="0" applyFont="1" applyFill="1" applyAlignment="1">
      <alignment horizontal="center"/>
    </xf>
    <xf numFmtId="0" fontId="5" fillId="3" borderId="0" xfId="0" applyFont="1" applyFill="1" applyBorder="1" applyAlignment="1">
      <alignment horizontal="center" vertical="center" wrapText="1"/>
    </xf>
    <xf numFmtId="0" fontId="5" fillId="5" borderId="0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10" fontId="4" fillId="0" borderId="9" xfId="0" applyNumberFormat="1" applyFont="1" applyBorder="1" applyAlignment="1">
      <alignment horizontal="center" vertical="center" wrapText="1"/>
    </xf>
  </cellXfs>
  <cellStyles count="12">
    <cellStyle name="Normal" xfId="0" builtinId="0"/>
    <cellStyle name="Normal 2" xfId="1"/>
    <cellStyle name="Porcentagem" xfId="11" builtinId="5"/>
    <cellStyle name="Vírgula" xfId="10" builtinId="3"/>
    <cellStyle name="Vírgula 2" xfId="2"/>
    <cellStyle name="Vírgula 3" xfId="3"/>
    <cellStyle name="Vírgula 3 2" xfId="4"/>
    <cellStyle name="Vírgula 4" xfId="5"/>
    <cellStyle name="Vírgula 4 2" xfId="6"/>
    <cellStyle name="Vírgula 5" xfId="7"/>
    <cellStyle name="Vírgula 5 2" xfId="8"/>
    <cellStyle name="Vírgula 6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0"/>
  <sheetViews>
    <sheetView view="pageBreakPreview" zoomScaleNormal="115" zoomScaleSheetLayoutView="100" workbookViewId="0">
      <selection activeCell="C130" sqref="C130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74" t="s">
        <v>0</v>
      </c>
      <c r="B1" s="74"/>
      <c r="C1" s="74"/>
      <c r="D1" s="74"/>
    </row>
    <row r="2" spans="1:4" ht="15.75" x14ac:dyDescent="0.25">
      <c r="A2" s="26"/>
      <c r="B2" s="26"/>
      <c r="C2" s="26"/>
      <c r="D2" s="26"/>
    </row>
    <row r="3" spans="1:4" x14ac:dyDescent="0.2">
      <c r="A3" s="76" t="s">
        <v>88</v>
      </c>
      <c r="B3" s="76"/>
      <c r="C3" s="76"/>
      <c r="D3" s="76"/>
    </row>
    <row r="4" spans="1:4" x14ac:dyDescent="0.2">
      <c r="A4" s="2"/>
      <c r="B4" s="2"/>
      <c r="C4" s="2"/>
      <c r="D4" s="2"/>
    </row>
    <row r="5" spans="1:4" ht="38.25" x14ac:dyDescent="0.2">
      <c r="A5" s="83" t="s">
        <v>89</v>
      </c>
      <c r="B5" s="83"/>
      <c r="C5" s="7" t="s">
        <v>90</v>
      </c>
      <c r="D5" s="27" t="s">
        <v>91</v>
      </c>
    </row>
    <row r="6" spans="1:4" x14ac:dyDescent="0.2">
      <c r="A6" s="84" t="s">
        <v>100</v>
      </c>
      <c r="B6" s="84"/>
      <c r="C6" s="33" t="s">
        <v>101</v>
      </c>
      <c r="D6" s="33">
        <v>2</v>
      </c>
    </row>
    <row r="8" spans="1:4" x14ac:dyDescent="0.2">
      <c r="A8" s="76" t="s">
        <v>72</v>
      </c>
      <c r="B8" s="76"/>
      <c r="C8" s="76"/>
      <c r="D8" s="76"/>
    </row>
    <row r="9" spans="1:4" x14ac:dyDescent="0.2">
      <c r="A9" s="2"/>
      <c r="B9" s="2"/>
      <c r="C9" s="2"/>
      <c r="D9" s="2"/>
    </row>
    <row r="10" spans="1:4" x14ac:dyDescent="0.2">
      <c r="A10" s="5">
        <v>1</v>
      </c>
      <c r="B10" s="5" t="s">
        <v>73</v>
      </c>
      <c r="C10" s="85" t="s">
        <v>100</v>
      </c>
      <c r="D10" s="86"/>
    </row>
    <row r="11" spans="1:4" x14ac:dyDescent="0.2">
      <c r="A11" s="5">
        <v>2</v>
      </c>
      <c r="B11" s="5" t="s">
        <v>92</v>
      </c>
      <c r="C11" s="85" t="s">
        <v>102</v>
      </c>
      <c r="D11" s="86"/>
    </row>
    <row r="12" spans="1:4" x14ac:dyDescent="0.2">
      <c r="A12" s="5">
        <v>3</v>
      </c>
      <c r="B12" s="5" t="s">
        <v>74</v>
      </c>
      <c r="C12" s="87">
        <v>2330.61</v>
      </c>
      <c r="D12" s="86"/>
    </row>
    <row r="13" spans="1:4" x14ac:dyDescent="0.2">
      <c r="A13" s="5">
        <v>4</v>
      </c>
      <c r="B13" s="5" t="s">
        <v>75</v>
      </c>
      <c r="C13" s="85"/>
      <c r="D13" s="86"/>
    </row>
    <row r="14" spans="1:4" x14ac:dyDescent="0.2">
      <c r="A14" s="5">
        <v>5</v>
      </c>
      <c r="B14" s="5" t="s">
        <v>76</v>
      </c>
      <c r="C14" s="85"/>
      <c r="D14" s="86"/>
    </row>
    <row r="16" spans="1:4" x14ac:dyDescent="0.2">
      <c r="A16" s="76" t="s">
        <v>1</v>
      </c>
      <c r="B16" s="76"/>
      <c r="C16" s="76"/>
      <c r="D16" s="76"/>
    </row>
    <row r="18" spans="1:4" x14ac:dyDescent="0.2">
      <c r="A18" s="6">
        <v>1</v>
      </c>
      <c r="B18" s="70" t="s">
        <v>2</v>
      </c>
      <c r="C18" s="70"/>
      <c r="D18" s="6" t="s">
        <v>3</v>
      </c>
    </row>
    <row r="19" spans="1:4" x14ac:dyDescent="0.2">
      <c r="A19" s="7" t="s">
        <v>4</v>
      </c>
      <c r="B19" s="69" t="s">
        <v>5</v>
      </c>
      <c r="C19" s="69"/>
      <c r="D19" s="13">
        <v>2330.61</v>
      </c>
    </row>
    <row r="20" spans="1:4" x14ac:dyDescent="0.2">
      <c r="A20" s="7" t="s">
        <v>6</v>
      </c>
      <c r="B20" s="69" t="s">
        <v>7</v>
      </c>
      <c r="C20" s="69"/>
      <c r="D20" s="13"/>
    </row>
    <row r="21" spans="1:4" x14ac:dyDescent="0.2">
      <c r="A21" s="7" t="s">
        <v>8</v>
      </c>
      <c r="B21" s="69" t="s">
        <v>9</v>
      </c>
      <c r="C21" s="69"/>
      <c r="D21" s="13"/>
    </row>
    <row r="22" spans="1:4" x14ac:dyDescent="0.2">
      <c r="A22" s="7" t="s">
        <v>10</v>
      </c>
      <c r="B22" s="69" t="s">
        <v>11</v>
      </c>
      <c r="C22" s="69"/>
      <c r="D22" s="13"/>
    </row>
    <row r="23" spans="1:4" x14ac:dyDescent="0.2">
      <c r="A23" s="7" t="s">
        <v>12</v>
      </c>
      <c r="B23" s="69" t="s">
        <v>13</v>
      </c>
      <c r="C23" s="69"/>
      <c r="D23" s="13"/>
    </row>
    <row r="24" spans="1:4" x14ac:dyDescent="0.2">
      <c r="A24" s="7"/>
      <c r="B24" s="69"/>
      <c r="C24" s="69"/>
      <c r="D24" s="13"/>
    </row>
    <row r="25" spans="1:4" x14ac:dyDescent="0.2">
      <c r="A25" s="7" t="s">
        <v>14</v>
      </c>
      <c r="B25" s="69" t="s">
        <v>15</v>
      </c>
      <c r="C25" s="69"/>
      <c r="D25" s="13"/>
    </row>
    <row r="26" spans="1:4" x14ac:dyDescent="0.2">
      <c r="A26" s="70" t="s">
        <v>16</v>
      </c>
      <c r="B26" s="70"/>
      <c r="C26" s="70"/>
      <c r="D26" s="20">
        <f>SUM(D19:D25)</f>
        <v>2330.61</v>
      </c>
    </row>
    <row r="29" spans="1:4" x14ac:dyDescent="0.2">
      <c r="A29" s="73" t="s">
        <v>17</v>
      </c>
      <c r="B29" s="73"/>
      <c r="C29" s="73"/>
      <c r="D29" s="73"/>
    </row>
    <row r="30" spans="1:4" x14ac:dyDescent="0.2">
      <c r="A30" s="3"/>
    </row>
    <row r="31" spans="1:4" x14ac:dyDescent="0.2">
      <c r="A31" s="71" t="s">
        <v>18</v>
      </c>
      <c r="B31" s="71"/>
      <c r="C31" s="71"/>
      <c r="D31" s="71"/>
    </row>
    <row r="33" spans="1:4" x14ac:dyDescent="0.2">
      <c r="A33" s="6" t="s">
        <v>19</v>
      </c>
      <c r="B33" s="70" t="s">
        <v>20</v>
      </c>
      <c r="C33" s="70"/>
      <c r="D33" s="6" t="s">
        <v>3</v>
      </c>
    </row>
    <row r="34" spans="1:4" x14ac:dyDescent="0.2">
      <c r="A34" s="7" t="s">
        <v>4</v>
      </c>
      <c r="B34" s="8" t="s">
        <v>21</v>
      </c>
      <c r="C34" s="12">
        <f>TRUNC(1/12,4)</f>
        <v>8.3299999999999999E-2</v>
      </c>
      <c r="D34" s="13">
        <f>TRUNC($D$26*C34,2)</f>
        <v>194.13</v>
      </c>
    </row>
    <row r="35" spans="1:4" x14ac:dyDescent="0.2">
      <c r="A35" s="7" t="s">
        <v>6</v>
      </c>
      <c r="B35" s="8" t="s">
        <v>22</v>
      </c>
      <c r="C35" s="12">
        <f>TRUNC(((1+1/3)/12),4)</f>
        <v>0.1111</v>
      </c>
      <c r="D35" s="13">
        <f>TRUNC($D$26*C35,2)</f>
        <v>258.93</v>
      </c>
    </row>
    <row r="36" spans="1:4" x14ac:dyDescent="0.2">
      <c r="A36" s="70" t="s">
        <v>16</v>
      </c>
      <c r="B36" s="70"/>
      <c r="C36" s="28">
        <f>SUM(C34:C35)</f>
        <v>0.19440000000000002</v>
      </c>
      <c r="D36" s="19">
        <f>SUM(D34:D35)</f>
        <v>453.06</v>
      </c>
    </row>
    <row r="39" spans="1:4" x14ac:dyDescent="0.2">
      <c r="A39" s="75" t="s">
        <v>23</v>
      </c>
      <c r="B39" s="75"/>
      <c r="C39" s="75"/>
      <c r="D39" s="75"/>
    </row>
    <row r="41" spans="1:4" x14ac:dyDescent="0.2">
      <c r="A41" s="6" t="s">
        <v>24</v>
      </c>
      <c r="B41" s="6" t="s">
        <v>25</v>
      </c>
      <c r="C41" s="6" t="s">
        <v>26</v>
      </c>
      <c r="D41" s="6" t="s">
        <v>3</v>
      </c>
    </row>
    <row r="42" spans="1:4" x14ac:dyDescent="0.2">
      <c r="A42" s="7" t="s">
        <v>4</v>
      </c>
      <c r="B42" s="8" t="s">
        <v>27</v>
      </c>
      <c r="C42" s="9">
        <v>0.2</v>
      </c>
      <c r="D42" s="13">
        <f>TRUNC(($D$26+$D$36)*C42,2)</f>
        <v>556.73</v>
      </c>
    </row>
    <row r="43" spans="1:4" x14ac:dyDescent="0.2">
      <c r="A43" s="7" t="s">
        <v>6</v>
      </c>
      <c r="B43" s="8" t="s">
        <v>28</v>
      </c>
      <c r="C43" s="9">
        <v>2.5000000000000001E-2</v>
      </c>
      <c r="D43" s="13">
        <f t="shared" ref="D43:D49" si="0">TRUNC(($D$26+$D$36)*C43,2)</f>
        <v>69.59</v>
      </c>
    </row>
    <row r="44" spans="1:4" x14ac:dyDescent="0.2">
      <c r="A44" s="7" t="s">
        <v>8</v>
      </c>
      <c r="B44" s="8" t="s">
        <v>29</v>
      </c>
      <c r="C44" s="16">
        <v>0.03</v>
      </c>
      <c r="D44" s="13">
        <f t="shared" si="0"/>
        <v>83.51</v>
      </c>
    </row>
    <row r="45" spans="1:4" x14ac:dyDescent="0.2">
      <c r="A45" s="7" t="s">
        <v>10</v>
      </c>
      <c r="B45" s="8" t="s">
        <v>30</v>
      </c>
      <c r="C45" s="9">
        <v>1.4999999999999999E-2</v>
      </c>
      <c r="D45" s="13">
        <f t="shared" si="0"/>
        <v>41.75</v>
      </c>
    </row>
    <row r="46" spans="1:4" x14ac:dyDescent="0.2">
      <c r="A46" s="7" t="s">
        <v>12</v>
      </c>
      <c r="B46" s="8" t="s">
        <v>31</v>
      </c>
      <c r="C46" s="9">
        <v>0.01</v>
      </c>
      <c r="D46" s="13">
        <f t="shared" si="0"/>
        <v>27.83</v>
      </c>
    </row>
    <row r="47" spans="1:4" x14ac:dyDescent="0.2">
      <c r="A47" s="7" t="s">
        <v>32</v>
      </c>
      <c r="B47" s="8" t="s">
        <v>33</v>
      </c>
      <c r="C47" s="9">
        <v>6.0000000000000001E-3</v>
      </c>
      <c r="D47" s="13">
        <f t="shared" si="0"/>
        <v>16.7</v>
      </c>
    </row>
    <row r="48" spans="1:4" x14ac:dyDescent="0.2">
      <c r="A48" s="7" t="s">
        <v>14</v>
      </c>
      <c r="B48" s="8" t="s">
        <v>34</v>
      </c>
      <c r="C48" s="9">
        <v>2E-3</v>
      </c>
      <c r="D48" s="13">
        <f t="shared" si="0"/>
        <v>5.56</v>
      </c>
    </row>
    <row r="49" spans="1:4" x14ac:dyDescent="0.2">
      <c r="A49" s="7" t="s">
        <v>35</v>
      </c>
      <c r="B49" s="8" t="s">
        <v>36</v>
      </c>
      <c r="C49" s="9">
        <v>0.08</v>
      </c>
      <c r="D49" s="13">
        <f t="shared" si="0"/>
        <v>222.69</v>
      </c>
    </row>
    <row r="50" spans="1:4" x14ac:dyDescent="0.2">
      <c r="A50" s="70" t="s">
        <v>37</v>
      </c>
      <c r="B50" s="70"/>
      <c r="C50" s="15">
        <f>SUM(C42:C49)</f>
        <v>0.36800000000000005</v>
      </c>
      <c r="D50" s="19">
        <f>SUM(D42:D49)</f>
        <v>1024.3600000000001</v>
      </c>
    </row>
    <row r="53" spans="1:4" x14ac:dyDescent="0.2">
      <c r="A53" s="71" t="s">
        <v>38</v>
      </c>
      <c r="B53" s="71"/>
      <c r="C53" s="71"/>
      <c r="D53" s="71"/>
    </row>
    <row r="55" spans="1:4" x14ac:dyDescent="0.2">
      <c r="A55" s="6" t="s">
        <v>39</v>
      </c>
      <c r="B55" s="72" t="s">
        <v>40</v>
      </c>
      <c r="C55" s="72"/>
      <c r="D55" s="6" t="s">
        <v>3</v>
      </c>
    </row>
    <row r="56" spans="1:4" x14ac:dyDescent="0.2">
      <c r="A56" s="7" t="s">
        <v>4</v>
      </c>
      <c r="B56" s="69" t="s">
        <v>41</v>
      </c>
      <c r="C56" s="69"/>
      <c r="D56" s="13">
        <f>IF((22*2*5.6)-(D19*0.06)&gt;0,(22*2*5.6)-(D19*0.06),0)</f>
        <v>106.56339999999997</v>
      </c>
    </row>
    <row r="57" spans="1:4" x14ac:dyDescent="0.2">
      <c r="A57" s="7" t="s">
        <v>6</v>
      </c>
      <c r="B57" s="69" t="s">
        <v>42</v>
      </c>
      <c r="C57" s="69"/>
      <c r="D57" s="13">
        <f>20*0.8*22</f>
        <v>352</v>
      </c>
    </row>
    <row r="58" spans="1:4" x14ac:dyDescent="0.2">
      <c r="A58" s="7" t="s">
        <v>8</v>
      </c>
      <c r="B58" s="69" t="s">
        <v>103</v>
      </c>
      <c r="C58" s="69"/>
      <c r="D58" s="13">
        <v>280</v>
      </c>
    </row>
    <row r="59" spans="1:4" x14ac:dyDescent="0.2">
      <c r="A59" s="7" t="s">
        <v>10</v>
      </c>
      <c r="B59" s="69" t="s">
        <v>104</v>
      </c>
      <c r="C59" s="69"/>
      <c r="D59" s="13">
        <v>23</v>
      </c>
    </row>
    <row r="60" spans="1:4" x14ac:dyDescent="0.2">
      <c r="A60" s="32" t="s">
        <v>12</v>
      </c>
      <c r="B60" s="69" t="s">
        <v>105</v>
      </c>
      <c r="C60" s="69"/>
      <c r="D60" s="13">
        <v>4.8</v>
      </c>
    </row>
    <row r="61" spans="1:4" x14ac:dyDescent="0.2">
      <c r="A61" s="70" t="s">
        <v>16</v>
      </c>
      <c r="B61" s="70"/>
      <c r="C61" s="70"/>
      <c r="D61" s="19">
        <f>SUM(D56:D60)</f>
        <v>766.36339999999996</v>
      </c>
    </row>
    <row r="64" spans="1:4" x14ac:dyDescent="0.2">
      <c r="A64" s="71" t="s">
        <v>43</v>
      </c>
      <c r="B64" s="71"/>
      <c r="C64" s="71"/>
      <c r="D64" s="71"/>
    </row>
    <row r="66" spans="1:5" x14ac:dyDescent="0.2">
      <c r="A66" s="6">
        <v>2</v>
      </c>
      <c r="B66" s="72" t="s">
        <v>44</v>
      </c>
      <c r="C66" s="72"/>
      <c r="D66" s="6" t="s">
        <v>3</v>
      </c>
    </row>
    <row r="67" spans="1:5" x14ac:dyDescent="0.2">
      <c r="A67" s="7" t="s">
        <v>19</v>
      </c>
      <c r="B67" s="69" t="s">
        <v>20</v>
      </c>
      <c r="C67" s="69"/>
      <c r="D67" s="14">
        <f>D36</f>
        <v>453.06</v>
      </c>
    </row>
    <row r="68" spans="1:5" x14ac:dyDescent="0.2">
      <c r="A68" s="7" t="s">
        <v>24</v>
      </c>
      <c r="B68" s="69" t="s">
        <v>25</v>
      </c>
      <c r="C68" s="69"/>
      <c r="D68" s="14">
        <f>D50</f>
        <v>1024.3600000000001</v>
      </c>
    </row>
    <row r="69" spans="1:5" x14ac:dyDescent="0.2">
      <c r="A69" s="7" t="s">
        <v>39</v>
      </c>
      <c r="B69" s="69" t="s">
        <v>40</v>
      </c>
      <c r="C69" s="69"/>
      <c r="D69" s="14">
        <f>D61</f>
        <v>766.36339999999996</v>
      </c>
    </row>
    <row r="70" spans="1:5" x14ac:dyDescent="0.2">
      <c r="A70" s="70" t="s">
        <v>16</v>
      </c>
      <c r="B70" s="70"/>
      <c r="C70" s="70"/>
      <c r="D70" s="19">
        <f>SUM(D67:D69)</f>
        <v>2243.7834000000003</v>
      </c>
    </row>
    <row r="71" spans="1:5" x14ac:dyDescent="0.2">
      <c r="A71" s="4"/>
      <c r="E71" s="18"/>
    </row>
    <row r="73" spans="1:5" x14ac:dyDescent="0.2">
      <c r="A73" s="73" t="s">
        <v>45</v>
      </c>
      <c r="B73" s="73"/>
      <c r="C73" s="73"/>
      <c r="D73" s="73"/>
      <c r="E73" s="17"/>
    </row>
    <row r="74" spans="1:5" ht="12.75" customHeight="1" x14ac:dyDescent="0.2">
      <c r="E74" s="18"/>
    </row>
    <row r="75" spans="1:5" x14ac:dyDescent="0.2">
      <c r="A75" s="6">
        <v>3</v>
      </c>
      <c r="B75" s="72" t="s">
        <v>46</v>
      </c>
      <c r="C75" s="72"/>
      <c r="D75" s="6" t="s">
        <v>3</v>
      </c>
    </row>
    <row r="76" spans="1:5" x14ac:dyDescent="0.2">
      <c r="A76" s="7" t="s">
        <v>4</v>
      </c>
      <c r="B76" s="10" t="s">
        <v>47</v>
      </c>
      <c r="C76" s="9">
        <f>TRUNC(((1/12)*5%),4)</f>
        <v>4.1000000000000003E-3</v>
      </c>
      <c r="D76" s="13">
        <f>TRUNC($D$26*C76,2)</f>
        <v>9.5500000000000007</v>
      </c>
    </row>
    <row r="77" spans="1:5" x14ac:dyDescent="0.2">
      <c r="A77" s="7" t="s">
        <v>6</v>
      </c>
      <c r="B77" s="10" t="s">
        <v>48</v>
      </c>
      <c r="C77" s="9">
        <v>0.08</v>
      </c>
      <c r="D77" s="13">
        <f>TRUNC(D76*C77,2)</f>
        <v>0.76</v>
      </c>
    </row>
    <row r="78" spans="1:5" x14ac:dyDescent="0.2">
      <c r="A78" s="7" t="s">
        <v>8</v>
      </c>
      <c r="B78" s="10" t="s">
        <v>98</v>
      </c>
      <c r="C78" s="9">
        <f>TRUNC(8%*5%*40%,4)</f>
        <v>1.6000000000000001E-3</v>
      </c>
      <c r="D78" s="13">
        <f>TRUNC($D$26*C78,2)</f>
        <v>3.72</v>
      </c>
    </row>
    <row r="79" spans="1:5" x14ac:dyDescent="0.2">
      <c r="A79" s="7" t="s">
        <v>10</v>
      </c>
      <c r="B79" s="10" t="s">
        <v>49</v>
      </c>
      <c r="C79" s="9">
        <f>TRUNC(((7/30)/12)*95%,4)</f>
        <v>1.84E-2</v>
      </c>
      <c r="D79" s="13">
        <f>TRUNC($D$26*C79,2)</f>
        <v>42.88</v>
      </c>
    </row>
    <row r="80" spans="1:5" ht="25.5" x14ac:dyDescent="0.2">
      <c r="A80" s="7" t="s">
        <v>12</v>
      </c>
      <c r="B80" s="10" t="s">
        <v>93</v>
      </c>
      <c r="C80" s="9">
        <f>C50</f>
        <v>0.36800000000000005</v>
      </c>
      <c r="D80" s="13">
        <f>TRUNC(D79*C80,2)</f>
        <v>15.77</v>
      </c>
    </row>
    <row r="81" spans="1:4" x14ac:dyDescent="0.2">
      <c r="A81" s="7" t="s">
        <v>32</v>
      </c>
      <c r="B81" s="10" t="s">
        <v>99</v>
      </c>
      <c r="C81" s="9">
        <f>TRUNC(8%*95%*40%,4)</f>
        <v>3.04E-2</v>
      </c>
      <c r="D81" s="13">
        <f t="shared" ref="D81" si="1">TRUNC($D$26*C81,2)</f>
        <v>70.849999999999994</v>
      </c>
    </row>
    <row r="82" spans="1:4" x14ac:dyDescent="0.2">
      <c r="A82" s="77" t="s">
        <v>16</v>
      </c>
      <c r="B82" s="78"/>
      <c r="C82" s="79"/>
      <c r="D82" s="19">
        <f>SUM(D76:D81)</f>
        <v>143.53</v>
      </c>
    </row>
    <row r="85" spans="1:4" x14ac:dyDescent="0.2">
      <c r="A85" s="73" t="s">
        <v>50</v>
      </c>
      <c r="B85" s="73"/>
      <c r="C85" s="73"/>
      <c r="D85" s="73"/>
    </row>
    <row r="88" spans="1:4" x14ac:dyDescent="0.2">
      <c r="A88" s="71" t="s">
        <v>77</v>
      </c>
      <c r="B88" s="71"/>
      <c r="C88" s="71"/>
      <c r="D88" s="71"/>
    </row>
    <row r="89" spans="1:4" x14ac:dyDescent="0.2">
      <c r="A89" s="3"/>
    </row>
    <row r="90" spans="1:4" x14ac:dyDescent="0.2">
      <c r="A90" s="6" t="s">
        <v>51</v>
      </c>
      <c r="B90" s="72" t="s">
        <v>78</v>
      </c>
      <c r="C90" s="72"/>
      <c r="D90" s="6" t="s">
        <v>3</v>
      </c>
    </row>
    <row r="91" spans="1:4" x14ac:dyDescent="0.2">
      <c r="A91" s="7" t="s">
        <v>4</v>
      </c>
      <c r="B91" s="8" t="s">
        <v>79</v>
      </c>
      <c r="C91" s="9">
        <f>TRUNC(((1+1/3)/12)/12,4)</f>
        <v>9.1999999999999998E-3</v>
      </c>
      <c r="D91" s="13">
        <f>TRUNC(($D$26+$D$70+$D$82)*C91,2)</f>
        <v>43.4</v>
      </c>
    </row>
    <row r="92" spans="1:4" x14ac:dyDescent="0.2">
      <c r="A92" s="7" t="s">
        <v>6</v>
      </c>
      <c r="B92" s="8" t="s">
        <v>80</v>
      </c>
      <c r="C92" s="9">
        <f>TRUNC(((2/30)/12),4)</f>
        <v>5.4999999999999997E-3</v>
      </c>
      <c r="D92" s="13">
        <f t="shared" ref="D92:D96" si="2">TRUNC(($D$26+$D$70+$D$82)*C92,2)</f>
        <v>25.94</v>
      </c>
    </row>
    <row r="93" spans="1:4" x14ac:dyDescent="0.2">
      <c r="A93" s="7" t="s">
        <v>8</v>
      </c>
      <c r="B93" s="8" t="s">
        <v>81</v>
      </c>
      <c r="C93" s="9">
        <f>TRUNC(((5/30)/12)*2%,4)</f>
        <v>2.0000000000000001E-4</v>
      </c>
      <c r="D93" s="13">
        <f t="shared" si="2"/>
        <v>0.94</v>
      </c>
    </row>
    <row r="94" spans="1:4" x14ac:dyDescent="0.2">
      <c r="A94" s="7" t="s">
        <v>10</v>
      </c>
      <c r="B94" s="8" t="s">
        <v>82</v>
      </c>
      <c r="C94" s="9">
        <f>TRUNC(((15/30)/12)*8%,4)</f>
        <v>3.3E-3</v>
      </c>
      <c r="D94" s="13">
        <f t="shared" si="2"/>
        <v>15.56</v>
      </c>
    </row>
    <row r="95" spans="1:4" x14ac:dyDescent="0.2">
      <c r="A95" s="7" t="s">
        <v>12</v>
      </c>
      <c r="B95" s="8" t="s">
        <v>83</v>
      </c>
      <c r="C95" s="9">
        <f>((1+1/3)/12)*3%*(4/12)</f>
        <v>1.1111111111111109E-3</v>
      </c>
      <c r="D95" s="13">
        <f t="shared" si="2"/>
        <v>5.24</v>
      </c>
    </row>
    <row r="96" spans="1:4" x14ac:dyDescent="0.2">
      <c r="A96" s="7" t="s">
        <v>32</v>
      </c>
      <c r="B96" s="8" t="s">
        <v>84</v>
      </c>
      <c r="C96" s="9"/>
      <c r="D96" s="13">
        <f t="shared" si="2"/>
        <v>0</v>
      </c>
    </row>
    <row r="97" spans="1:6" x14ac:dyDescent="0.2">
      <c r="A97" s="70" t="s">
        <v>37</v>
      </c>
      <c r="B97" s="70"/>
      <c r="C97" s="70"/>
      <c r="D97" s="19">
        <f>SUM(D91:D96)</f>
        <v>91.08</v>
      </c>
      <c r="E97" s="17"/>
      <c r="F97" s="17"/>
    </row>
    <row r="100" spans="1:6" x14ac:dyDescent="0.2">
      <c r="A100" s="71" t="s">
        <v>85</v>
      </c>
      <c r="B100" s="71"/>
      <c r="C100" s="71"/>
      <c r="D100" s="71"/>
    </row>
    <row r="101" spans="1:6" x14ac:dyDescent="0.2">
      <c r="A101" s="3"/>
    </row>
    <row r="102" spans="1:6" x14ac:dyDescent="0.2">
      <c r="A102" s="6" t="s">
        <v>52</v>
      </c>
      <c r="B102" s="72" t="s">
        <v>86</v>
      </c>
      <c r="C102" s="72"/>
      <c r="D102" s="6" t="s">
        <v>3</v>
      </c>
    </row>
    <row r="103" spans="1:6" x14ac:dyDescent="0.2">
      <c r="A103" s="7" t="s">
        <v>4</v>
      </c>
      <c r="B103" s="80" t="s">
        <v>87</v>
      </c>
      <c r="C103" s="81"/>
      <c r="D103" s="13">
        <f>((D26+D70+D82)/220)*22*0</f>
        <v>0</v>
      </c>
    </row>
    <row r="104" spans="1:6" x14ac:dyDescent="0.2">
      <c r="A104" s="70" t="s">
        <v>16</v>
      </c>
      <c r="B104" s="70"/>
      <c r="C104" s="70"/>
      <c r="D104" s="19">
        <f>SUM(D103)</f>
        <v>0</v>
      </c>
    </row>
    <row r="107" spans="1:6" x14ac:dyDescent="0.2">
      <c r="A107" s="71" t="s">
        <v>53</v>
      </c>
      <c r="B107" s="71"/>
      <c r="C107" s="71"/>
      <c r="D107" s="71"/>
    </row>
    <row r="108" spans="1:6" x14ac:dyDescent="0.2">
      <c r="A108" s="3"/>
    </row>
    <row r="109" spans="1:6" x14ac:dyDescent="0.2">
      <c r="A109" s="6">
        <v>4</v>
      </c>
      <c r="B109" s="70" t="s">
        <v>54</v>
      </c>
      <c r="C109" s="70"/>
      <c r="D109" s="6" t="s">
        <v>3</v>
      </c>
    </row>
    <row r="110" spans="1:6" x14ac:dyDescent="0.2">
      <c r="A110" s="7" t="s">
        <v>51</v>
      </c>
      <c r="B110" s="69" t="s">
        <v>78</v>
      </c>
      <c r="C110" s="69"/>
      <c r="D110" s="14">
        <f>D97</f>
        <v>91.08</v>
      </c>
    </row>
    <row r="111" spans="1:6" x14ac:dyDescent="0.2">
      <c r="A111" s="7" t="s">
        <v>52</v>
      </c>
      <c r="B111" s="69" t="s">
        <v>86</v>
      </c>
      <c r="C111" s="69"/>
      <c r="D111" s="14">
        <f>D104</f>
        <v>0</v>
      </c>
    </row>
    <row r="112" spans="1:6" x14ac:dyDescent="0.2">
      <c r="A112" s="70" t="s">
        <v>16</v>
      </c>
      <c r="B112" s="70"/>
      <c r="C112" s="70"/>
      <c r="D112" s="19">
        <f>SUM(D110:D111)</f>
        <v>91.08</v>
      </c>
    </row>
    <row r="115" spans="1:4" x14ac:dyDescent="0.2">
      <c r="A115" s="73" t="s">
        <v>55</v>
      </c>
      <c r="B115" s="73"/>
      <c r="C115" s="73"/>
      <c r="D115" s="73"/>
    </row>
    <row r="117" spans="1:4" x14ac:dyDescent="0.2">
      <c r="A117" s="6">
        <v>5</v>
      </c>
      <c r="B117" s="82" t="s">
        <v>56</v>
      </c>
      <c r="C117" s="82"/>
      <c r="D117" s="6" t="s">
        <v>3</v>
      </c>
    </row>
    <row r="118" spans="1:4" x14ac:dyDescent="0.2">
      <c r="A118" s="7" t="s">
        <v>4</v>
      </c>
      <c r="B118" s="8" t="s">
        <v>57</v>
      </c>
      <c r="C118" s="8"/>
      <c r="D118" s="13">
        <v>31.46</v>
      </c>
    </row>
    <row r="119" spans="1:4" x14ac:dyDescent="0.2">
      <c r="A119" s="7" t="s">
        <v>6</v>
      </c>
      <c r="B119" s="8" t="s">
        <v>58</v>
      </c>
      <c r="C119" s="8"/>
      <c r="D119" s="13"/>
    </row>
    <row r="120" spans="1:4" x14ac:dyDescent="0.2">
      <c r="A120" s="7" t="s">
        <v>8</v>
      </c>
      <c r="B120" s="8" t="s">
        <v>59</v>
      </c>
      <c r="C120" s="8"/>
      <c r="D120" s="13"/>
    </row>
    <row r="121" spans="1:4" x14ac:dyDescent="0.2">
      <c r="A121" s="7" t="s">
        <v>10</v>
      </c>
      <c r="B121" s="8" t="s">
        <v>15</v>
      </c>
      <c r="C121" s="8"/>
      <c r="D121" s="13"/>
    </row>
    <row r="122" spans="1:4" x14ac:dyDescent="0.2">
      <c r="A122" s="70" t="s">
        <v>37</v>
      </c>
      <c r="B122" s="70"/>
      <c r="C122" s="70"/>
      <c r="D122" s="20">
        <f>SUM(D118:D121)</f>
        <v>31.46</v>
      </c>
    </row>
    <row r="125" spans="1:4" x14ac:dyDescent="0.2">
      <c r="A125" s="73" t="s">
        <v>60</v>
      </c>
      <c r="B125" s="73"/>
      <c r="C125" s="73"/>
      <c r="D125" s="73"/>
    </row>
    <row r="127" spans="1:4" x14ac:dyDescent="0.2">
      <c r="A127" s="6">
        <v>6</v>
      </c>
      <c r="B127" s="11" t="s">
        <v>61</v>
      </c>
      <c r="C127" s="6" t="s">
        <v>26</v>
      </c>
      <c r="D127" s="6" t="s">
        <v>3</v>
      </c>
    </row>
    <row r="128" spans="1:4" x14ac:dyDescent="0.2">
      <c r="A128" s="7" t="s">
        <v>4</v>
      </c>
      <c r="B128" s="8" t="s">
        <v>62</v>
      </c>
      <c r="C128" s="9">
        <v>0.02</v>
      </c>
      <c r="D128" s="14">
        <f>D148*C128</f>
        <v>96.809268000000017</v>
      </c>
    </row>
    <row r="129" spans="1:4" x14ac:dyDescent="0.2">
      <c r="A129" s="7" t="s">
        <v>6</v>
      </c>
      <c r="B129" s="8" t="s">
        <v>63</v>
      </c>
      <c r="C129" s="9">
        <v>0.03</v>
      </c>
      <c r="D129" s="13">
        <f>(D148+D128)*C129</f>
        <v>148.11818004</v>
      </c>
    </row>
    <row r="130" spans="1:4" x14ac:dyDescent="0.2">
      <c r="A130" s="7" t="s">
        <v>8</v>
      </c>
      <c r="B130" s="8" t="s">
        <v>64</v>
      </c>
      <c r="C130" s="12">
        <f>SUM(C131:C136)</f>
        <v>8.6499999999999994E-2</v>
      </c>
      <c r="D130" s="13">
        <f>(D148+D128+D129)*C130/(1-C130)</f>
        <v>481.53947274817739</v>
      </c>
    </row>
    <row r="131" spans="1:4" x14ac:dyDescent="0.2">
      <c r="A131" s="7"/>
      <c r="B131" s="8" t="s">
        <v>65</v>
      </c>
      <c r="C131" s="9"/>
      <c r="D131" s="14">
        <f>$D$150*C131</f>
        <v>0</v>
      </c>
    </row>
    <row r="132" spans="1:4" x14ac:dyDescent="0.2">
      <c r="A132" s="7"/>
      <c r="B132" s="25" t="s">
        <v>95</v>
      </c>
      <c r="C132" s="9">
        <v>6.4999999999999997E-3</v>
      </c>
      <c r="D132" s="14">
        <f t="shared" ref="D132:D133" si="3">$D$150*C132</f>
        <v>36.185045000000002</v>
      </c>
    </row>
    <row r="133" spans="1:4" x14ac:dyDescent="0.2">
      <c r="A133" s="7"/>
      <c r="B133" s="25" t="s">
        <v>96</v>
      </c>
      <c r="C133" s="9">
        <v>0.03</v>
      </c>
      <c r="D133" s="14">
        <f t="shared" si="3"/>
        <v>167.00790000000001</v>
      </c>
    </row>
    <row r="134" spans="1:4" x14ac:dyDescent="0.2">
      <c r="A134" s="7"/>
      <c r="B134" s="8" t="s">
        <v>66</v>
      </c>
      <c r="C134" s="7"/>
      <c r="D134" s="14">
        <f t="shared" ref="D134:D135" si="4">$D$150*C134</f>
        <v>0</v>
      </c>
    </row>
    <row r="135" spans="1:4" x14ac:dyDescent="0.2">
      <c r="A135" s="7"/>
      <c r="B135" s="8" t="s">
        <v>67</v>
      </c>
      <c r="C135" s="9"/>
      <c r="D135" s="14">
        <f t="shared" si="4"/>
        <v>0</v>
      </c>
    </row>
    <row r="136" spans="1:4" x14ac:dyDescent="0.2">
      <c r="A136" s="7"/>
      <c r="B136" s="25" t="s">
        <v>97</v>
      </c>
      <c r="C136" s="9">
        <v>0.05</v>
      </c>
      <c r="D136" s="14">
        <f t="shared" ref="D136" si="5">$D$150*C136</f>
        <v>278.34650000000005</v>
      </c>
    </row>
    <row r="137" spans="1:4" ht="13.5" x14ac:dyDescent="0.2">
      <c r="A137" s="77" t="s">
        <v>37</v>
      </c>
      <c r="B137" s="78"/>
      <c r="C137" s="21">
        <f>(1+C129)*(1+C128)/(1-C130)-1</f>
        <v>0.15008210180623971</v>
      </c>
      <c r="D137" s="19">
        <f>SUM(D128:D130)</f>
        <v>726.46692078817739</v>
      </c>
    </row>
    <row r="140" spans="1:4" x14ac:dyDescent="0.2">
      <c r="A140" s="73" t="s">
        <v>68</v>
      </c>
      <c r="B140" s="73"/>
      <c r="C140" s="73"/>
      <c r="D140" s="73"/>
    </row>
    <row r="142" spans="1:4" x14ac:dyDescent="0.2">
      <c r="A142" s="6"/>
      <c r="B142" s="70" t="s">
        <v>69</v>
      </c>
      <c r="C142" s="70"/>
      <c r="D142" s="6" t="s">
        <v>3</v>
      </c>
    </row>
    <row r="143" spans="1:4" x14ac:dyDescent="0.2">
      <c r="A143" s="6" t="s">
        <v>4</v>
      </c>
      <c r="B143" s="69" t="s">
        <v>1</v>
      </c>
      <c r="C143" s="69"/>
      <c r="D143" s="22">
        <f>D26</f>
        <v>2330.61</v>
      </c>
    </row>
    <row r="144" spans="1:4" x14ac:dyDescent="0.2">
      <c r="A144" s="6" t="s">
        <v>6</v>
      </c>
      <c r="B144" s="69" t="s">
        <v>17</v>
      </c>
      <c r="C144" s="69"/>
      <c r="D144" s="22">
        <f>D70</f>
        <v>2243.7834000000003</v>
      </c>
    </row>
    <row r="145" spans="1:4" x14ac:dyDescent="0.2">
      <c r="A145" s="6" t="s">
        <v>8</v>
      </c>
      <c r="B145" s="69" t="s">
        <v>45</v>
      </c>
      <c r="C145" s="69"/>
      <c r="D145" s="22">
        <f>D82</f>
        <v>143.53</v>
      </c>
    </row>
    <row r="146" spans="1:4" x14ac:dyDescent="0.2">
      <c r="A146" s="6" t="s">
        <v>10</v>
      </c>
      <c r="B146" s="69" t="s">
        <v>50</v>
      </c>
      <c r="C146" s="69"/>
      <c r="D146" s="22">
        <f>D112</f>
        <v>91.08</v>
      </c>
    </row>
    <row r="147" spans="1:4" x14ac:dyDescent="0.2">
      <c r="A147" s="6" t="s">
        <v>12</v>
      </c>
      <c r="B147" s="69" t="s">
        <v>55</v>
      </c>
      <c r="C147" s="69"/>
      <c r="D147" s="22">
        <f>D122</f>
        <v>31.46</v>
      </c>
    </row>
    <row r="148" spans="1:4" x14ac:dyDescent="0.2">
      <c r="A148" s="70" t="s">
        <v>94</v>
      </c>
      <c r="B148" s="70"/>
      <c r="C148" s="70"/>
      <c r="D148" s="23">
        <f>SUM(D143:D147)</f>
        <v>4840.4634000000005</v>
      </c>
    </row>
    <row r="149" spans="1:4" x14ac:dyDescent="0.2">
      <c r="A149" s="6" t="s">
        <v>32</v>
      </c>
      <c r="B149" s="69" t="s">
        <v>70</v>
      </c>
      <c r="C149" s="69"/>
      <c r="D149" s="24">
        <f>D137</f>
        <v>726.46692078817739</v>
      </c>
    </row>
    <row r="150" spans="1:4" x14ac:dyDescent="0.2">
      <c r="A150" s="70" t="s">
        <v>71</v>
      </c>
      <c r="B150" s="70"/>
      <c r="C150" s="70"/>
      <c r="D150" s="23">
        <f>ROUND(SUM(D148:D149),2)</f>
        <v>5566.93</v>
      </c>
    </row>
  </sheetData>
  <mergeCells count="71">
    <mergeCell ref="A6:B6"/>
    <mergeCell ref="C11:D11"/>
    <mergeCell ref="A36:B36"/>
    <mergeCell ref="B21:C21"/>
    <mergeCell ref="C10:D10"/>
    <mergeCell ref="C12:D12"/>
    <mergeCell ref="C13:D13"/>
    <mergeCell ref="C14:D14"/>
    <mergeCell ref="A16:D16"/>
    <mergeCell ref="A29:D29"/>
    <mergeCell ref="B149:C149"/>
    <mergeCell ref="A150:C150"/>
    <mergeCell ref="A125:D125"/>
    <mergeCell ref="B103:C103"/>
    <mergeCell ref="B111:C111"/>
    <mergeCell ref="A112:C112"/>
    <mergeCell ref="A115:D115"/>
    <mergeCell ref="B117:C117"/>
    <mergeCell ref="A122:C122"/>
    <mergeCell ref="A137:B137"/>
    <mergeCell ref="A140:D140"/>
    <mergeCell ref="B142:C142"/>
    <mergeCell ref="B143:C143"/>
    <mergeCell ref="B144:C144"/>
    <mergeCell ref="B145:C145"/>
    <mergeCell ref="B146:C146"/>
    <mergeCell ref="B102:C102"/>
    <mergeCell ref="A104:C104"/>
    <mergeCell ref="A107:D107"/>
    <mergeCell ref="B109:C109"/>
    <mergeCell ref="B110:C110"/>
    <mergeCell ref="A88:D88"/>
    <mergeCell ref="B90:C90"/>
    <mergeCell ref="B58:C58"/>
    <mergeCell ref="B59:C59"/>
    <mergeCell ref="A61:C61"/>
    <mergeCell ref="A85:D85"/>
    <mergeCell ref="A82:C82"/>
    <mergeCell ref="B60:C60"/>
    <mergeCell ref="A1:D1"/>
    <mergeCell ref="A39:D39"/>
    <mergeCell ref="A50:B50"/>
    <mergeCell ref="A31:D31"/>
    <mergeCell ref="B33:C33"/>
    <mergeCell ref="B22:C22"/>
    <mergeCell ref="B23:C23"/>
    <mergeCell ref="B25:C25"/>
    <mergeCell ref="B24:C24"/>
    <mergeCell ref="A26:C26"/>
    <mergeCell ref="A8:D8"/>
    <mergeCell ref="B18:C18"/>
    <mergeCell ref="B19:C19"/>
    <mergeCell ref="B20:C20"/>
    <mergeCell ref="A3:D3"/>
    <mergeCell ref="A5:B5"/>
    <mergeCell ref="B147:C147"/>
    <mergeCell ref="A148:C148"/>
    <mergeCell ref="A53:D53"/>
    <mergeCell ref="B55:C55"/>
    <mergeCell ref="B56:C56"/>
    <mergeCell ref="B57:C57"/>
    <mergeCell ref="A64:D64"/>
    <mergeCell ref="B66:C66"/>
    <mergeCell ref="B67:C67"/>
    <mergeCell ref="B68:C68"/>
    <mergeCell ref="B69:C69"/>
    <mergeCell ref="A70:C70"/>
    <mergeCell ref="A73:D73"/>
    <mergeCell ref="B75:C75"/>
    <mergeCell ref="A97:C97"/>
    <mergeCell ref="A100:D100"/>
  </mergeCells>
  <pageMargins left="0.51181102362204722" right="0.51181102362204722" top="0.98425196850393704" bottom="0.78740157480314965" header="0.31496062992125984" footer="0.31496062992125984"/>
  <pageSetup paperSize="9" scale="84" fitToHeight="0" orientation="portrait" r:id="rId1"/>
  <headerFooter>
    <oddHeader>&amp;C&amp;G</oddHeader>
    <oddFooter>&amp;L&amp;"-,Negrito"Documento elaborado em &amp;D</oddFoot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0"/>
  <sheetViews>
    <sheetView view="pageBreakPreview" topLeftCell="A38" zoomScaleNormal="115" zoomScaleSheetLayoutView="100" workbookViewId="0">
      <selection activeCell="C130" sqref="C130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74" t="s">
        <v>0</v>
      </c>
      <c r="B1" s="74"/>
      <c r="C1" s="74"/>
      <c r="D1" s="74"/>
    </row>
    <row r="2" spans="1:4" ht="15.75" x14ac:dyDescent="0.25">
      <c r="A2" s="26"/>
      <c r="B2" s="26"/>
      <c r="C2" s="26"/>
      <c r="D2" s="26"/>
    </row>
    <row r="3" spans="1:4" x14ac:dyDescent="0.2">
      <c r="A3" s="76" t="s">
        <v>88</v>
      </c>
      <c r="B3" s="76"/>
      <c r="C3" s="76"/>
      <c r="D3" s="76"/>
    </row>
    <row r="4" spans="1:4" x14ac:dyDescent="0.2">
      <c r="A4" s="2"/>
      <c r="B4" s="2"/>
      <c r="C4" s="2"/>
      <c r="D4" s="2"/>
    </row>
    <row r="5" spans="1:4" ht="38.25" x14ac:dyDescent="0.2">
      <c r="A5" s="83" t="s">
        <v>89</v>
      </c>
      <c r="B5" s="83"/>
      <c r="C5" s="32" t="s">
        <v>90</v>
      </c>
      <c r="D5" s="27" t="s">
        <v>91</v>
      </c>
    </row>
    <row r="6" spans="1:4" x14ac:dyDescent="0.2">
      <c r="A6" s="84" t="s">
        <v>120</v>
      </c>
      <c r="B6" s="84"/>
      <c r="C6" s="33" t="s">
        <v>101</v>
      </c>
      <c r="D6" s="33">
        <v>2</v>
      </c>
    </row>
    <row r="8" spans="1:4" x14ac:dyDescent="0.2">
      <c r="A8" s="76" t="s">
        <v>72</v>
      </c>
      <c r="B8" s="76"/>
      <c r="C8" s="76"/>
      <c r="D8" s="76"/>
    </row>
    <row r="9" spans="1:4" x14ac:dyDescent="0.2">
      <c r="A9" s="2"/>
      <c r="B9" s="2"/>
      <c r="C9" s="2"/>
      <c r="D9" s="2"/>
    </row>
    <row r="10" spans="1:4" x14ac:dyDescent="0.2">
      <c r="A10" s="5">
        <v>1</v>
      </c>
      <c r="B10" s="5" t="s">
        <v>73</v>
      </c>
      <c r="C10" s="85" t="s">
        <v>108</v>
      </c>
      <c r="D10" s="86"/>
    </row>
    <row r="11" spans="1:4" x14ac:dyDescent="0.2">
      <c r="A11" s="5">
        <v>2</v>
      </c>
      <c r="B11" s="5" t="s">
        <v>92</v>
      </c>
      <c r="C11" s="85" t="s">
        <v>109</v>
      </c>
      <c r="D11" s="86"/>
    </row>
    <row r="12" spans="1:4" x14ac:dyDescent="0.2">
      <c r="A12" s="5">
        <v>3</v>
      </c>
      <c r="B12" s="5" t="s">
        <v>74</v>
      </c>
      <c r="C12" s="87">
        <v>1537.83</v>
      </c>
      <c r="D12" s="86"/>
    </row>
    <row r="13" spans="1:4" x14ac:dyDescent="0.2">
      <c r="A13" s="5">
        <v>4</v>
      </c>
      <c r="B13" s="5" t="s">
        <v>75</v>
      </c>
      <c r="C13" s="85"/>
      <c r="D13" s="86"/>
    </row>
    <row r="14" spans="1:4" x14ac:dyDescent="0.2">
      <c r="A14" s="5">
        <v>5</v>
      </c>
      <c r="B14" s="5" t="s">
        <v>76</v>
      </c>
      <c r="C14" s="85"/>
      <c r="D14" s="86"/>
    </row>
    <row r="16" spans="1:4" x14ac:dyDescent="0.2">
      <c r="A16" s="76" t="s">
        <v>1</v>
      </c>
      <c r="B16" s="76"/>
      <c r="C16" s="76"/>
      <c r="D16" s="76"/>
    </row>
    <row r="18" spans="1:4" x14ac:dyDescent="0.2">
      <c r="A18" s="30">
        <v>1</v>
      </c>
      <c r="B18" s="70" t="s">
        <v>2</v>
      </c>
      <c r="C18" s="70"/>
      <c r="D18" s="30" t="s">
        <v>3</v>
      </c>
    </row>
    <row r="19" spans="1:4" x14ac:dyDescent="0.2">
      <c r="A19" s="32" t="s">
        <v>4</v>
      </c>
      <c r="B19" s="69" t="s">
        <v>5</v>
      </c>
      <c r="C19" s="69"/>
      <c r="D19" s="13">
        <v>1537.83</v>
      </c>
    </row>
    <row r="20" spans="1:4" x14ac:dyDescent="0.2">
      <c r="A20" s="32" t="s">
        <v>6</v>
      </c>
      <c r="B20" s="69" t="s">
        <v>7</v>
      </c>
      <c r="C20" s="69"/>
      <c r="D20" s="13"/>
    </row>
    <row r="21" spans="1:4" x14ac:dyDescent="0.2">
      <c r="A21" s="32" t="s">
        <v>8</v>
      </c>
      <c r="B21" s="69" t="s">
        <v>9</v>
      </c>
      <c r="C21" s="69"/>
      <c r="D21" s="13"/>
    </row>
    <row r="22" spans="1:4" x14ac:dyDescent="0.2">
      <c r="A22" s="32" t="s">
        <v>10</v>
      </c>
      <c r="B22" s="69" t="s">
        <v>11</v>
      </c>
      <c r="C22" s="69"/>
      <c r="D22" s="13"/>
    </row>
    <row r="23" spans="1:4" x14ac:dyDescent="0.2">
      <c r="A23" s="32" t="s">
        <v>12</v>
      </c>
      <c r="B23" s="69" t="s">
        <v>13</v>
      </c>
      <c r="C23" s="69"/>
      <c r="D23" s="13"/>
    </row>
    <row r="24" spans="1:4" x14ac:dyDescent="0.2">
      <c r="A24" s="32"/>
      <c r="B24" s="69"/>
      <c r="C24" s="69"/>
      <c r="D24" s="13"/>
    </row>
    <row r="25" spans="1:4" x14ac:dyDescent="0.2">
      <c r="A25" s="32" t="s">
        <v>14</v>
      </c>
      <c r="B25" s="69" t="s">
        <v>15</v>
      </c>
      <c r="C25" s="69"/>
      <c r="D25" s="13"/>
    </row>
    <row r="26" spans="1:4" x14ac:dyDescent="0.2">
      <c r="A26" s="70" t="s">
        <v>16</v>
      </c>
      <c r="B26" s="70"/>
      <c r="C26" s="70"/>
      <c r="D26" s="20">
        <f>SUM(D19:D25)</f>
        <v>1537.83</v>
      </c>
    </row>
    <row r="29" spans="1:4" x14ac:dyDescent="0.2">
      <c r="A29" s="73" t="s">
        <v>17</v>
      </c>
      <c r="B29" s="73"/>
      <c r="C29" s="73"/>
      <c r="D29" s="73"/>
    </row>
    <row r="30" spans="1:4" x14ac:dyDescent="0.2">
      <c r="A30" s="3"/>
    </row>
    <row r="31" spans="1:4" x14ac:dyDescent="0.2">
      <c r="A31" s="71" t="s">
        <v>18</v>
      </c>
      <c r="B31" s="71"/>
      <c r="C31" s="71"/>
      <c r="D31" s="71"/>
    </row>
    <row r="33" spans="1:4" x14ac:dyDescent="0.2">
      <c r="A33" s="30" t="s">
        <v>19</v>
      </c>
      <c r="B33" s="70" t="s">
        <v>20</v>
      </c>
      <c r="C33" s="70"/>
      <c r="D33" s="30" t="s">
        <v>3</v>
      </c>
    </row>
    <row r="34" spans="1:4" x14ac:dyDescent="0.2">
      <c r="A34" s="32" t="s">
        <v>4</v>
      </c>
      <c r="B34" s="29" t="s">
        <v>21</v>
      </c>
      <c r="C34" s="12">
        <f>TRUNC(1/12,4)</f>
        <v>8.3299999999999999E-2</v>
      </c>
      <c r="D34" s="13">
        <f>TRUNC($D$26*C34,2)</f>
        <v>128.1</v>
      </c>
    </row>
    <row r="35" spans="1:4" x14ac:dyDescent="0.2">
      <c r="A35" s="32" t="s">
        <v>6</v>
      </c>
      <c r="B35" s="29" t="s">
        <v>22</v>
      </c>
      <c r="C35" s="12">
        <f>TRUNC(((1+1/3)/12),4)</f>
        <v>0.1111</v>
      </c>
      <c r="D35" s="13">
        <f>TRUNC($D$26*C35,2)</f>
        <v>170.85</v>
      </c>
    </row>
    <row r="36" spans="1:4" x14ac:dyDescent="0.2">
      <c r="A36" s="70" t="s">
        <v>16</v>
      </c>
      <c r="B36" s="70"/>
      <c r="C36" s="28">
        <f>SUM(C34:C35)</f>
        <v>0.19440000000000002</v>
      </c>
      <c r="D36" s="19">
        <f>SUM(D34:D35)</f>
        <v>298.95</v>
      </c>
    </row>
    <row r="39" spans="1:4" x14ac:dyDescent="0.2">
      <c r="A39" s="75" t="s">
        <v>23</v>
      </c>
      <c r="B39" s="75"/>
      <c r="C39" s="75"/>
      <c r="D39" s="75"/>
    </row>
    <row r="41" spans="1:4" x14ac:dyDescent="0.2">
      <c r="A41" s="30" t="s">
        <v>24</v>
      </c>
      <c r="B41" s="30" t="s">
        <v>25</v>
      </c>
      <c r="C41" s="30" t="s">
        <v>26</v>
      </c>
      <c r="D41" s="30" t="s">
        <v>3</v>
      </c>
    </row>
    <row r="42" spans="1:4" x14ac:dyDescent="0.2">
      <c r="A42" s="32" t="s">
        <v>4</v>
      </c>
      <c r="B42" s="29" t="s">
        <v>27</v>
      </c>
      <c r="C42" s="9">
        <v>0.2</v>
      </c>
      <c r="D42" s="13">
        <f>TRUNC(($D$26+$D$36)*C42,2)</f>
        <v>367.35</v>
      </c>
    </row>
    <row r="43" spans="1:4" x14ac:dyDescent="0.2">
      <c r="A43" s="32" t="s">
        <v>6</v>
      </c>
      <c r="B43" s="29" t="s">
        <v>28</v>
      </c>
      <c r="C43" s="9">
        <v>2.5000000000000001E-2</v>
      </c>
      <c r="D43" s="13">
        <f t="shared" ref="D43:D49" si="0">TRUNC(($D$26+$D$36)*C43,2)</f>
        <v>45.91</v>
      </c>
    </row>
    <row r="44" spans="1:4" x14ac:dyDescent="0.2">
      <c r="A44" s="32" t="s">
        <v>8</v>
      </c>
      <c r="B44" s="29" t="s">
        <v>29</v>
      </c>
      <c r="C44" s="16">
        <v>0.03</v>
      </c>
      <c r="D44" s="13">
        <f t="shared" si="0"/>
        <v>55.1</v>
      </c>
    </row>
    <row r="45" spans="1:4" x14ac:dyDescent="0.2">
      <c r="A45" s="32" t="s">
        <v>10</v>
      </c>
      <c r="B45" s="29" t="s">
        <v>30</v>
      </c>
      <c r="C45" s="9">
        <v>1.4999999999999999E-2</v>
      </c>
      <c r="D45" s="13">
        <f t="shared" si="0"/>
        <v>27.55</v>
      </c>
    </row>
    <row r="46" spans="1:4" x14ac:dyDescent="0.2">
      <c r="A46" s="32" t="s">
        <v>12</v>
      </c>
      <c r="B46" s="29" t="s">
        <v>31</v>
      </c>
      <c r="C46" s="9">
        <v>0.01</v>
      </c>
      <c r="D46" s="13">
        <f t="shared" si="0"/>
        <v>18.36</v>
      </c>
    </row>
    <row r="47" spans="1:4" x14ac:dyDescent="0.2">
      <c r="A47" s="32" t="s">
        <v>32</v>
      </c>
      <c r="B47" s="29" t="s">
        <v>33</v>
      </c>
      <c r="C47" s="9">
        <v>6.0000000000000001E-3</v>
      </c>
      <c r="D47" s="13">
        <f t="shared" si="0"/>
        <v>11.02</v>
      </c>
    </row>
    <row r="48" spans="1:4" x14ac:dyDescent="0.2">
      <c r="A48" s="32" t="s">
        <v>14</v>
      </c>
      <c r="B48" s="29" t="s">
        <v>34</v>
      </c>
      <c r="C48" s="9">
        <v>2E-3</v>
      </c>
      <c r="D48" s="13">
        <f t="shared" si="0"/>
        <v>3.67</v>
      </c>
    </row>
    <row r="49" spans="1:4" x14ac:dyDescent="0.2">
      <c r="A49" s="32" t="s">
        <v>35</v>
      </c>
      <c r="B49" s="29" t="s">
        <v>36</v>
      </c>
      <c r="C49" s="9">
        <v>0.08</v>
      </c>
      <c r="D49" s="13">
        <f t="shared" si="0"/>
        <v>146.94</v>
      </c>
    </row>
    <row r="50" spans="1:4" x14ac:dyDescent="0.2">
      <c r="A50" s="70" t="s">
        <v>37</v>
      </c>
      <c r="B50" s="70"/>
      <c r="C50" s="15">
        <f>SUM(C42:C49)</f>
        <v>0.36800000000000005</v>
      </c>
      <c r="D50" s="19">
        <f>SUM(D42:D49)</f>
        <v>675.89999999999986</v>
      </c>
    </row>
    <row r="53" spans="1:4" x14ac:dyDescent="0.2">
      <c r="A53" s="71" t="s">
        <v>38</v>
      </c>
      <c r="B53" s="71"/>
      <c r="C53" s="71"/>
      <c r="D53" s="71"/>
    </row>
    <row r="55" spans="1:4" x14ac:dyDescent="0.2">
      <c r="A55" s="30" t="s">
        <v>39</v>
      </c>
      <c r="B55" s="72" t="s">
        <v>40</v>
      </c>
      <c r="C55" s="72"/>
      <c r="D55" s="30" t="s">
        <v>3</v>
      </c>
    </row>
    <row r="56" spans="1:4" x14ac:dyDescent="0.2">
      <c r="A56" s="32" t="s">
        <v>4</v>
      </c>
      <c r="B56" s="69" t="s">
        <v>41</v>
      </c>
      <c r="C56" s="69"/>
      <c r="D56" s="13">
        <f>IF((22*2*5.6)-(D19*0.06)&gt;0,(22*2*5.6)-(D19*0.06),0)</f>
        <v>154.1302</v>
      </c>
    </row>
    <row r="57" spans="1:4" x14ac:dyDescent="0.2">
      <c r="A57" s="32" t="s">
        <v>6</v>
      </c>
      <c r="B57" s="69" t="s">
        <v>42</v>
      </c>
      <c r="C57" s="69"/>
      <c r="D57" s="13">
        <f>20*0.8*22</f>
        <v>352</v>
      </c>
    </row>
    <row r="58" spans="1:4" x14ac:dyDescent="0.2">
      <c r="A58" s="32" t="s">
        <v>8</v>
      </c>
      <c r="B58" s="69" t="s">
        <v>103</v>
      </c>
      <c r="C58" s="69"/>
      <c r="D58" s="13">
        <v>280</v>
      </c>
    </row>
    <row r="59" spans="1:4" x14ac:dyDescent="0.2">
      <c r="A59" s="32" t="s">
        <v>10</v>
      </c>
      <c r="B59" s="69" t="s">
        <v>104</v>
      </c>
      <c r="C59" s="69"/>
      <c r="D59" s="13">
        <v>23</v>
      </c>
    </row>
    <row r="60" spans="1:4" x14ac:dyDescent="0.2">
      <c r="A60" s="32" t="s">
        <v>12</v>
      </c>
      <c r="B60" s="69" t="s">
        <v>105</v>
      </c>
      <c r="C60" s="69"/>
      <c r="D60" s="13">
        <v>4.8</v>
      </c>
    </row>
    <row r="61" spans="1:4" x14ac:dyDescent="0.2">
      <c r="A61" s="70" t="s">
        <v>16</v>
      </c>
      <c r="B61" s="70"/>
      <c r="C61" s="70"/>
      <c r="D61" s="19">
        <f>SUM(D56:D60)</f>
        <v>813.93020000000001</v>
      </c>
    </row>
    <row r="64" spans="1:4" x14ac:dyDescent="0.2">
      <c r="A64" s="71" t="s">
        <v>43</v>
      </c>
      <c r="B64" s="71"/>
      <c r="C64" s="71"/>
      <c r="D64" s="71"/>
    </row>
    <row r="66" spans="1:5" x14ac:dyDescent="0.2">
      <c r="A66" s="30">
        <v>2</v>
      </c>
      <c r="B66" s="72" t="s">
        <v>44</v>
      </c>
      <c r="C66" s="72"/>
      <c r="D66" s="30" t="s">
        <v>3</v>
      </c>
    </row>
    <row r="67" spans="1:5" x14ac:dyDescent="0.2">
      <c r="A67" s="32" t="s">
        <v>19</v>
      </c>
      <c r="B67" s="69" t="s">
        <v>20</v>
      </c>
      <c r="C67" s="69"/>
      <c r="D67" s="14">
        <f>D36</f>
        <v>298.95</v>
      </c>
    </row>
    <row r="68" spans="1:5" x14ac:dyDescent="0.2">
      <c r="A68" s="32" t="s">
        <v>24</v>
      </c>
      <c r="B68" s="69" t="s">
        <v>25</v>
      </c>
      <c r="C68" s="69"/>
      <c r="D68" s="14">
        <f>D50</f>
        <v>675.89999999999986</v>
      </c>
    </row>
    <row r="69" spans="1:5" x14ac:dyDescent="0.2">
      <c r="A69" s="32" t="s">
        <v>39</v>
      </c>
      <c r="B69" s="69" t="s">
        <v>40</v>
      </c>
      <c r="C69" s="69"/>
      <c r="D69" s="14">
        <f>D61</f>
        <v>813.93020000000001</v>
      </c>
    </row>
    <row r="70" spans="1:5" x14ac:dyDescent="0.2">
      <c r="A70" s="70" t="s">
        <v>16</v>
      </c>
      <c r="B70" s="70"/>
      <c r="C70" s="70"/>
      <c r="D70" s="19">
        <f>SUM(D67:D69)</f>
        <v>1788.7801999999999</v>
      </c>
    </row>
    <row r="71" spans="1:5" x14ac:dyDescent="0.2">
      <c r="A71" s="4"/>
      <c r="E71" s="18"/>
    </row>
    <row r="73" spans="1:5" x14ac:dyDescent="0.2">
      <c r="A73" s="73" t="s">
        <v>45</v>
      </c>
      <c r="B73" s="73"/>
      <c r="C73" s="73"/>
      <c r="D73" s="73"/>
      <c r="E73" s="17"/>
    </row>
    <row r="74" spans="1:5" ht="12.75" customHeight="1" x14ac:dyDescent="0.2">
      <c r="E74" s="18"/>
    </row>
    <row r="75" spans="1:5" x14ac:dyDescent="0.2">
      <c r="A75" s="30">
        <v>3</v>
      </c>
      <c r="B75" s="72" t="s">
        <v>46</v>
      </c>
      <c r="C75" s="72"/>
      <c r="D75" s="30" t="s">
        <v>3</v>
      </c>
    </row>
    <row r="76" spans="1:5" x14ac:dyDescent="0.2">
      <c r="A76" s="32" t="s">
        <v>4</v>
      </c>
      <c r="B76" s="10" t="s">
        <v>47</v>
      </c>
      <c r="C76" s="9">
        <f>TRUNC(((1/12)*0%),4)</f>
        <v>0</v>
      </c>
      <c r="D76" s="13">
        <f>TRUNC($D$26*C76,2)</f>
        <v>0</v>
      </c>
    </row>
    <row r="77" spans="1:5" x14ac:dyDescent="0.2">
      <c r="A77" s="32" t="s">
        <v>6</v>
      </c>
      <c r="B77" s="10" t="s">
        <v>48</v>
      </c>
      <c r="C77" s="9">
        <v>0.08</v>
      </c>
      <c r="D77" s="13">
        <f>TRUNC(D76*C77,2)</f>
        <v>0</v>
      </c>
    </row>
    <row r="78" spans="1:5" x14ac:dyDescent="0.2">
      <c r="A78" s="32" t="s">
        <v>8</v>
      </c>
      <c r="B78" s="10" t="s">
        <v>98</v>
      </c>
      <c r="C78" s="9">
        <f>TRUNC(8%*0%*40%,4)</f>
        <v>0</v>
      </c>
      <c r="D78" s="13">
        <f>TRUNC($D$26*C78,2)</f>
        <v>0</v>
      </c>
    </row>
    <row r="79" spans="1:5" x14ac:dyDescent="0.2">
      <c r="A79" s="32" t="s">
        <v>10</v>
      </c>
      <c r="B79" s="10" t="s">
        <v>49</v>
      </c>
      <c r="C79" s="9">
        <f>TRUNC(((7/30)/12)*0%,4)</f>
        <v>0</v>
      </c>
      <c r="D79" s="13">
        <f>TRUNC($D$26*C79,2)</f>
        <v>0</v>
      </c>
    </row>
    <row r="80" spans="1:5" ht="25.5" x14ac:dyDescent="0.2">
      <c r="A80" s="32" t="s">
        <v>12</v>
      </c>
      <c r="B80" s="10" t="s">
        <v>93</v>
      </c>
      <c r="C80" s="9">
        <f>C50</f>
        <v>0.36800000000000005</v>
      </c>
      <c r="D80" s="13">
        <f>TRUNC(D79*C80,2)</f>
        <v>0</v>
      </c>
    </row>
    <row r="81" spans="1:4" x14ac:dyDescent="0.2">
      <c r="A81" s="32" t="s">
        <v>32</v>
      </c>
      <c r="B81" s="10" t="s">
        <v>99</v>
      </c>
      <c r="C81" s="9">
        <f>TRUNC(8%*0%*40%,4)</f>
        <v>0</v>
      </c>
      <c r="D81" s="13">
        <f t="shared" ref="D81" si="1">TRUNC($D$26*C81,2)</f>
        <v>0</v>
      </c>
    </row>
    <row r="82" spans="1:4" x14ac:dyDescent="0.2">
      <c r="A82" s="77" t="s">
        <v>16</v>
      </c>
      <c r="B82" s="78"/>
      <c r="C82" s="79"/>
      <c r="D82" s="19">
        <f>SUM(D76:D81)</f>
        <v>0</v>
      </c>
    </row>
    <row r="85" spans="1:4" x14ac:dyDescent="0.2">
      <c r="A85" s="73" t="s">
        <v>50</v>
      </c>
      <c r="B85" s="73"/>
      <c r="C85" s="73"/>
      <c r="D85" s="73"/>
    </row>
    <row r="88" spans="1:4" x14ac:dyDescent="0.2">
      <c r="A88" s="71" t="s">
        <v>77</v>
      </c>
      <c r="B88" s="71"/>
      <c r="C88" s="71"/>
      <c r="D88" s="71"/>
    </row>
    <row r="89" spans="1:4" x14ac:dyDescent="0.2">
      <c r="A89" s="3"/>
    </row>
    <row r="90" spans="1:4" x14ac:dyDescent="0.2">
      <c r="A90" s="30" t="s">
        <v>51</v>
      </c>
      <c r="B90" s="72" t="s">
        <v>78</v>
      </c>
      <c r="C90" s="72"/>
      <c r="D90" s="30" t="s">
        <v>3</v>
      </c>
    </row>
    <row r="91" spans="1:4" x14ac:dyDescent="0.2">
      <c r="A91" s="32" t="s">
        <v>4</v>
      </c>
      <c r="B91" s="29" t="s">
        <v>79</v>
      </c>
      <c r="C91" s="9">
        <f>TRUNC(((1+1/3)/12)/12,4)*0</f>
        <v>0</v>
      </c>
      <c r="D91" s="13">
        <f>TRUNC(($D$26+$D$70+$D$82)*C91,2)</f>
        <v>0</v>
      </c>
    </row>
    <row r="92" spans="1:4" x14ac:dyDescent="0.2">
      <c r="A92" s="32" t="s">
        <v>6</v>
      </c>
      <c r="B92" s="29" t="s">
        <v>80</v>
      </c>
      <c r="C92" s="9">
        <f>TRUNC(((2/30)/12),4)</f>
        <v>5.4999999999999997E-3</v>
      </c>
      <c r="D92" s="13">
        <f t="shared" ref="D92:D96" si="2">TRUNC(($D$26+$D$70+$D$82)*C92,2)</f>
        <v>18.29</v>
      </c>
    </row>
    <row r="93" spans="1:4" x14ac:dyDescent="0.2">
      <c r="A93" s="32" t="s">
        <v>8</v>
      </c>
      <c r="B93" s="29" t="s">
        <v>81</v>
      </c>
      <c r="C93" s="9">
        <f>TRUNC(((5/30)/12)*2%,4)*0</f>
        <v>0</v>
      </c>
      <c r="D93" s="13">
        <f t="shared" si="2"/>
        <v>0</v>
      </c>
    </row>
    <row r="94" spans="1:4" x14ac:dyDescent="0.2">
      <c r="A94" s="32" t="s">
        <v>10</v>
      </c>
      <c r="B94" s="29" t="s">
        <v>82</v>
      </c>
      <c r="C94" s="9">
        <f>TRUNC(((15/30)/12)*8%,4)*0</f>
        <v>0</v>
      </c>
      <c r="D94" s="13">
        <f t="shared" si="2"/>
        <v>0</v>
      </c>
    </row>
    <row r="95" spans="1:4" x14ac:dyDescent="0.2">
      <c r="A95" s="32" t="s">
        <v>12</v>
      </c>
      <c r="B95" s="29" t="s">
        <v>83</v>
      </c>
      <c r="C95" s="9">
        <f>((1+1/3)/12)*3%*(4/12)*0</f>
        <v>0</v>
      </c>
      <c r="D95" s="13">
        <f t="shared" si="2"/>
        <v>0</v>
      </c>
    </row>
    <row r="96" spans="1:4" x14ac:dyDescent="0.2">
      <c r="A96" s="32" t="s">
        <v>32</v>
      </c>
      <c r="B96" s="29" t="s">
        <v>84</v>
      </c>
      <c r="C96" s="9"/>
      <c r="D96" s="13">
        <f t="shared" si="2"/>
        <v>0</v>
      </c>
    </row>
    <row r="97" spans="1:6" x14ac:dyDescent="0.2">
      <c r="A97" s="70" t="s">
        <v>37</v>
      </c>
      <c r="B97" s="70"/>
      <c r="C97" s="70"/>
      <c r="D97" s="19">
        <f>SUM(D91:D96)</f>
        <v>18.29</v>
      </c>
      <c r="E97" s="17"/>
      <c r="F97" s="17"/>
    </row>
    <row r="100" spans="1:6" x14ac:dyDescent="0.2">
      <c r="A100" s="71" t="s">
        <v>85</v>
      </c>
      <c r="B100" s="71"/>
      <c r="C100" s="71"/>
      <c r="D100" s="71"/>
    </row>
    <row r="101" spans="1:6" x14ac:dyDescent="0.2">
      <c r="A101" s="3"/>
    </row>
    <row r="102" spans="1:6" x14ac:dyDescent="0.2">
      <c r="A102" s="30" t="s">
        <v>52</v>
      </c>
      <c r="B102" s="72" t="s">
        <v>86</v>
      </c>
      <c r="C102" s="72"/>
      <c r="D102" s="30" t="s">
        <v>3</v>
      </c>
    </row>
    <row r="103" spans="1:6" x14ac:dyDescent="0.2">
      <c r="A103" s="32" t="s">
        <v>4</v>
      </c>
      <c r="B103" s="80" t="s">
        <v>87</v>
      </c>
      <c r="C103" s="81"/>
      <c r="D103" s="13">
        <f>((D26+D70+D82)/220)*22*0</f>
        <v>0</v>
      </c>
    </row>
    <row r="104" spans="1:6" x14ac:dyDescent="0.2">
      <c r="A104" s="70" t="s">
        <v>16</v>
      </c>
      <c r="B104" s="70"/>
      <c r="C104" s="70"/>
      <c r="D104" s="19">
        <f>SUM(D103)</f>
        <v>0</v>
      </c>
    </row>
    <row r="107" spans="1:6" x14ac:dyDescent="0.2">
      <c r="A107" s="71" t="s">
        <v>53</v>
      </c>
      <c r="B107" s="71"/>
      <c r="C107" s="71"/>
      <c r="D107" s="71"/>
    </row>
    <row r="108" spans="1:6" x14ac:dyDescent="0.2">
      <c r="A108" s="3"/>
    </row>
    <row r="109" spans="1:6" x14ac:dyDescent="0.2">
      <c r="A109" s="30">
        <v>4</v>
      </c>
      <c r="B109" s="70" t="s">
        <v>54</v>
      </c>
      <c r="C109" s="70"/>
      <c r="D109" s="30" t="s">
        <v>3</v>
      </c>
    </row>
    <row r="110" spans="1:6" x14ac:dyDescent="0.2">
      <c r="A110" s="32" t="s">
        <v>51</v>
      </c>
      <c r="B110" s="69" t="s">
        <v>78</v>
      </c>
      <c r="C110" s="69"/>
      <c r="D110" s="14">
        <f>D97</f>
        <v>18.29</v>
      </c>
    </row>
    <row r="111" spans="1:6" x14ac:dyDescent="0.2">
      <c r="A111" s="32" t="s">
        <v>52</v>
      </c>
      <c r="B111" s="69" t="s">
        <v>86</v>
      </c>
      <c r="C111" s="69"/>
      <c r="D111" s="14">
        <f>D104</f>
        <v>0</v>
      </c>
    </row>
    <row r="112" spans="1:6" x14ac:dyDescent="0.2">
      <c r="A112" s="70" t="s">
        <v>16</v>
      </c>
      <c r="B112" s="70"/>
      <c r="C112" s="70"/>
      <c r="D112" s="19">
        <f>SUM(D110:D111)</f>
        <v>18.29</v>
      </c>
    </row>
    <row r="115" spans="1:4" x14ac:dyDescent="0.2">
      <c r="A115" s="73" t="s">
        <v>55</v>
      </c>
      <c r="B115" s="73"/>
      <c r="C115" s="73"/>
      <c r="D115" s="73"/>
    </row>
    <row r="117" spans="1:4" x14ac:dyDescent="0.2">
      <c r="A117" s="30">
        <v>5</v>
      </c>
      <c r="B117" s="82" t="s">
        <v>56</v>
      </c>
      <c r="C117" s="82"/>
      <c r="D117" s="30" t="s">
        <v>3</v>
      </c>
    </row>
    <row r="118" spans="1:4" x14ac:dyDescent="0.2">
      <c r="A118" s="32" t="s">
        <v>4</v>
      </c>
      <c r="B118" s="29" t="s">
        <v>57</v>
      </c>
      <c r="C118" s="29"/>
      <c r="D118" s="13">
        <v>197.81</v>
      </c>
    </row>
    <row r="119" spans="1:4" x14ac:dyDescent="0.2">
      <c r="A119" s="32" t="s">
        <v>6</v>
      </c>
      <c r="B119" s="29" t="s">
        <v>58</v>
      </c>
      <c r="C119" s="29"/>
      <c r="D119" s="13"/>
    </row>
    <row r="120" spans="1:4" x14ac:dyDescent="0.2">
      <c r="A120" s="32" t="s">
        <v>8</v>
      </c>
      <c r="B120" s="29" t="s">
        <v>59</v>
      </c>
      <c r="C120" s="29"/>
      <c r="D120" s="13"/>
    </row>
    <row r="121" spans="1:4" x14ac:dyDescent="0.2">
      <c r="A121" s="32" t="s">
        <v>10</v>
      </c>
      <c r="B121" s="29" t="s">
        <v>15</v>
      </c>
      <c r="C121" s="29"/>
      <c r="D121" s="13"/>
    </row>
    <row r="122" spans="1:4" x14ac:dyDescent="0.2">
      <c r="A122" s="70" t="s">
        <v>37</v>
      </c>
      <c r="B122" s="70"/>
      <c r="C122" s="70"/>
      <c r="D122" s="20">
        <f>SUM(D118:D121)</f>
        <v>197.81</v>
      </c>
    </row>
    <row r="125" spans="1:4" x14ac:dyDescent="0.2">
      <c r="A125" s="73" t="s">
        <v>60</v>
      </c>
      <c r="B125" s="73"/>
      <c r="C125" s="73"/>
      <c r="D125" s="73"/>
    </row>
    <row r="127" spans="1:4" x14ac:dyDescent="0.2">
      <c r="A127" s="30">
        <v>6</v>
      </c>
      <c r="B127" s="31" t="s">
        <v>61</v>
      </c>
      <c r="C127" s="30" t="s">
        <v>26</v>
      </c>
      <c r="D127" s="30" t="s">
        <v>3</v>
      </c>
    </row>
    <row r="128" spans="1:4" x14ac:dyDescent="0.2">
      <c r="A128" s="32" t="s">
        <v>4</v>
      </c>
      <c r="B128" s="29" t="s">
        <v>62</v>
      </c>
      <c r="C128" s="9">
        <v>0.02</v>
      </c>
      <c r="D128" s="14">
        <f>D148*C128</f>
        <v>70.854203999999996</v>
      </c>
    </row>
    <row r="129" spans="1:4" x14ac:dyDescent="0.2">
      <c r="A129" s="32" t="s">
        <v>6</v>
      </c>
      <c r="B129" s="29" t="s">
        <v>63</v>
      </c>
      <c r="C129" s="9">
        <v>0.03</v>
      </c>
      <c r="D129" s="13">
        <f>(D148+D128)*C129</f>
        <v>108.40693212000001</v>
      </c>
    </row>
    <row r="130" spans="1:4" x14ac:dyDescent="0.2">
      <c r="A130" s="32" t="s">
        <v>8</v>
      </c>
      <c r="B130" s="29" t="s">
        <v>64</v>
      </c>
      <c r="C130" s="12">
        <f>SUM(C131:C136)</f>
        <v>8.6499999999999994E-2</v>
      </c>
      <c r="D130" s="13">
        <f>(D148+D128+D129)*C130/(1-C130)</f>
        <v>352.43625678640393</v>
      </c>
    </row>
    <row r="131" spans="1:4" x14ac:dyDescent="0.2">
      <c r="A131" s="32"/>
      <c r="B131" s="29" t="s">
        <v>65</v>
      </c>
      <c r="C131" s="9"/>
      <c r="D131" s="14">
        <f>$D$150*C131</f>
        <v>0</v>
      </c>
    </row>
    <row r="132" spans="1:4" x14ac:dyDescent="0.2">
      <c r="A132" s="32"/>
      <c r="B132" s="29" t="s">
        <v>95</v>
      </c>
      <c r="C132" s="9">
        <v>6.4999999999999997E-3</v>
      </c>
      <c r="D132" s="14">
        <f t="shared" ref="D132:D136" si="3">$D$150*C132</f>
        <v>26.483664999999998</v>
      </c>
    </row>
    <row r="133" spans="1:4" x14ac:dyDescent="0.2">
      <c r="A133" s="32"/>
      <c r="B133" s="29" t="s">
        <v>96</v>
      </c>
      <c r="C133" s="9">
        <v>0.03</v>
      </c>
      <c r="D133" s="14">
        <f t="shared" si="3"/>
        <v>122.2323</v>
      </c>
    </row>
    <row r="134" spans="1:4" x14ac:dyDescent="0.2">
      <c r="A134" s="32"/>
      <c r="B134" s="29" t="s">
        <v>66</v>
      </c>
      <c r="C134" s="32"/>
      <c r="D134" s="14">
        <f t="shared" si="3"/>
        <v>0</v>
      </c>
    </row>
    <row r="135" spans="1:4" x14ac:dyDescent="0.2">
      <c r="A135" s="32"/>
      <c r="B135" s="29" t="s">
        <v>67</v>
      </c>
      <c r="C135" s="9"/>
      <c r="D135" s="14">
        <f t="shared" si="3"/>
        <v>0</v>
      </c>
    </row>
    <row r="136" spans="1:4" x14ac:dyDescent="0.2">
      <c r="A136" s="32"/>
      <c r="B136" s="29" t="s">
        <v>97</v>
      </c>
      <c r="C136" s="9">
        <v>0.05</v>
      </c>
      <c r="D136" s="14">
        <f t="shared" si="3"/>
        <v>203.72050000000002</v>
      </c>
    </row>
    <row r="137" spans="1:4" ht="13.5" x14ac:dyDescent="0.2">
      <c r="A137" s="77" t="s">
        <v>37</v>
      </c>
      <c r="B137" s="78"/>
      <c r="C137" s="21">
        <f>(1+C129)*(1+C128)/(1-C130)-1</f>
        <v>0.15008210180623971</v>
      </c>
      <c r="D137" s="19">
        <f>SUM(D128:D130)</f>
        <v>531.69739290640393</v>
      </c>
    </row>
    <row r="140" spans="1:4" x14ac:dyDescent="0.2">
      <c r="A140" s="73" t="s">
        <v>68</v>
      </c>
      <c r="B140" s="73"/>
      <c r="C140" s="73"/>
      <c r="D140" s="73"/>
    </row>
    <row r="142" spans="1:4" x14ac:dyDescent="0.2">
      <c r="A142" s="30"/>
      <c r="B142" s="70" t="s">
        <v>69</v>
      </c>
      <c r="C142" s="70"/>
      <c r="D142" s="30" t="s">
        <v>3</v>
      </c>
    </row>
    <row r="143" spans="1:4" x14ac:dyDescent="0.2">
      <c r="A143" s="30" t="s">
        <v>4</v>
      </c>
      <c r="B143" s="69" t="s">
        <v>1</v>
      </c>
      <c r="C143" s="69"/>
      <c r="D143" s="22">
        <f>D26</f>
        <v>1537.83</v>
      </c>
    </row>
    <row r="144" spans="1:4" x14ac:dyDescent="0.2">
      <c r="A144" s="30" t="s">
        <v>6</v>
      </c>
      <c r="B144" s="69" t="s">
        <v>17</v>
      </c>
      <c r="C144" s="69"/>
      <c r="D144" s="22">
        <f>D70</f>
        <v>1788.7801999999999</v>
      </c>
    </row>
    <row r="145" spans="1:4" x14ac:dyDescent="0.2">
      <c r="A145" s="30" t="s">
        <v>8</v>
      </c>
      <c r="B145" s="69" t="s">
        <v>45</v>
      </c>
      <c r="C145" s="69"/>
      <c r="D145" s="22">
        <f>D82</f>
        <v>0</v>
      </c>
    </row>
    <row r="146" spans="1:4" x14ac:dyDescent="0.2">
      <c r="A146" s="30" t="s">
        <v>10</v>
      </c>
      <c r="B146" s="69" t="s">
        <v>50</v>
      </c>
      <c r="C146" s="69"/>
      <c r="D146" s="22">
        <f>D112</f>
        <v>18.29</v>
      </c>
    </row>
    <row r="147" spans="1:4" x14ac:dyDescent="0.2">
      <c r="A147" s="30" t="s">
        <v>12</v>
      </c>
      <c r="B147" s="69" t="s">
        <v>55</v>
      </c>
      <c r="C147" s="69"/>
      <c r="D147" s="22">
        <f>D122</f>
        <v>197.81</v>
      </c>
    </row>
    <row r="148" spans="1:4" x14ac:dyDescent="0.2">
      <c r="A148" s="70" t="s">
        <v>94</v>
      </c>
      <c r="B148" s="70"/>
      <c r="C148" s="70"/>
      <c r="D148" s="23">
        <f>SUM(D143:D147)</f>
        <v>3542.7102</v>
      </c>
    </row>
    <row r="149" spans="1:4" x14ac:dyDescent="0.2">
      <c r="A149" s="30" t="s">
        <v>32</v>
      </c>
      <c r="B149" s="69" t="s">
        <v>70</v>
      </c>
      <c r="C149" s="69"/>
      <c r="D149" s="24">
        <f>D137</f>
        <v>531.69739290640393</v>
      </c>
    </row>
    <row r="150" spans="1:4" x14ac:dyDescent="0.2">
      <c r="A150" s="70" t="s">
        <v>71</v>
      </c>
      <c r="B150" s="70"/>
      <c r="C150" s="70"/>
      <c r="D150" s="23">
        <f>ROUND(SUM(D148:D149),2)</f>
        <v>4074.41</v>
      </c>
    </row>
  </sheetData>
  <mergeCells count="71">
    <mergeCell ref="C10:D10"/>
    <mergeCell ref="A1:D1"/>
    <mergeCell ref="A3:D3"/>
    <mergeCell ref="A5:B5"/>
    <mergeCell ref="A6:B6"/>
    <mergeCell ref="A8:D8"/>
    <mergeCell ref="B24:C24"/>
    <mergeCell ref="C11:D11"/>
    <mergeCell ref="C12:D12"/>
    <mergeCell ref="C13:D13"/>
    <mergeCell ref="C14:D14"/>
    <mergeCell ref="A16:D16"/>
    <mergeCell ref="B18:C18"/>
    <mergeCell ref="B19:C19"/>
    <mergeCell ref="B20:C20"/>
    <mergeCell ref="B21:C21"/>
    <mergeCell ref="B22:C22"/>
    <mergeCell ref="B23:C23"/>
    <mergeCell ref="B57:C57"/>
    <mergeCell ref="B25:C25"/>
    <mergeCell ref="A26:C26"/>
    <mergeCell ref="A29:D29"/>
    <mergeCell ref="A31:D31"/>
    <mergeCell ref="B33:C33"/>
    <mergeCell ref="A36:B36"/>
    <mergeCell ref="A39:D39"/>
    <mergeCell ref="A50:B50"/>
    <mergeCell ref="A53:D53"/>
    <mergeCell ref="B55:C55"/>
    <mergeCell ref="B56:C56"/>
    <mergeCell ref="B75:C75"/>
    <mergeCell ref="B58:C58"/>
    <mergeCell ref="B59:C59"/>
    <mergeCell ref="B60:C60"/>
    <mergeCell ref="A61:C61"/>
    <mergeCell ref="A64:D64"/>
    <mergeCell ref="B66:C66"/>
    <mergeCell ref="B67:C67"/>
    <mergeCell ref="B68:C68"/>
    <mergeCell ref="B69:C69"/>
    <mergeCell ref="A70:C70"/>
    <mergeCell ref="A73:D73"/>
    <mergeCell ref="B110:C110"/>
    <mergeCell ref="A82:C82"/>
    <mergeCell ref="A85:D85"/>
    <mergeCell ref="A88:D88"/>
    <mergeCell ref="B90:C90"/>
    <mergeCell ref="A97:C97"/>
    <mergeCell ref="A100:D100"/>
    <mergeCell ref="B102:C102"/>
    <mergeCell ref="B103:C103"/>
    <mergeCell ref="A104:C104"/>
    <mergeCell ref="A107:D107"/>
    <mergeCell ref="B109:C109"/>
    <mergeCell ref="B145:C145"/>
    <mergeCell ref="B111:C111"/>
    <mergeCell ref="A112:C112"/>
    <mergeCell ref="A115:D115"/>
    <mergeCell ref="B117:C117"/>
    <mergeCell ref="A122:C122"/>
    <mergeCell ref="A125:D125"/>
    <mergeCell ref="A137:B137"/>
    <mergeCell ref="A140:D140"/>
    <mergeCell ref="B142:C142"/>
    <mergeCell ref="B143:C143"/>
    <mergeCell ref="B144:C144"/>
    <mergeCell ref="B146:C146"/>
    <mergeCell ref="B147:C147"/>
    <mergeCell ref="A148:C148"/>
    <mergeCell ref="B149:C149"/>
    <mergeCell ref="A150:C150"/>
  </mergeCells>
  <pageMargins left="0.51181102362204722" right="0.51181102362204722" top="0.98425196850393704" bottom="0.78740157480314965" header="0.31496062992125984" footer="0.31496062992125984"/>
  <pageSetup paperSize="9" scale="84" fitToHeight="0" orientation="portrait" r:id="rId1"/>
  <headerFooter>
    <oddHeader>&amp;C&amp;G</oddHeader>
    <oddFooter>&amp;L&amp;"-,Negrito"Documento elaborado em &amp;D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0"/>
  <sheetViews>
    <sheetView view="pageBreakPreview" topLeftCell="A17" zoomScaleNormal="115" zoomScaleSheetLayoutView="100" workbookViewId="0">
      <selection activeCell="C130" sqref="C130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74" t="s">
        <v>0</v>
      </c>
      <c r="B1" s="74"/>
      <c r="C1" s="74"/>
      <c r="D1" s="74"/>
    </row>
    <row r="2" spans="1:4" ht="15.75" x14ac:dyDescent="0.25">
      <c r="A2" s="26"/>
      <c r="B2" s="26"/>
      <c r="C2" s="26"/>
      <c r="D2" s="26"/>
    </row>
    <row r="3" spans="1:4" x14ac:dyDescent="0.2">
      <c r="A3" s="76" t="s">
        <v>88</v>
      </c>
      <c r="B3" s="76"/>
      <c r="C3" s="76"/>
      <c r="D3" s="76"/>
    </row>
    <row r="4" spans="1:4" x14ac:dyDescent="0.2">
      <c r="A4" s="2"/>
      <c r="B4" s="2"/>
      <c r="C4" s="2"/>
      <c r="D4" s="2"/>
    </row>
    <row r="5" spans="1:4" ht="38.25" x14ac:dyDescent="0.2">
      <c r="A5" s="83" t="s">
        <v>89</v>
      </c>
      <c r="B5" s="83"/>
      <c r="C5" s="32" t="s">
        <v>90</v>
      </c>
      <c r="D5" s="27" t="s">
        <v>91</v>
      </c>
    </row>
    <row r="6" spans="1:4" x14ac:dyDescent="0.2">
      <c r="A6" s="84" t="s">
        <v>121</v>
      </c>
      <c r="B6" s="84"/>
      <c r="C6" s="33" t="s">
        <v>101</v>
      </c>
      <c r="D6" s="33">
        <v>2</v>
      </c>
    </row>
    <row r="8" spans="1:4" x14ac:dyDescent="0.2">
      <c r="A8" s="76" t="s">
        <v>72</v>
      </c>
      <c r="B8" s="76"/>
      <c r="C8" s="76"/>
      <c r="D8" s="76"/>
    </row>
    <row r="9" spans="1:4" x14ac:dyDescent="0.2">
      <c r="A9" s="2"/>
      <c r="B9" s="2"/>
      <c r="C9" s="2"/>
      <c r="D9" s="2"/>
    </row>
    <row r="10" spans="1:4" x14ac:dyDescent="0.2">
      <c r="A10" s="5">
        <v>1</v>
      </c>
      <c r="B10" s="5" t="s">
        <v>73</v>
      </c>
      <c r="C10" s="85" t="s">
        <v>110</v>
      </c>
      <c r="D10" s="86"/>
    </row>
    <row r="11" spans="1:4" x14ac:dyDescent="0.2">
      <c r="A11" s="5">
        <v>2</v>
      </c>
      <c r="B11" s="5" t="s">
        <v>92</v>
      </c>
      <c r="C11" s="85" t="s">
        <v>111</v>
      </c>
      <c r="D11" s="86"/>
    </row>
    <row r="12" spans="1:4" x14ac:dyDescent="0.2">
      <c r="A12" s="5">
        <v>3</v>
      </c>
      <c r="B12" s="5" t="s">
        <v>74</v>
      </c>
      <c r="C12" s="87">
        <v>1798.06</v>
      </c>
      <c r="D12" s="86"/>
    </row>
    <row r="13" spans="1:4" x14ac:dyDescent="0.2">
      <c r="A13" s="5">
        <v>4</v>
      </c>
      <c r="B13" s="5" t="s">
        <v>75</v>
      </c>
      <c r="C13" s="85"/>
      <c r="D13" s="86"/>
    </row>
    <row r="14" spans="1:4" x14ac:dyDescent="0.2">
      <c r="A14" s="5">
        <v>5</v>
      </c>
      <c r="B14" s="5" t="s">
        <v>76</v>
      </c>
      <c r="C14" s="85"/>
      <c r="D14" s="86"/>
    </row>
    <row r="16" spans="1:4" x14ac:dyDescent="0.2">
      <c r="A16" s="76" t="s">
        <v>1</v>
      </c>
      <c r="B16" s="76"/>
      <c r="C16" s="76"/>
      <c r="D16" s="76"/>
    </row>
    <row r="18" spans="1:4" x14ac:dyDescent="0.2">
      <c r="A18" s="30">
        <v>1</v>
      </c>
      <c r="B18" s="70" t="s">
        <v>2</v>
      </c>
      <c r="C18" s="70"/>
      <c r="D18" s="30" t="s">
        <v>3</v>
      </c>
    </row>
    <row r="19" spans="1:4" x14ac:dyDescent="0.2">
      <c r="A19" s="32" t="s">
        <v>4</v>
      </c>
      <c r="B19" s="69" t="s">
        <v>5</v>
      </c>
      <c r="C19" s="69"/>
      <c r="D19" s="13">
        <v>1798.06</v>
      </c>
    </row>
    <row r="20" spans="1:4" x14ac:dyDescent="0.2">
      <c r="A20" s="32" t="s">
        <v>6</v>
      </c>
      <c r="B20" s="69" t="s">
        <v>7</v>
      </c>
      <c r="C20" s="69"/>
      <c r="D20" s="13"/>
    </row>
    <row r="21" spans="1:4" x14ac:dyDescent="0.2">
      <c r="A21" s="32" t="s">
        <v>8</v>
      </c>
      <c r="B21" s="69" t="s">
        <v>9</v>
      </c>
      <c r="C21" s="69"/>
      <c r="D21" s="13"/>
    </row>
    <row r="22" spans="1:4" x14ac:dyDescent="0.2">
      <c r="A22" s="32" t="s">
        <v>10</v>
      </c>
      <c r="B22" s="69" t="s">
        <v>11</v>
      </c>
      <c r="C22" s="69"/>
      <c r="D22" s="13"/>
    </row>
    <row r="23" spans="1:4" x14ac:dyDescent="0.2">
      <c r="A23" s="32" t="s">
        <v>12</v>
      </c>
      <c r="B23" s="69" t="s">
        <v>13</v>
      </c>
      <c r="C23" s="69"/>
      <c r="D23" s="13"/>
    </row>
    <row r="24" spans="1:4" x14ac:dyDescent="0.2">
      <c r="A24" s="32"/>
      <c r="B24" s="69"/>
      <c r="C24" s="69"/>
      <c r="D24" s="13"/>
    </row>
    <row r="25" spans="1:4" x14ac:dyDescent="0.2">
      <c r="A25" s="32" t="s">
        <v>14</v>
      </c>
      <c r="B25" s="69" t="s">
        <v>15</v>
      </c>
      <c r="C25" s="69"/>
      <c r="D25" s="13"/>
    </row>
    <row r="26" spans="1:4" x14ac:dyDescent="0.2">
      <c r="A26" s="70" t="s">
        <v>16</v>
      </c>
      <c r="B26" s="70"/>
      <c r="C26" s="70"/>
      <c r="D26" s="20">
        <f>SUM(D19:D25)</f>
        <v>1798.06</v>
      </c>
    </row>
    <row r="29" spans="1:4" x14ac:dyDescent="0.2">
      <c r="A29" s="73" t="s">
        <v>17</v>
      </c>
      <c r="B29" s="73"/>
      <c r="C29" s="73"/>
      <c r="D29" s="73"/>
    </row>
    <row r="30" spans="1:4" x14ac:dyDescent="0.2">
      <c r="A30" s="3"/>
    </row>
    <row r="31" spans="1:4" x14ac:dyDescent="0.2">
      <c r="A31" s="71" t="s">
        <v>18</v>
      </c>
      <c r="B31" s="71"/>
      <c r="C31" s="71"/>
      <c r="D31" s="71"/>
    </row>
    <row r="33" spans="1:4" x14ac:dyDescent="0.2">
      <c r="A33" s="30" t="s">
        <v>19</v>
      </c>
      <c r="B33" s="70" t="s">
        <v>20</v>
      </c>
      <c r="C33" s="70"/>
      <c r="D33" s="30" t="s">
        <v>3</v>
      </c>
    </row>
    <row r="34" spans="1:4" x14ac:dyDescent="0.2">
      <c r="A34" s="32" t="s">
        <v>4</v>
      </c>
      <c r="B34" s="29" t="s">
        <v>21</v>
      </c>
      <c r="C34" s="12">
        <f>TRUNC(1/12,4)</f>
        <v>8.3299999999999999E-2</v>
      </c>
      <c r="D34" s="13">
        <f>TRUNC($D$26*C34,2)</f>
        <v>149.77000000000001</v>
      </c>
    </row>
    <row r="35" spans="1:4" x14ac:dyDescent="0.2">
      <c r="A35" s="32" t="s">
        <v>6</v>
      </c>
      <c r="B35" s="29" t="s">
        <v>22</v>
      </c>
      <c r="C35" s="12">
        <f>TRUNC(((1+1/3)/12),4)</f>
        <v>0.1111</v>
      </c>
      <c r="D35" s="13">
        <f>TRUNC($D$26*C35,2)</f>
        <v>199.76</v>
      </c>
    </row>
    <row r="36" spans="1:4" x14ac:dyDescent="0.2">
      <c r="A36" s="70" t="s">
        <v>16</v>
      </c>
      <c r="B36" s="70"/>
      <c r="C36" s="28">
        <f>SUM(C34:C35)</f>
        <v>0.19440000000000002</v>
      </c>
      <c r="D36" s="19">
        <f>SUM(D34:D35)</f>
        <v>349.53</v>
      </c>
    </row>
    <row r="39" spans="1:4" x14ac:dyDescent="0.2">
      <c r="A39" s="75" t="s">
        <v>23</v>
      </c>
      <c r="B39" s="75"/>
      <c r="C39" s="75"/>
      <c r="D39" s="75"/>
    </row>
    <row r="41" spans="1:4" x14ac:dyDescent="0.2">
      <c r="A41" s="30" t="s">
        <v>24</v>
      </c>
      <c r="B41" s="30" t="s">
        <v>25</v>
      </c>
      <c r="C41" s="30" t="s">
        <v>26</v>
      </c>
      <c r="D41" s="30" t="s">
        <v>3</v>
      </c>
    </row>
    <row r="42" spans="1:4" x14ac:dyDescent="0.2">
      <c r="A42" s="32" t="s">
        <v>4</v>
      </c>
      <c r="B42" s="29" t="s">
        <v>27</v>
      </c>
      <c r="C42" s="9">
        <v>0.2</v>
      </c>
      <c r="D42" s="13">
        <f>TRUNC(($D$26+$D$36)*C42,2)</f>
        <v>429.51</v>
      </c>
    </row>
    <row r="43" spans="1:4" x14ac:dyDescent="0.2">
      <c r="A43" s="32" t="s">
        <v>6</v>
      </c>
      <c r="B43" s="29" t="s">
        <v>28</v>
      </c>
      <c r="C43" s="9">
        <v>2.5000000000000001E-2</v>
      </c>
      <c r="D43" s="13">
        <f t="shared" ref="D43:D49" si="0">TRUNC(($D$26+$D$36)*C43,2)</f>
        <v>53.68</v>
      </c>
    </row>
    <row r="44" spans="1:4" x14ac:dyDescent="0.2">
      <c r="A44" s="32" t="s">
        <v>8</v>
      </c>
      <c r="B44" s="29" t="s">
        <v>29</v>
      </c>
      <c r="C44" s="16">
        <v>0.03</v>
      </c>
      <c r="D44" s="13">
        <f t="shared" si="0"/>
        <v>64.42</v>
      </c>
    </row>
    <row r="45" spans="1:4" x14ac:dyDescent="0.2">
      <c r="A45" s="32" t="s">
        <v>10</v>
      </c>
      <c r="B45" s="29" t="s">
        <v>30</v>
      </c>
      <c r="C45" s="9">
        <v>1.4999999999999999E-2</v>
      </c>
      <c r="D45" s="13">
        <f t="shared" si="0"/>
        <v>32.21</v>
      </c>
    </row>
    <row r="46" spans="1:4" x14ac:dyDescent="0.2">
      <c r="A46" s="32" t="s">
        <v>12</v>
      </c>
      <c r="B46" s="29" t="s">
        <v>31</v>
      </c>
      <c r="C46" s="9">
        <v>0.01</v>
      </c>
      <c r="D46" s="13">
        <f t="shared" si="0"/>
        <v>21.47</v>
      </c>
    </row>
    <row r="47" spans="1:4" x14ac:dyDescent="0.2">
      <c r="A47" s="32" t="s">
        <v>32</v>
      </c>
      <c r="B47" s="29" t="s">
        <v>33</v>
      </c>
      <c r="C47" s="9">
        <v>6.0000000000000001E-3</v>
      </c>
      <c r="D47" s="13">
        <f t="shared" si="0"/>
        <v>12.88</v>
      </c>
    </row>
    <row r="48" spans="1:4" x14ac:dyDescent="0.2">
      <c r="A48" s="32" t="s">
        <v>14</v>
      </c>
      <c r="B48" s="29" t="s">
        <v>34</v>
      </c>
      <c r="C48" s="9">
        <v>2E-3</v>
      </c>
      <c r="D48" s="13">
        <f t="shared" si="0"/>
        <v>4.29</v>
      </c>
    </row>
    <row r="49" spans="1:4" x14ac:dyDescent="0.2">
      <c r="A49" s="32" t="s">
        <v>35</v>
      </c>
      <c r="B49" s="29" t="s">
        <v>36</v>
      </c>
      <c r="C49" s="9">
        <v>0.08</v>
      </c>
      <c r="D49" s="13">
        <f t="shared" si="0"/>
        <v>171.8</v>
      </c>
    </row>
    <row r="50" spans="1:4" x14ac:dyDescent="0.2">
      <c r="A50" s="70" t="s">
        <v>37</v>
      </c>
      <c r="B50" s="70"/>
      <c r="C50" s="15">
        <f>SUM(C42:C49)</f>
        <v>0.36800000000000005</v>
      </c>
      <c r="D50" s="19">
        <f>SUM(D42:D49)</f>
        <v>790.26</v>
      </c>
    </row>
    <row r="53" spans="1:4" x14ac:dyDescent="0.2">
      <c r="A53" s="71" t="s">
        <v>38</v>
      </c>
      <c r="B53" s="71"/>
      <c r="C53" s="71"/>
      <c r="D53" s="71"/>
    </row>
    <row r="55" spans="1:4" x14ac:dyDescent="0.2">
      <c r="A55" s="30" t="s">
        <v>39</v>
      </c>
      <c r="B55" s="72" t="s">
        <v>40</v>
      </c>
      <c r="C55" s="72"/>
      <c r="D55" s="30" t="s">
        <v>3</v>
      </c>
    </row>
    <row r="56" spans="1:4" x14ac:dyDescent="0.2">
      <c r="A56" s="32" t="s">
        <v>4</v>
      </c>
      <c r="B56" s="69" t="s">
        <v>41</v>
      </c>
      <c r="C56" s="69"/>
      <c r="D56" s="13">
        <f>IF((22*2*5.6)-(D19*0.06)&gt;0,(22*2*5.6)-(D19*0.06),0)</f>
        <v>138.51639999999998</v>
      </c>
    </row>
    <row r="57" spans="1:4" x14ac:dyDescent="0.2">
      <c r="A57" s="32" t="s">
        <v>6</v>
      </c>
      <c r="B57" s="69" t="s">
        <v>42</v>
      </c>
      <c r="C57" s="69"/>
      <c r="D57" s="13">
        <f>20*0.8*22</f>
        <v>352</v>
      </c>
    </row>
    <row r="58" spans="1:4" x14ac:dyDescent="0.2">
      <c r="A58" s="32" t="s">
        <v>8</v>
      </c>
      <c r="B58" s="69" t="s">
        <v>103</v>
      </c>
      <c r="C58" s="69"/>
      <c r="D58" s="13">
        <v>280</v>
      </c>
    </row>
    <row r="59" spans="1:4" x14ac:dyDescent="0.2">
      <c r="A59" s="32" t="s">
        <v>10</v>
      </c>
      <c r="B59" s="69" t="s">
        <v>104</v>
      </c>
      <c r="C59" s="69"/>
      <c r="D59" s="13">
        <v>23</v>
      </c>
    </row>
    <row r="60" spans="1:4" x14ac:dyDescent="0.2">
      <c r="A60" s="32" t="s">
        <v>12</v>
      </c>
      <c r="B60" s="69" t="s">
        <v>105</v>
      </c>
      <c r="C60" s="69"/>
      <c r="D60" s="13">
        <v>4.8</v>
      </c>
    </row>
    <row r="61" spans="1:4" x14ac:dyDescent="0.2">
      <c r="A61" s="70" t="s">
        <v>16</v>
      </c>
      <c r="B61" s="70"/>
      <c r="C61" s="70"/>
      <c r="D61" s="19">
        <f>SUM(D56:D60)</f>
        <v>798.31639999999993</v>
      </c>
    </row>
    <row r="64" spans="1:4" x14ac:dyDescent="0.2">
      <c r="A64" s="71" t="s">
        <v>43</v>
      </c>
      <c r="B64" s="71"/>
      <c r="C64" s="71"/>
      <c r="D64" s="71"/>
    </row>
    <row r="66" spans="1:5" x14ac:dyDescent="0.2">
      <c r="A66" s="30">
        <v>2</v>
      </c>
      <c r="B66" s="72" t="s">
        <v>44</v>
      </c>
      <c r="C66" s="72"/>
      <c r="D66" s="30" t="s">
        <v>3</v>
      </c>
    </row>
    <row r="67" spans="1:5" x14ac:dyDescent="0.2">
      <c r="A67" s="32" t="s">
        <v>19</v>
      </c>
      <c r="B67" s="69" t="s">
        <v>20</v>
      </c>
      <c r="C67" s="69"/>
      <c r="D67" s="14">
        <f>D36</f>
        <v>349.53</v>
      </c>
    </row>
    <row r="68" spans="1:5" x14ac:dyDescent="0.2">
      <c r="A68" s="32" t="s">
        <v>24</v>
      </c>
      <c r="B68" s="69" t="s">
        <v>25</v>
      </c>
      <c r="C68" s="69"/>
      <c r="D68" s="14">
        <f>D50</f>
        <v>790.26</v>
      </c>
    </row>
    <row r="69" spans="1:5" x14ac:dyDescent="0.2">
      <c r="A69" s="32" t="s">
        <v>39</v>
      </c>
      <c r="B69" s="69" t="s">
        <v>40</v>
      </c>
      <c r="C69" s="69"/>
      <c r="D69" s="14">
        <f>D61</f>
        <v>798.31639999999993</v>
      </c>
    </row>
    <row r="70" spans="1:5" x14ac:dyDescent="0.2">
      <c r="A70" s="70" t="s">
        <v>16</v>
      </c>
      <c r="B70" s="70"/>
      <c r="C70" s="70"/>
      <c r="D70" s="19">
        <f>SUM(D67:D69)</f>
        <v>1938.1063999999999</v>
      </c>
    </row>
    <row r="71" spans="1:5" x14ac:dyDescent="0.2">
      <c r="A71" s="4"/>
      <c r="E71" s="18"/>
    </row>
    <row r="73" spans="1:5" x14ac:dyDescent="0.2">
      <c r="A73" s="73" t="s">
        <v>45</v>
      </c>
      <c r="B73" s="73"/>
      <c r="C73" s="73"/>
      <c r="D73" s="73"/>
      <c r="E73" s="17"/>
    </row>
    <row r="74" spans="1:5" ht="12.75" customHeight="1" x14ac:dyDescent="0.2">
      <c r="E74" s="18"/>
    </row>
    <row r="75" spans="1:5" x14ac:dyDescent="0.2">
      <c r="A75" s="30">
        <v>3</v>
      </c>
      <c r="B75" s="72" t="s">
        <v>46</v>
      </c>
      <c r="C75" s="72"/>
      <c r="D75" s="30" t="s">
        <v>3</v>
      </c>
    </row>
    <row r="76" spans="1:5" x14ac:dyDescent="0.2">
      <c r="A76" s="32" t="s">
        <v>4</v>
      </c>
      <c r="B76" s="10" t="s">
        <v>47</v>
      </c>
      <c r="C76" s="9">
        <f>TRUNC(((1/12)*0%),4)</f>
        <v>0</v>
      </c>
      <c r="D76" s="13">
        <f>TRUNC($D$26*C76,2)</f>
        <v>0</v>
      </c>
    </row>
    <row r="77" spans="1:5" x14ac:dyDescent="0.2">
      <c r="A77" s="32" t="s">
        <v>6</v>
      </c>
      <c r="B77" s="10" t="s">
        <v>48</v>
      </c>
      <c r="C77" s="9">
        <v>0.08</v>
      </c>
      <c r="D77" s="13">
        <f>TRUNC(D76*C77,2)</f>
        <v>0</v>
      </c>
    </row>
    <row r="78" spans="1:5" x14ac:dyDescent="0.2">
      <c r="A78" s="32" t="s">
        <v>8</v>
      </c>
      <c r="B78" s="10" t="s">
        <v>98</v>
      </c>
      <c r="C78" s="9">
        <f>TRUNC(8%*0%*40%,4)</f>
        <v>0</v>
      </c>
      <c r="D78" s="13">
        <f>TRUNC($D$26*C78,2)</f>
        <v>0</v>
      </c>
    </row>
    <row r="79" spans="1:5" x14ac:dyDescent="0.2">
      <c r="A79" s="32" t="s">
        <v>10</v>
      </c>
      <c r="B79" s="10" t="s">
        <v>49</v>
      </c>
      <c r="C79" s="9">
        <f>TRUNC(((7/30)/12)*0%,4)</f>
        <v>0</v>
      </c>
      <c r="D79" s="13">
        <f>TRUNC($D$26*C79,2)</f>
        <v>0</v>
      </c>
    </row>
    <row r="80" spans="1:5" ht="25.5" x14ac:dyDescent="0.2">
      <c r="A80" s="32" t="s">
        <v>12</v>
      </c>
      <c r="B80" s="10" t="s">
        <v>93</v>
      </c>
      <c r="C80" s="9">
        <f>C50</f>
        <v>0.36800000000000005</v>
      </c>
      <c r="D80" s="13">
        <f>TRUNC(D79*C80,2)</f>
        <v>0</v>
      </c>
    </row>
    <row r="81" spans="1:4" x14ac:dyDescent="0.2">
      <c r="A81" s="32" t="s">
        <v>32</v>
      </c>
      <c r="B81" s="10" t="s">
        <v>99</v>
      </c>
      <c r="C81" s="9">
        <f>TRUNC(8%*0%*40%,4)</f>
        <v>0</v>
      </c>
      <c r="D81" s="13">
        <f t="shared" ref="D81" si="1">TRUNC($D$26*C81,2)</f>
        <v>0</v>
      </c>
    </row>
    <row r="82" spans="1:4" x14ac:dyDescent="0.2">
      <c r="A82" s="77" t="s">
        <v>16</v>
      </c>
      <c r="B82" s="78"/>
      <c r="C82" s="79"/>
      <c r="D82" s="19">
        <f>SUM(D76:D81)</f>
        <v>0</v>
      </c>
    </row>
    <row r="85" spans="1:4" x14ac:dyDescent="0.2">
      <c r="A85" s="73" t="s">
        <v>50</v>
      </c>
      <c r="B85" s="73"/>
      <c r="C85" s="73"/>
      <c r="D85" s="73"/>
    </row>
    <row r="88" spans="1:4" x14ac:dyDescent="0.2">
      <c r="A88" s="71" t="s">
        <v>77</v>
      </c>
      <c r="B88" s="71"/>
      <c r="C88" s="71"/>
      <c r="D88" s="71"/>
    </row>
    <row r="89" spans="1:4" x14ac:dyDescent="0.2">
      <c r="A89" s="3"/>
    </row>
    <row r="90" spans="1:4" x14ac:dyDescent="0.2">
      <c r="A90" s="30" t="s">
        <v>51</v>
      </c>
      <c r="B90" s="72" t="s">
        <v>78</v>
      </c>
      <c r="C90" s="72"/>
      <c r="D90" s="30" t="s">
        <v>3</v>
      </c>
    </row>
    <row r="91" spans="1:4" x14ac:dyDescent="0.2">
      <c r="A91" s="32" t="s">
        <v>4</v>
      </c>
      <c r="B91" s="29" t="s">
        <v>79</v>
      </c>
      <c r="C91" s="9">
        <f>TRUNC(((1+1/3)/12)/12,4)*0</f>
        <v>0</v>
      </c>
      <c r="D91" s="13">
        <f>TRUNC(($D$26+$D$70+$D$82)*C91,2)</f>
        <v>0</v>
      </c>
    </row>
    <row r="92" spans="1:4" x14ac:dyDescent="0.2">
      <c r="A92" s="32" t="s">
        <v>6</v>
      </c>
      <c r="B92" s="29" t="s">
        <v>80</v>
      </c>
      <c r="C92" s="9">
        <f>TRUNC(((2/30)/12),4)</f>
        <v>5.4999999999999997E-3</v>
      </c>
      <c r="D92" s="13">
        <f t="shared" ref="D92:D96" si="2">TRUNC(($D$26+$D$70+$D$82)*C92,2)</f>
        <v>20.54</v>
      </c>
    </row>
    <row r="93" spans="1:4" x14ac:dyDescent="0.2">
      <c r="A93" s="32" t="s">
        <v>8</v>
      </c>
      <c r="B93" s="29" t="s">
        <v>81</v>
      </c>
      <c r="C93" s="9">
        <f>TRUNC(((5/30)/12)*2%,4)*0</f>
        <v>0</v>
      </c>
      <c r="D93" s="13">
        <f t="shared" si="2"/>
        <v>0</v>
      </c>
    </row>
    <row r="94" spans="1:4" x14ac:dyDescent="0.2">
      <c r="A94" s="32" t="s">
        <v>10</v>
      </c>
      <c r="B94" s="29" t="s">
        <v>82</v>
      </c>
      <c r="C94" s="9">
        <f>TRUNC(((15/30)/12)*8%,4)*0</f>
        <v>0</v>
      </c>
      <c r="D94" s="13">
        <f t="shared" si="2"/>
        <v>0</v>
      </c>
    </row>
    <row r="95" spans="1:4" x14ac:dyDescent="0.2">
      <c r="A95" s="32" t="s">
        <v>12</v>
      </c>
      <c r="B95" s="29" t="s">
        <v>83</v>
      </c>
      <c r="C95" s="9">
        <f>((1+1/3)/12)*3%*(4/12)*0</f>
        <v>0</v>
      </c>
      <c r="D95" s="13">
        <f t="shared" si="2"/>
        <v>0</v>
      </c>
    </row>
    <row r="96" spans="1:4" x14ac:dyDescent="0.2">
      <c r="A96" s="32" t="s">
        <v>32</v>
      </c>
      <c r="B96" s="29" t="s">
        <v>84</v>
      </c>
      <c r="C96" s="9"/>
      <c r="D96" s="13">
        <f t="shared" si="2"/>
        <v>0</v>
      </c>
    </row>
    <row r="97" spans="1:6" x14ac:dyDescent="0.2">
      <c r="A97" s="70" t="s">
        <v>37</v>
      </c>
      <c r="B97" s="70"/>
      <c r="C97" s="70"/>
      <c r="D97" s="19">
        <f>SUM(D91:D96)</f>
        <v>20.54</v>
      </c>
      <c r="E97" s="17"/>
      <c r="F97" s="17"/>
    </row>
    <row r="100" spans="1:6" x14ac:dyDescent="0.2">
      <c r="A100" s="71" t="s">
        <v>85</v>
      </c>
      <c r="B100" s="71"/>
      <c r="C100" s="71"/>
      <c r="D100" s="71"/>
    </row>
    <row r="101" spans="1:6" x14ac:dyDescent="0.2">
      <c r="A101" s="3"/>
    </row>
    <row r="102" spans="1:6" x14ac:dyDescent="0.2">
      <c r="A102" s="30" t="s">
        <v>52</v>
      </c>
      <c r="B102" s="72" t="s">
        <v>86</v>
      </c>
      <c r="C102" s="72"/>
      <c r="D102" s="30" t="s">
        <v>3</v>
      </c>
    </row>
    <row r="103" spans="1:6" x14ac:dyDescent="0.2">
      <c r="A103" s="32" t="s">
        <v>4</v>
      </c>
      <c r="B103" s="80" t="s">
        <v>87</v>
      </c>
      <c r="C103" s="81"/>
      <c r="D103" s="13">
        <f>((D26+D70+D82)/220)*22*0</f>
        <v>0</v>
      </c>
    </row>
    <row r="104" spans="1:6" x14ac:dyDescent="0.2">
      <c r="A104" s="70" t="s">
        <v>16</v>
      </c>
      <c r="B104" s="70"/>
      <c r="C104" s="70"/>
      <c r="D104" s="19">
        <f>SUM(D103)</f>
        <v>0</v>
      </c>
    </row>
    <row r="107" spans="1:6" x14ac:dyDescent="0.2">
      <c r="A107" s="71" t="s">
        <v>53</v>
      </c>
      <c r="B107" s="71"/>
      <c r="C107" s="71"/>
      <c r="D107" s="71"/>
    </row>
    <row r="108" spans="1:6" x14ac:dyDescent="0.2">
      <c r="A108" s="3"/>
    </row>
    <row r="109" spans="1:6" x14ac:dyDescent="0.2">
      <c r="A109" s="30">
        <v>4</v>
      </c>
      <c r="B109" s="70" t="s">
        <v>54</v>
      </c>
      <c r="C109" s="70"/>
      <c r="D109" s="30" t="s">
        <v>3</v>
      </c>
    </row>
    <row r="110" spans="1:6" x14ac:dyDescent="0.2">
      <c r="A110" s="32" t="s">
        <v>51</v>
      </c>
      <c r="B110" s="69" t="s">
        <v>78</v>
      </c>
      <c r="C110" s="69"/>
      <c r="D110" s="14">
        <f>D97</f>
        <v>20.54</v>
      </c>
    </row>
    <row r="111" spans="1:6" x14ac:dyDescent="0.2">
      <c r="A111" s="32" t="s">
        <v>52</v>
      </c>
      <c r="B111" s="69" t="s">
        <v>86</v>
      </c>
      <c r="C111" s="69"/>
      <c r="D111" s="14">
        <f>D104</f>
        <v>0</v>
      </c>
    </row>
    <row r="112" spans="1:6" x14ac:dyDescent="0.2">
      <c r="A112" s="70" t="s">
        <v>16</v>
      </c>
      <c r="B112" s="70"/>
      <c r="C112" s="70"/>
      <c r="D112" s="19">
        <f>SUM(D110:D111)</f>
        <v>20.54</v>
      </c>
    </row>
    <row r="115" spans="1:4" x14ac:dyDescent="0.2">
      <c r="A115" s="73" t="s">
        <v>55</v>
      </c>
      <c r="B115" s="73"/>
      <c r="C115" s="73"/>
      <c r="D115" s="73"/>
    </row>
    <row r="117" spans="1:4" x14ac:dyDescent="0.2">
      <c r="A117" s="30">
        <v>5</v>
      </c>
      <c r="B117" s="82" t="s">
        <v>56</v>
      </c>
      <c r="C117" s="82"/>
      <c r="D117" s="30" t="s">
        <v>3</v>
      </c>
    </row>
    <row r="118" spans="1:4" x14ac:dyDescent="0.2">
      <c r="A118" s="32" t="s">
        <v>4</v>
      </c>
      <c r="B118" s="29" t="s">
        <v>57</v>
      </c>
      <c r="C118" s="29"/>
      <c r="D118" s="13">
        <v>197.81</v>
      </c>
    </row>
    <row r="119" spans="1:4" x14ac:dyDescent="0.2">
      <c r="A119" s="32" t="s">
        <v>6</v>
      </c>
      <c r="B119" s="29" t="s">
        <v>58</v>
      </c>
      <c r="C119" s="29"/>
      <c r="D119" s="13"/>
    </row>
    <row r="120" spans="1:4" x14ac:dyDescent="0.2">
      <c r="A120" s="32" t="s">
        <v>8</v>
      </c>
      <c r="B120" s="29" t="s">
        <v>59</v>
      </c>
      <c r="C120" s="29"/>
      <c r="D120" s="13"/>
    </row>
    <row r="121" spans="1:4" x14ac:dyDescent="0.2">
      <c r="A121" s="32" t="s">
        <v>10</v>
      </c>
      <c r="B121" s="29" t="s">
        <v>15</v>
      </c>
      <c r="C121" s="29"/>
      <c r="D121" s="13"/>
    </row>
    <row r="122" spans="1:4" x14ac:dyDescent="0.2">
      <c r="A122" s="70" t="s">
        <v>37</v>
      </c>
      <c r="B122" s="70"/>
      <c r="C122" s="70"/>
      <c r="D122" s="20">
        <f>SUM(D118:D121)</f>
        <v>197.81</v>
      </c>
    </row>
    <row r="125" spans="1:4" x14ac:dyDescent="0.2">
      <c r="A125" s="73" t="s">
        <v>60</v>
      </c>
      <c r="B125" s="73"/>
      <c r="C125" s="73"/>
      <c r="D125" s="73"/>
    </row>
    <row r="127" spans="1:4" x14ac:dyDescent="0.2">
      <c r="A127" s="30">
        <v>6</v>
      </c>
      <c r="B127" s="31" t="s">
        <v>61</v>
      </c>
      <c r="C127" s="30" t="s">
        <v>26</v>
      </c>
      <c r="D127" s="30" t="s">
        <v>3</v>
      </c>
    </row>
    <row r="128" spans="1:4" x14ac:dyDescent="0.2">
      <c r="A128" s="32" t="s">
        <v>4</v>
      </c>
      <c r="B128" s="29" t="s">
        <v>62</v>
      </c>
      <c r="C128" s="9">
        <v>0.02</v>
      </c>
      <c r="D128" s="14">
        <f>D148*C128</f>
        <v>79.090328</v>
      </c>
    </row>
    <row r="129" spans="1:4" x14ac:dyDescent="0.2">
      <c r="A129" s="32" t="s">
        <v>6</v>
      </c>
      <c r="B129" s="29" t="s">
        <v>63</v>
      </c>
      <c r="C129" s="9">
        <v>0.03</v>
      </c>
      <c r="D129" s="13">
        <f>(D148+D128)*C129</f>
        <v>121.00820183999998</v>
      </c>
    </row>
    <row r="130" spans="1:4" x14ac:dyDescent="0.2">
      <c r="A130" s="32" t="s">
        <v>8</v>
      </c>
      <c r="B130" s="29" t="s">
        <v>64</v>
      </c>
      <c r="C130" s="12">
        <f>SUM(C131:C136)</f>
        <v>8.6499999999999994E-2</v>
      </c>
      <c r="D130" s="13">
        <f>(D148+D128+D129)*C130/(1-C130)</f>
        <v>393.40360309924461</v>
      </c>
    </row>
    <row r="131" spans="1:4" x14ac:dyDescent="0.2">
      <c r="A131" s="32"/>
      <c r="B131" s="29" t="s">
        <v>65</v>
      </c>
      <c r="C131" s="9"/>
      <c r="D131" s="14">
        <f>$D$150*C131</f>
        <v>0</v>
      </c>
    </row>
    <row r="132" spans="1:4" x14ac:dyDescent="0.2">
      <c r="A132" s="32"/>
      <c r="B132" s="29" t="s">
        <v>95</v>
      </c>
      <c r="C132" s="9">
        <v>6.4999999999999997E-3</v>
      </c>
      <c r="D132" s="14">
        <f t="shared" ref="D132:D136" si="3">$D$150*C132</f>
        <v>29.56213</v>
      </c>
    </row>
    <row r="133" spans="1:4" x14ac:dyDescent="0.2">
      <c r="A133" s="32"/>
      <c r="B133" s="29" t="s">
        <v>96</v>
      </c>
      <c r="C133" s="9">
        <v>0.03</v>
      </c>
      <c r="D133" s="14">
        <f t="shared" si="3"/>
        <v>136.44060000000002</v>
      </c>
    </row>
    <row r="134" spans="1:4" x14ac:dyDescent="0.2">
      <c r="A134" s="32"/>
      <c r="B134" s="29" t="s">
        <v>66</v>
      </c>
      <c r="C134" s="32"/>
      <c r="D134" s="14">
        <f t="shared" si="3"/>
        <v>0</v>
      </c>
    </row>
    <row r="135" spans="1:4" x14ac:dyDescent="0.2">
      <c r="A135" s="32"/>
      <c r="B135" s="29" t="s">
        <v>67</v>
      </c>
      <c r="C135" s="9"/>
      <c r="D135" s="14">
        <f t="shared" si="3"/>
        <v>0</v>
      </c>
    </row>
    <row r="136" spans="1:4" x14ac:dyDescent="0.2">
      <c r="A136" s="32"/>
      <c r="B136" s="29" t="s">
        <v>97</v>
      </c>
      <c r="C136" s="9">
        <v>0.05</v>
      </c>
      <c r="D136" s="14">
        <f t="shared" si="3"/>
        <v>227.40100000000004</v>
      </c>
    </row>
    <row r="137" spans="1:4" ht="13.5" x14ac:dyDescent="0.2">
      <c r="A137" s="77" t="s">
        <v>37</v>
      </c>
      <c r="B137" s="78"/>
      <c r="C137" s="21">
        <f>(1+C129)*(1+C128)/(1-C130)-1</f>
        <v>0.15008210180623971</v>
      </c>
      <c r="D137" s="19">
        <f>SUM(D128:D130)</f>
        <v>593.50213293924458</v>
      </c>
    </row>
    <row r="140" spans="1:4" x14ac:dyDescent="0.2">
      <c r="A140" s="73" t="s">
        <v>68</v>
      </c>
      <c r="B140" s="73"/>
      <c r="C140" s="73"/>
      <c r="D140" s="73"/>
    </row>
    <row r="142" spans="1:4" x14ac:dyDescent="0.2">
      <c r="A142" s="30"/>
      <c r="B142" s="70" t="s">
        <v>69</v>
      </c>
      <c r="C142" s="70"/>
      <c r="D142" s="30" t="s">
        <v>3</v>
      </c>
    </row>
    <row r="143" spans="1:4" x14ac:dyDescent="0.2">
      <c r="A143" s="30" t="s">
        <v>4</v>
      </c>
      <c r="B143" s="69" t="s">
        <v>1</v>
      </c>
      <c r="C143" s="69"/>
      <c r="D143" s="22">
        <f>D26</f>
        <v>1798.06</v>
      </c>
    </row>
    <row r="144" spans="1:4" x14ac:dyDescent="0.2">
      <c r="A144" s="30" t="s">
        <v>6</v>
      </c>
      <c r="B144" s="69" t="s">
        <v>17</v>
      </c>
      <c r="C144" s="69"/>
      <c r="D144" s="22">
        <f>D70</f>
        <v>1938.1063999999999</v>
      </c>
    </row>
    <row r="145" spans="1:4" x14ac:dyDescent="0.2">
      <c r="A145" s="30" t="s">
        <v>8</v>
      </c>
      <c r="B145" s="69" t="s">
        <v>45</v>
      </c>
      <c r="C145" s="69"/>
      <c r="D145" s="22">
        <f>D82</f>
        <v>0</v>
      </c>
    </row>
    <row r="146" spans="1:4" x14ac:dyDescent="0.2">
      <c r="A146" s="30" t="s">
        <v>10</v>
      </c>
      <c r="B146" s="69" t="s">
        <v>50</v>
      </c>
      <c r="C146" s="69"/>
      <c r="D146" s="22">
        <f>D112</f>
        <v>20.54</v>
      </c>
    </row>
    <row r="147" spans="1:4" x14ac:dyDescent="0.2">
      <c r="A147" s="30" t="s">
        <v>12</v>
      </c>
      <c r="B147" s="69" t="s">
        <v>55</v>
      </c>
      <c r="C147" s="69"/>
      <c r="D147" s="22">
        <f>D122</f>
        <v>197.81</v>
      </c>
    </row>
    <row r="148" spans="1:4" x14ac:dyDescent="0.2">
      <c r="A148" s="70" t="s">
        <v>94</v>
      </c>
      <c r="B148" s="70"/>
      <c r="C148" s="70"/>
      <c r="D148" s="23">
        <f>SUM(D143:D147)</f>
        <v>3954.5164</v>
      </c>
    </row>
    <row r="149" spans="1:4" x14ac:dyDescent="0.2">
      <c r="A149" s="30" t="s">
        <v>32</v>
      </c>
      <c r="B149" s="69" t="s">
        <v>70</v>
      </c>
      <c r="C149" s="69"/>
      <c r="D149" s="24">
        <f>D137</f>
        <v>593.50213293924458</v>
      </c>
    </row>
    <row r="150" spans="1:4" x14ac:dyDescent="0.2">
      <c r="A150" s="70" t="s">
        <v>71</v>
      </c>
      <c r="B150" s="70"/>
      <c r="C150" s="70"/>
      <c r="D150" s="23">
        <f>ROUND(SUM(D148:D149),2)</f>
        <v>4548.0200000000004</v>
      </c>
    </row>
  </sheetData>
  <mergeCells count="71">
    <mergeCell ref="C10:D10"/>
    <mergeCell ref="A1:D1"/>
    <mergeCell ref="A3:D3"/>
    <mergeCell ref="A5:B5"/>
    <mergeCell ref="A6:B6"/>
    <mergeCell ref="A8:D8"/>
    <mergeCell ref="B24:C24"/>
    <mergeCell ref="C11:D11"/>
    <mergeCell ref="C12:D12"/>
    <mergeCell ref="C13:D13"/>
    <mergeCell ref="C14:D14"/>
    <mergeCell ref="A16:D16"/>
    <mergeCell ref="B18:C18"/>
    <mergeCell ref="B19:C19"/>
    <mergeCell ref="B20:C20"/>
    <mergeCell ref="B21:C21"/>
    <mergeCell ref="B22:C22"/>
    <mergeCell ref="B23:C23"/>
    <mergeCell ref="B57:C57"/>
    <mergeCell ref="B25:C25"/>
    <mergeCell ref="A26:C26"/>
    <mergeCell ref="A29:D29"/>
    <mergeCell ref="A31:D31"/>
    <mergeCell ref="B33:C33"/>
    <mergeCell ref="A36:B36"/>
    <mergeCell ref="A39:D39"/>
    <mergeCell ref="A50:B50"/>
    <mergeCell ref="A53:D53"/>
    <mergeCell ref="B55:C55"/>
    <mergeCell ref="B56:C56"/>
    <mergeCell ref="B75:C75"/>
    <mergeCell ref="B58:C58"/>
    <mergeCell ref="B59:C59"/>
    <mergeCell ref="B60:C60"/>
    <mergeCell ref="A61:C61"/>
    <mergeCell ref="A64:D64"/>
    <mergeCell ref="B66:C66"/>
    <mergeCell ref="B67:C67"/>
    <mergeCell ref="B68:C68"/>
    <mergeCell ref="B69:C69"/>
    <mergeCell ref="A70:C70"/>
    <mergeCell ref="A73:D73"/>
    <mergeCell ref="B110:C110"/>
    <mergeCell ref="A82:C82"/>
    <mergeCell ref="A85:D85"/>
    <mergeCell ref="A88:D88"/>
    <mergeCell ref="B90:C90"/>
    <mergeCell ref="A97:C97"/>
    <mergeCell ref="A100:D100"/>
    <mergeCell ref="B102:C102"/>
    <mergeCell ref="B103:C103"/>
    <mergeCell ref="A104:C104"/>
    <mergeCell ref="A107:D107"/>
    <mergeCell ref="B109:C109"/>
    <mergeCell ref="B145:C145"/>
    <mergeCell ref="B111:C111"/>
    <mergeCell ref="A112:C112"/>
    <mergeCell ref="A115:D115"/>
    <mergeCell ref="B117:C117"/>
    <mergeCell ref="A122:C122"/>
    <mergeCell ref="A125:D125"/>
    <mergeCell ref="A137:B137"/>
    <mergeCell ref="A140:D140"/>
    <mergeCell ref="B142:C142"/>
    <mergeCell ref="B143:C143"/>
    <mergeCell ref="B144:C144"/>
    <mergeCell ref="B146:C146"/>
    <mergeCell ref="B147:C147"/>
    <mergeCell ref="A148:C148"/>
    <mergeCell ref="B149:C149"/>
    <mergeCell ref="A150:C150"/>
  </mergeCells>
  <pageMargins left="0.51181102362204722" right="0.51181102362204722" top="0.98425196850393704" bottom="0.78740157480314965" header="0.31496062992125984" footer="0.31496062992125984"/>
  <pageSetup paperSize="9" scale="84" fitToHeight="0" orientation="portrait" r:id="rId1"/>
  <headerFooter>
    <oddHeader>&amp;C&amp;G</oddHeader>
    <oddFooter>&amp;L&amp;"-,Negrito"Documento elaborado em &amp;D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0"/>
  <sheetViews>
    <sheetView view="pageBreakPreview" topLeftCell="A18" zoomScaleNormal="115" zoomScaleSheetLayoutView="100" workbookViewId="0">
      <selection activeCell="C130" sqref="C130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74" t="s">
        <v>0</v>
      </c>
      <c r="B1" s="74"/>
      <c r="C1" s="74"/>
      <c r="D1" s="74"/>
    </row>
    <row r="2" spans="1:4" ht="15.75" x14ac:dyDescent="0.25">
      <c r="A2" s="26"/>
      <c r="B2" s="26"/>
      <c r="C2" s="26"/>
      <c r="D2" s="26"/>
    </row>
    <row r="3" spans="1:4" x14ac:dyDescent="0.2">
      <c r="A3" s="76" t="s">
        <v>88</v>
      </c>
      <c r="B3" s="76"/>
      <c r="C3" s="76"/>
      <c r="D3" s="76"/>
    </row>
    <row r="4" spans="1:4" x14ac:dyDescent="0.2">
      <c r="A4" s="2"/>
      <c r="B4" s="2"/>
      <c r="C4" s="2"/>
      <c r="D4" s="2"/>
    </row>
    <row r="5" spans="1:4" ht="38.25" x14ac:dyDescent="0.2">
      <c r="A5" s="83" t="s">
        <v>89</v>
      </c>
      <c r="B5" s="83"/>
      <c r="C5" s="32" t="s">
        <v>90</v>
      </c>
      <c r="D5" s="27" t="s">
        <v>91</v>
      </c>
    </row>
    <row r="6" spans="1:4" x14ac:dyDescent="0.2">
      <c r="A6" s="84" t="s">
        <v>122</v>
      </c>
      <c r="B6" s="84"/>
      <c r="C6" s="33" t="s">
        <v>101</v>
      </c>
      <c r="D6" s="33">
        <v>1</v>
      </c>
    </row>
    <row r="8" spans="1:4" x14ac:dyDescent="0.2">
      <c r="A8" s="76" t="s">
        <v>72</v>
      </c>
      <c r="B8" s="76"/>
      <c r="C8" s="76"/>
      <c r="D8" s="76"/>
    </row>
    <row r="9" spans="1:4" x14ac:dyDescent="0.2">
      <c r="A9" s="2"/>
      <c r="B9" s="2"/>
      <c r="C9" s="2"/>
      <c r="D9" s="2"/>
    </row>
    <row r="10" spans="1:4" x14ac:dyDescent="0.2">
      <c r="A10" s="5">
        <v>1</v>
      </c>
      <c r="B10" s="5" t="s">
        <v>73</v>
      </c>
      <c r="C10" s="85" t="s">
        <v>114</v>
      </c>
      <c r="D10" s="86"/>
    </row>
    <row r="11" spans="1:4" x14ac:dyDescent="0.2">
      <c r="A11" s="5">
        <v>2</v>
      </c>
      <c r="B11" s="5" t="s">
        <v>92</v>
      </c>
      <c r="C11" s="85" t="s">
        <v>115</v>
      </c>
      <c r="D11" s="86"/>
    </row>
    <row r="12" spans="1:4" x14ac:dyDescent="0.2">
      <c r="A12" s="5">
        <v>3</v>
      </c>
      <c r="B12" s="5" t="s">
        <v>74</v>
      </c>
      <c r="C12" s="87">
        <v>1593.19</v>
      </c>
      <c r="D12" s="86"/>
    </row>
    <row r="13" spans="1:4" x14ac:dyDescent="0.2">
      <c r="A13" s="5">
        <v>4</v>
      </c>
      <c r="B13" s="5" t="s">
        <v>75</v>
      </c>
      <c r="C13" s="85"/>
      <c r="D13" s="86"/>
    </row>
    <row r="14" spans="1:4" x14ac:dyDescent="0.2">
      <c r="A14" s="5">
        <v>5</v>
      </c>
      <c r="B14" s="5" t="s">
        <v>76</v>
      </c>
      <c r="C14" s="85"/>
      <c r="D14" s="86"/>
    </row>
    <row r="16" spans="1:4" x14ac:dyDescent="0.2">
      <c r="A16" s="76" t="s">
        <v>1</v>
      </c>
      <c r="B16" s="76"/>
      <c r="C16" s="76"/>
      <c r="D16" s="76"/>
    </row>
    <row r="18" spans="1:4" x14ac:dyDescent="0.2">
      <c r="A18" s="30">
        <v>1</v>
      </c>
      <c r="B18" s="70" t="s">
        <v>2</v>
      </c>
      <c r="C18" s="70"/>
      <c r="D18" s="30" t="s">
        <v>3</v>
      </c>
    </row>
    <row r="19" spans="1:4" x14ac:dyDescent="0.2">
      <c r="A19" s="32" t="s">
        <v>4</v>
      </c>
      <c r="B19" s="69" t="s">
        <v>5</v>
      </c>
      <c r="C19" s="69"/>
      <c r="D19" s="13">
        <v>1593.19</v>
      </c>
    </row>
    <row r="20" spans="1:4" x14ac:dyDescent="0.2">
      <c r="A20" s="32" t="s">
        <v>6</v>
      </c>
      <c r="B20" s="69" t="s">
        <v>7</v>
      </c>
      <c r="C20" s="69"/>
      <c r="D20" s="13"/>
    </row>
    <row r="21" spans="1:4" x14ac:dyDescent="0.2">
      <c r="A21" s="32" t="s">
        <v>8</v>
      </c>
      <c r="B21" s="69" t="s">
        <v>9</v>
      </c>
      <c r="C21" s="69"/>
      <c r="D21" s="13"/>
    </row>
    <row r="22" spans="1:4" x14ac:dyDescent="0.2">
      <c r="A22" s="32" t="s">
        <v>10</v>
      </c>
      <c r="B22" s="69" t="s">
        <v>11</v>
      </c>
      <c r="C22" s="69"/>
      <c r="D22" s="13"/>
    </row>
    <row r="23" spans="1:4" x14ac:dyDescent="0.2">
      <c r="A23" s="32" t="s">
        <v>12</v>
      </c>
      <c r="B23" s="69" t="s">
        <v>13</v>
      </c>
      <c r="C23" s="69"/>
      <c r="D23" s="13"/>
    </row>
    <row r="24" spans="1:4" x14ac:dyDescent="0.2">
      <c r="A24" s="32"/>
      <c r="B24" s="69"/>
      <c r="C24" s="69"/>
      <c r="D24" s="13"/>
    </row>
    <row r="25" spans="1:4" x14ac:dyDescent="0.2">
      <c r="A25" s="32" t="s">
        <v>14</v>
      </c>
      <c r="B25" s="69" t="s">
        <v>15</v>
      </c>
      <c r="C25" s="69"/>
      <c r="D25" s="13"/>
    </row>
    <row r="26" spans="1:4" x14ac:dyDescent="0.2">
      <c r="A26" s="70" t="s">
        <v>16</v>
      </c>
      <c r="B26" s="70"/>
      <c r="C26" s="70"/>
      <c r="D26" s="20">
        <f>SUM(D19:D25)</f>
        <v>1593.19</v>
      </c>
    </row>
    <row r="29" spans="1:4" x14ac:dyDescent="0.2">
      <c r="A29" s="73" t="s">
        <v>17</v>
      </c>
      <c r="B29" s="73"/>
      <c r="C29" s="73"/>
      <c r="D29" s="73"/>
    </row>
    <row r="30" spans="1:4" x14ac:dyDescent="0.2">
      <c r="A30" s="3"/>
    </row>
    <row r="31" spans="1:4" x14ac:dyDescent="0.2">
      <c r="A31" s="71" t="s">
        <v>18</v>
      </c>
      <c r="B31" s="71"/>
      <c r="C31" s="71"/>
      <c r="D31" s="71"/>
    </row>
    <row r="33" spans="1:4" x14ac:dyDescent="0.2">
      <c r="A33" s="30" t="s">
        <v>19</v>
      </c>
      <c r="B33" s="70" t="s">
        <v>20</v>
      </c>
      <c r="C33" s="70"/>
      <c r="D33" s="30" t="s">
        <v>3</v>
      </c>
    </row>
    <row r="34" spans="1:4" x14ac:dyDescent="0.2">
      <c r="A34" s="32" t="s">
        <v>4</v>
      </c>
      <c r="B34" s="29" t="s">
        <v>21</v>
      </c>
      <c r="C34" s="12">
        <f>TRUNC(1/12,4)</f>
        <v>8.3299999999999999E-2</v>
      </c>
      <c r="D34" s="13">
        <f>TRUNC($D$26*C34,2)</f>
        <v>132.71</v>
      </c>
    </row>
    <row r="35" spans="1:4" x14ac:dyDescent="0.2">
      <c r="A35" s="32" t="s">
        <v>6</v>
      </c>
      <c r="B35" s="29" t="s">
        <v>22</v>
      </c>
      <c r="C35" s="12">
        <f>TRUNC(((1+1/3)/12),4)</f>
        <v>0.1111</v>
      </c>
      <c r="D35" s="13">
        <f>TRUNC($D$26*C35,2)</f>
        <v>177</v>
      </c>
    </row>
    <row r="36" spans="1:4" x14ac:dyDescent="0.2">
      <c r="A36" s="70" t="s">
        <v>16</v>
      </c>
      <c r="B36" s="70"/>
      <c r="C36" s="28">
        <f>SUM(C34:C35)</f>
        <v>0.19440000000000002</v>
      </c>
      <c r="D36" s="19">
        <f>SUM(D34:D35)</f>
        <v>309.71000000000004</v>
      </c>
    </row>
    <row r="39" spans="1:4" x14ac:dyDescent="0.2">
      <c r="A39" s="75" t="s">
        <v>23</v>
      </c>
      <c r="B39" s="75"/>
      <c r="C39" s="75"/>
      <c r="D39" s="75"/>
    </row>
    <row r="41" spans="1:4" x14ac:dyDescent="0.2">
      <c r="A41" s="30" t="s">
        <v>24</v>
      </c>
      <c r="B41" s="30" t="s">
        <v>25</v>
      </c>
      <c r="C41" s="30" t="s">
        <v>26</v>
      </c>
      <c r="D41" s="30" t="s">
        <v>3</v>
      </c>
    </row>
    <row r="42" spans="1:4" x14ac:dyDescent="0.2">
      <c r="A42" s="32" t="s">
        <v>4</v>
      </c>
      <c r="B42" s="29" t="s">
        <v>27</v>
      </c>
      <c r="C42" s="9">
        <v>0.2</v>
      </c>
      <c r="D42" s="13">
        <f>TRUNC(($D$26+$D$36)*C42,2)</f>
        <v>380.58</v>
      </c>
    </row>
    <row r="43" spans="1:4" x14ac:dyDescent="0.2">
      <c r="A43" s="32" t="s">
        <v>6</v>
      </c>
      <c r="B43" s="29" t="s">
        <v>28</v>
      </c>
      <c r="C43" s="9">
        <v>2.5000000000000001E-2</v>
      </c>
      <c r="D43" s="13">
        <f t="shared" ref="D43:D49" si="0">TRUNC(($D$26+$D$36)*C43,2)</f>
        <v>47.57</v>
      </c>
    </row>
    <row r="44" spans="1:4" x14ac:dyDescent="0.2">
      <c r="A44" s="32" t="s">
        <v>8</v>
      </c>
      <c r="B44" s="29" t="s">
        <v>29</v>
      </c>
      <c r="C44" s="16">
        <v>0.03</v>
      </c>
      <c r="D44" s="13">
        <f t="shared" si="0"/>
        <v>57.08</v>
      </c>
    </row>
    <row r="45" spans="1:4" x14ac:dyDescent="0.2">
      <c r="A45" s="32" t="s">
        <v>10</v>
      </c>
      <c r="B45" s="29" t="s">
        <v>30</v>
      </c>
      <c r="C45" s="9">
        <v>1.4999999999999999E-2</v>
      </c>
      <c r="D45" s="13">
        <f t="shared" si="0"/>
        <v>28.54</v>
      </c>
    </row>
    <row r="46" spans="1:4" x14ac:dyDescent="0.2">
      <c r="A46" s="32" t="s">
        <v>12</v>
      </c>
      <c r="B46" s="29" t="s">
        <v>31</v>
      </c>
      <c r="C46" s="9">
        <v>0.01</v>
      </c>
      <c r="D46" s="13">
        <f t="shared" si="0"/>
        <v>19.02</v>
      </c>
    </row>
    <row r="47" spans="1:4" x14ac:dyDescent="0.2">
      <c r="A47" s="32" t="s">
        <v>32</v>
      </c>
      <c r="B47" s="29" t="s">
        <v>33</v>
      </c>
      <c r="C47" s="9">
        <v>6.0000000000000001E-3</v>
      </c>
      <c r="D47" s="13">
        <f t="shared" si="0"/>
        <v>11.41</v>
      </c>
    </row>
    <row r="48" spans="1:4" x14ac:dyDescent="0.2">
      <c r="A48" s="32" t="s">
        <v>14</v>
      </c>
      <c r="B48" s="29" t="s">
        <v>34</v>
      </c>
      <c r="C48" s="9">
        <v>2E-3</v>
      </c>
      <c r="D48" s="13">
        <f t="shared" si="0"/>
        <v>3.8</v>
      </c>
    </row>
    <row r="49" spans="1:4" x14ac:dyDescent="0.2">
      <c r="A49" s="32" t="s">
        <v>35</v>
      </c>
      <c r="B49" s="29" t="s">
        <v>36</v>
      </c>
      <c r="C49" s="9">
        <v>0.08</v>
      </c>
      <c r="D49" s="13">
        <f t="shared" si="0"/>
        <v>152.22999999999999</v>
      </c>
    </row>
    <row r="50" spans="1:4" x14ac:dyDescent="0.2">
      <c r="A50" s="70" t="s">
        <v>37</v>
      </c>
      <c r="B50" s="70"/>
      <c r="C50" s="15">
        <f>SUM(C42:C49)</f>
        <v>0.36800000000000005</v>
      </c>
      <c r="D50" s="19">
        <f>SUM(D42:D49)</f>
        <v>700.2299999999999</v>
      </c>
    </row>
    <row r="53" spans="1:4" x14ac:dyDescent="0.2">
      <c r="A53" s="71" t="s">
        <v>38</v>
      </c>
      <c r="B53" s="71"/>
      <c r="C53" s="71"/>
      <c r="D53" s="71"/>
    </row>
    <row r="55" spans="1:4" x14ac:dyDescent="0.2">
      <c r="A55" s="30" t="s">
        <v>39</v>
      </c>
      <c r="B55" s="72" t="s">
        <v>40</v>
      </c>
      <c r="C55" s="72"/>
      <c r="D55" s="30" t="s">
        <v>3</v>
      </c>
    </row>
    <row r="56" spans="1:4" x14ac:dyDescent="0.2">
      <c r="A56" s="32" t="s">
        <v>4</v>
      </c>
      <c r="B56" s="69" t="s">
        <v>41</v>
      </c>
      <c r="C56" s="69"/>
      <c r="D56" s="13">
        <f>IF((22*2*5.6)-(D19*0.06)&gt;0,(22*2*5.6)-(D19*0.06),0)</f>
        <v>150.80859999999998</v>
      </c>
    </row>
    <row r="57" spans="1:4" x14ac:dyDescent="0.2">
      <c r="A57" s="32" t="s">
        <v>6</v>
      </c>
      <c r="B57" s="69" t="s">
        <v>42</v>
      </c>
      <c r="C57" s="69"/>
      <c r="D57" s="13">
        <f>20*0.8*22</f>
        <v>352</v>
      </c>
    </row>
    <row r="58" spans="1:4" x14ac:dyDescent="0.2">
      <c r="A58" s="32" t="s">
        <v>8</v>
      </c>
      <c r="B58" s="69" t="s">
        <v>103</v>
      </c>
      <c r="C58" s="69"/>
      <c r="D58" s="13">
        <v>280</v>
      </c>
    </row>
    <row r="59" spans="1:4" x14ac:dyDescent="0.2">
      <c r="A59" s="32" t="s">
        <v>10</v>
      </c>
      <c r="B59" s="69" t="s">
        <v>104</v>
      </c>
      <c r="C59" s="69"/>
      <c r="D59" s="13">
        <v>23</v>
      </c>
    </row>
    <row r="60" spans="1:4" x14ac:dyDescent="0.2">
      <c r="A60" s="32" t="s">
        <v>12</v>
      </c>
      <c r="B60" s="69" t="s">
        <v>105</v>
      </c>
      <c r="C60" s="69"/>
      <c r="D60" s="13">
        <v>4.8</v>
      </c>
    </row>
    <row r="61" spans="1:4" x14ac:dyDescent="0.2">
      <c r="A61" s="70" t="s">
        <v>16</v>
      </c>
      <c r="B61" s="70"/>
      <c r="C61" s="70"/>
      <c r="D61" s="19">
        <f>SUM(D56:D60)</f>
        <v>810.60859999999991</v>
      </c>
    </row>
    <row r="64" spans="1:4" x14ac:dyDescent="0.2">
      <c r="A64" s="71" t="s">
        <v>43</v>
      </c>
      <c r="B64" s="71"/>
      <c r="C64" s="71"/>
      <c r="D64" s="71"/>
    </row>
    <row r="66" spans="1:5" x14ac:dyDescent="0.2">
      <c r="A66" s="30">
        <v>2</v>
      </c>
      <c r="B66" s="72" t="s">
        <v>44</v>
      </c>
      <c r="C66" s="72"/>
      <c r="D66" s="30" t="s">
        <v>3</v>
      </c>
    </row>
    <row r="67" spans="1:5" x14ac:dyDescent="0.2">
      <c r="A67" s="32" t="s">
        <v>19</v>
      </c>
      <c r="B67" s="69" t="s">
        <v>20</v>
      </c>
      <c r="C67" s="69"/>
      <c r="D67" s="14">
        <f>D36</f>
        <v>309.71000000000004</v>
      </c>
    </row>
    <row r="68" spans="1:5" x14ac:dyDescent="0.2">
      <c r="A68" s="32" t="s">
        <v>24</v>
      </c>
      <c r="B68" s="69" t="s">
        <v>25</v>
      </c>
      <c r="C68" s="69"/>
      <c r="D68" s="14">
        <f>D50</f>
        <v>700.2299999999999</v>
      </c>
    </row>
    <row r="69" spans="1:5" x14ac:dyDescent="0.2">
      <c r="A69" s="32" t="s">
        <v>39</v>
      </c>
      <c r="B69" s="69" t="s">
        <v>40</v>
      </c>
      <c r="C69" s="69"/>
      <c r="D69" s="14">
        <f>D61</f>
        <v>810.60859999999991</v>
      </c>
    </row>
    <row r="70" spans="1:5" x14ac:dyDescent="0.2">
      <c r="A70" s="70" t="s">
        <v>16</v>
      </c>
      <c r="B70" s="70"/>
      <c r="C70" s="70"/>
      <c r="D70" s="19">
        <f>SUM(D67:D69)</f>
        <v>1820.5485999999999</v>
      </c>
    </row>
    <row r="71" spans="1:5" x14ac:dyDescent="0.2">
      <c r="A71" s="4"/>
      <c r="E71" s="18"/>
    </row>
    <row r="73" spans="1:5" x14ac:dyDescent="0.2">
      <c r="A73" s="73" t="s">
        <v>45</v>
      </c>
      <c r="B73" s="73"/>
      <c r="C73" s="73"/>
      <c r="D73" s="73"/>
      <c r="E73" s="17"/>
    </row>
    <row r="74" spans="1:5" ht="12.75" customHeight="1" x14ac:dyDescent="0.2">
      <c r="E74" s="18"/>
    </row>
    <row r="75" spans="1:5" x14ac:dyDescent="0.2">
      <c r="A75" s="30">
        <v>3</v>
      </c>
      <c r="B75" s="72" t="s">
        <v>46</v>
      </c>
      <c r="C75" s="72"/>
      <c r="D75" s="30" t="s">
        <v>3</v>
      </c>
    </row>
    <row r="76" spans="1:5" x14ac:dyDescent="0.2">
      <c r="A76" s="32" t="s">
        <v>4</v>
      </c>
      <c r="B76" s="10" t="s">
        <v>47</v>
      </c>
      <c r="C76" s="9">
        <f>TRUNC(((1/12)*0%),4)</f>
        <v>0</v>
      </c>
      <c r="D76" s="13">
        <f>TRUNC($D$26*C76,2)</f>
        <v>0</v>
      </c>
    </row>
    <row r="77" spans="1:5" x14ac:dyDescent="0.2">
      <c r="A77" s="32" t="s">
        <v>6</v>
      </c>
      <c r="B77" s="10" t="s">
        <v>48</v>
      </c>
      <c r="C77" s="9">
        <v>0.08</v>
      </c>
      <c r="D77" s="13">
        <f>TRUNC(D76*C77,2)</f>
        <v>0</v>
      </c>
    </row>
    <row r="78" spans="1:5" x14ac:dyDescent="0.2">
      <c r="A78" s="32" t="s">
        <v>8</v>
      </c>
      <c r="B78" s="10" t="s">
        <v>98</v>
      </c>
      <c r="C78" s="9">
        <f>TRUNC(8%*0%*40%,4)</f>
        <v>0</v>
      </c>
      <c r="D78" s="13">
        <f>TRUNC($D$26*C78,2)</f>
        <v>0</v>
      </c>
    </row>
    <row r="79" spans="1:5" x14ac:dyDescent="0.2">
      <c r="A79" s="32" t="s">
        <v>10</v>
      </c>
      <c r="B79" s="10" t="s">
        <v>49</v>
      </c>
      <c r="C79" s="9">
        <f>TRUNC(((7/30)/12)*0%,4)</f>
        <v>0</v>
      </c>
      <c r="D79" s="13">
        <f>TRUNC($D$26*C79,2)</f>
        <v>0</v>
      </c>
    </row>
    <row r="80" spans="1:5" ht="25.5" x14ac:dyDescent="0.2">
      <c r="A80" s="32" t="s">
        <v>12</v>
      </c>
      <c r="B80" s="10" t="s">
        <v>93</v>
      </c>
      <c r="C80" s="9">
        <f>C50</f>
        <v>0.36800000000000005</v>
      </c>
      <c r="D80" s="13">
        <f>TRUNC(D79*C80,2)</f>
        <v>0</v>
      </c>
    </row>
    <row r="81" spans="1:4" x14ac:dyDescent="0.2">
      <c r="A81" s="32" t="s">
        <v>32</v>
      </c>
      <c r="B81" s="10" t="s">
        <v>99</v>
      </c>
      <c r="C81" s="9">
        <f>TRUNC(8%*0%*40%,4)</f>
        <v>0</v>
      </c>
      <c r="D81" s="13">
        <f t="shared" ref="D81" si="1">TRUNC($D$26*C81,2)</f>
        <v>0</v>
      </c>
    </row>
    <row r="82" spans="1:4" x14ac:dyDescent="0.2">
      <c r="A82" s="77" t="s">
        <v>16</v>
      </c>
      <c r="B82" s="78"/>
      <c r="C82" s="79"/>
      <c r="D82" s="19">
        <f>SUM(D76:D81)</f>
        <v>0</v>
      </c>
    </row>
    <row r="85" spans="1:4" x14ac:dyDescent="0.2">
      <c r="A85" s="73" t="s">
        <v>50</v>
      </c>
      <c r="B85" s="73"/>
      <c r="C85" s="73"/>
      <c r="D85" s="73"/>
    </row>
    <row r="88" spans="1:4" x14ac:dyDescent="0.2">
      <c r="A88" s="71" t="s">
        <v>77</v>
      </c>
      <c r="B88" s="71"/>
      <c r="C88" s="71"/>
      <c r="D88" s="71"/>
    </row>
    <row r="89" spans="1:4" x14ac:dyDescent="0.2">
      <c r="A89" s="3"/>
    </row>
    <row r="90" spans="1:4" x14ac:dyDescent="0.2">
      <c r="A90" s="30" t="s">
        <v>51</v>
      </c>
      <c r="B90" s="72" t="s">
        <v>78</v>
      </c>
      <c r="C90" s="72"/>
      <c r="D90" s="30" t="s">
        <v>3</v>
      </c>
    </row>
    <row r="91" spans="1:4" x14ac:dyDescent="0.2">
      <c r="A91" s="32" t="s">
        <v>4</v>
      </c>
      <c r="B91" s="29" t="s">
        <v>79</v>
      </c>
      <c r="C91" s="9">
        <f>TRUNC(((1+1/3)/12)/12,4)*0</f>
        <v>0</v>
      </c>
      <c r="D91" s="13">
        <f>TRUNC(($D$26+$D$70+$D$82)*C91,2)</f>
        <v>0</v>
      </c>
    </row>
    <row r="92" spans="1:4" x14ac:dyDescent="0.2">
      <c r="A92" s="32" t="s">
        <v>6</v>
      </c>
      <c r="B92" s="29" t="s">
        <v>80</v>
      </c>
      <c r="C92" s="9">
        <f>TRUNC(((2/30)/12),4)</f>
        <v>5.4999999999999997E-3</v>
      </c>
      <c r="D92" s="13">
        <f t="shared" ref="D92:D96" si="2">TRUNC(($D$26+$D$70+$D$82)*C92,2)</f>
        <v>18.77</v>
      </c>
    </row>
    <row r="93" spans="1:4" x14ac:dyDescent="0.2">
      <c r="A93" s="32" t="s">
        <v>8</v>
      </c>
      <c r="B93" s="29" t="s">
        <v>81</v>
      </c>
      <c r="C93" s="9">
        <f>TRUNC(((5/30)/12)*2%,4)*0</f>
        <v>0</v>
      </c>
      <c r="D93" s="13">
        <f t="shared" si="2"/>
        <v>0</v>
      </c>
    </row>
    <row r="94" spans="1:4" x14ac:dyDescent="0.2">
      <c r="A94" s="32" t="s">
        <v>10</v>
      </c>
      <c r="B94" s="29" t="s">
        <v>82</v>
      </c>
      <c r="C94" s="9">
        <f>TRUNC(((15/30)/12)*8%,4)*0</f>
        <v>0</v>
      </c>
      <c r="D94" s="13">
        <f t="shared" si="2"/>
        <v>0</v>
      </c>
    </row>
    <row r="95" spans="1:4" x14ac:dyDescent="0.2">
      <c r="A95" s="32" t="s">
        <v>12</v>
      </c>
      <c r="B95" s="29" t="s">
        <v>83</v>
      </c>
      <c r="C95" s="9">
        <f>((1+1/3)/12)*3%*(4/12)*0</f>
        <v>0</v>
      </c>
      <c r="D95" s="13">
        <f t="shared" si="2"/>
        <v>0</v>
      </c>
    </row>
    <row r="96" spans="1:4" x14ac:dyDescent="0.2">
      <c r="A96" s="32" t="s">
        <v>32</v>
      </c>
      <c r="B96" s="29" t="s">
        <v>84</v>
      </c>
      <c r="C96" s="9"/>
      <c r="D96" s="13">
        <f t="shared" si="2"/>
        <v>0</v>
      </c>
    </row>
    <row r="97" spans="1:6" x14ac:dyDescent="0.2">
      <c r="A97" s="70" t="s">
        <v>37</v>
      </c>
      <c r="B97" s="70"/>
      <c r="C97" s="70"/>
      <c r="D97" s="19">
        <f>SUM(D91:D96)</f>
        <v>18.77</v>
      </c>
      <c r="E97" s="17"/>
      <c r="F97" s="17"/>
    </row>
    <row r="100" spans="1:6" x14ac:dyDescent="0.2">
      <c r="A100" s="71" t="s">
        <v>85</v>
      </c>
      <c r="B100" s="71"/>
      <c r="C100" s="71"/>
      <c r="D100" s="71"/>
    </row>
    <row r="101" spans="1:6" x14ac:dyDescent="0.2">
      <c r="A101" s="3"/>
    </row>
    <row r="102" spans="1:6" x14ac:dyDescent="0.2">
      <c r="A102" s="30" t="s">
        <v>52</v>
      </c>
      <c r="B102" s="72" t="s">
        <v>86</v>
      </c>
      <c r="C102" s="72"/>
      <c r="D102" s="30" t="s">
        <v>3</v>
      </c>
    </row>
    <row r="103" spans="1:6" x14ac:dyDescent="0.2">
      <c r="A103" s="32" t="s">
        <v>4</v>
      </c>
      <c r="B103" s="80" t="s">
        <v>87</v>
      </c>
      <c r="C103" s="81"/>
      <c r="D103" s="13">
        <f>((D26+D70+D82)/220)*22*0</f>
        <v>0</v>
      </c>
    </row>
    <row r="104" spans="1:6" x14ac:dyDescent="0.2">
      <c r="A104" s="70" t="s">
        <v>16</v>
      </c>
      <c r="B104" s="70"/>
      <c r="C104" s="70"/>
      <c r="D104" s="19">
        <f>SUM(D103)</f>
        <v>0</v>
      </c>
    </row>
    <row r="107" spans="1:6" x14ac:dyDescent="0.2">
      <c r="A107" s="71" t="s">
        <v>53</v>
      </c>
      <c r="B107" s="71"/>
      <c r="C107" s="71"/>
      <c r="D107" s="71"/>
    </row>
    <row r="108" spans="1:6" x14ac:dyDescent="0.2">
      <c r="A108" s="3"/>
    </row>
    <row r="109" spans="1:6" x14ac:dyDescent="0.2">
      <c r="A109" s="30">
        <v>4</v>
      </c>
      <c r="B109" s="70" t="s">
        <v>54</v>
      </c>
      <c r="C109" s="70"/>
      <c r="D109" s="30" t="s">
        <v>3</v>
      </c>
    </row>
    <row r="110" spans="1:6" x14ac:dyDescent="0.2">
      <c r="A110" s="32" t="s">
        <v>51</v>
      </c>
      <c r="B110" s="69" t="s">
        <v>78</v>
      </c>
      <c r="C110" s="69"/>
      <c r="D110" s="14">
        <f>D97</f>
        <v>18.77</v>
      </c>
    </row>
    <row r="111" spans="1:6" x14ac:dyDescent="0.2">
      <c r="A111" s="32" t="s">
        <v>52</v>
      </c>
      <c r="B111" s="69" t="s">
        <v>86</v>
      </c>
      <c r="C111" s="69"/>
      <c r="D111" s="14">
        <f>D104</f>
        <v>0</v>
      </c>
    </row>
    <row r="112" spans="1:6" x14ac:dyDescent="0.2">
      <c r="A112" s="70" t="s">
        <v>16</v>
      </c>
      <c r="B112" s="70"/>
      <c r="C112" s="70"/>
      <c r="D112" s="19">
        <f>SUM(D110:D111)</f>
        <v>18.77</v>
      </c>
    </row>
    <row r="115" spans="1:4" x14ac:dyDescent="0.2">
      <c r="A115" s="73" t="s">
        <v>55</v>
      </c>
      <c r="B115" s="73"/>
      <c r="C115" s="73"/>
      <c r="D115" s="73"/>
    </row>
    <row r="117" spans="1:4" x14ac:dyDescent="0.2">
      <c r="A117" s="30">
        <v>5</v>
      </c>
      <c r="B117" s="82" t="s">
        <v>56</v>
      </c>
      <c r="C117" s="82"/>
      <c r="D117" s="30" t="s">
        <v>3</v>
      </c>
    </row>
    <row r="118" spans="1:4" x14ac:dyDescent="0.2">
      <c r="A118" s="32" t="s">
        <v>4</v>
      </c>
      <c r="B118" s="29" t="s">
        <v>57</v>
      </c>
      <c r="C118" s="29"/>
      <c r="D118" s="13">
        <v>188.76</v>
      </c>
    </row>
    <row r="119" spans="1:4" x14ac:dyDescent="0.2">
      <c r="A119" s="32" t="s">
        <v>6</v>
      </c>
      <c r="B119" s="29" t="s">
        <v>58</v>
      </c>
      <c r="C119" s="29"/>
      <c r="D119" s="13"/>
    </row>
    <row r="120" spans="1:4" x14ac:dyDescent="0.2">
      <c r="A120" s="32" t="s">
        <v>8</v>
      </c>
      <c r="B120" s="29" t="s">
        <v>59</v>
      </c>
      <c r="C120" s="29"/>
      <c r="D120" s="13"/>
    </row>
    <row r="121" spans="1:4" x14ac:dyDescent="0.2">
      <c r="A121" s="32" t="s">
        <v>10</v>
      </c>
      <c r="B121" s="29" t="s">
        <v>15</v>
      </c>
      <c r="C121" s="29"/>
      <c r="D121" s="13"/>
    </row>
    <row r="122" spans="1:4" x14ac:dyDescent="0.2">
      <c r="A122" s="70" t="s">
        <v>37</v>
      </c>
      <c r="B122" s="70"/>
      <c r="C122" s="70"/>
      <c r="D122" s="20">
        <f>SUM(D118:D121)</f>
        <v>188.76</v>
      </c>
    </row>
    <row r="125" spans="1:4" x14ac:dyDescent="0.2">
      <c r="A125" s="73" t="s">
        <v>60</v>
      </c>
      <c r="B125" s="73"/>
      <c r="C125" s="73"/>
      <c r="D125" s="73"/>
    </row>
    <row r="127" spans="1:4" x14ac:dyDescent="0.2">
      <c r="A127" s="30">
        <v>6</v>
      </c>
      <c r="B127" s="31" t="s">
        <v>61</v>
      </c>
      <c r="C127" s="30" t="s">
        <v>26</v>
      </c>
      <c r="D127" s="30" t="s">
        <v>3</v>
      </c>
    </row>
    <row r="128" spans="1:4" x14ac:dyDescent="0.2">
      <c r="A128" s="32" t="s">
        <v>4</v>
      </c>
      <c r="B128" s="29" t="s">
        <v>62</v>
      </c>
      <c r="C128" s="9">
        <v>0.02</v>
      </c>
      <c r="D128" s="14">
        <f>D148*C128</f>
        <v>72.425371999999996</v>
      </c>
    </row>
    <row r="129" spans="1:4" x14ac:dyDescent="0.2">
      <c r="A129" s="32" t="s">
        <v>6</v>
      </c>
      <c r="B129" s="29" t="s">
        <v>63</v>
      </c>
      <c r="C129" s="9">
        <v>0.03</v>
      </c>
      <c r="D129" s="13">
        <f>(D148+D128)*C129</f>
        <v>110.81081915999998</v>
      </c>
    </row>
    <row r="130" spans="1:4" x14ac:dyDescent="0.2">
      <c r="A130" s="32" t="s">
        <v>8</v>
      </c>
      <c r="B130" s="29" t="s">
        <v>64</v>
      </c>
      <c r="C130" s="12">
        <f>SUM(C131:C136)</f>
        <v>8.6499999999999994E-2</v>
      </c>
      <c r="D130" s="13">
        <f>(D148+D128+D129)*C130/(1-C130)</f>
        <v>360.25141153293919</v>
      </c>
    </row>
    <row r="131" spans="1:4" x14ac:dyDescent="0.2">
      <c r="A131" s="32"/>
      <c r="B131" s="29" t="s">
        <v>65</v>
      </c>
      <c r="C131" s="9"/>
      <c r="D131" s="14">
        <f>$D$150*C131</f>
        <v>0</v>
      </c>
    </row>
    <row r="132" spans="1:4" x14ac:dyDescent="0.2">
      <c r="A132" s="32"/>
      <c r="B132" s="29" t="s">
        <v>95</v>
      </c>
      <c r="C132" s="9">
        <v>6.4999999999999997E-3</v>
      </c>
      <c r="D132" s="14">
        <f t="shared" ref="D132:D136" si="3">$D$150*C132</f>
        <v>27.07094</v>
      </c>
    </row>
    <row r="133" spans="1:4" x14ac:dyDescent="0.2">
      <c r="A133" s="32"/>
      <c r="B133" s="29" t="s">
        <v>96</v>
      </c>
      <c r="C133" s="9">
        <v>0.03</v>
      </c>
      <c r="D133" s="14">
        <f t="shared" si="3"/>
        <v>124.94280000000001</v>
      </c>
    </row>
    <row r="134" spans="1:4" x14ac:dyDescent="0.2">
      <c r="A134" s="32"/>
      <c r="B134" s="29" t="s">
        <v>66</v>
      </c>
      <c r="C134" s="32"/>
      <c r="D134" s="14">
        <f t="shared" si="3"/>
        <v>0</v>
      </c>
    </row>
    <row r="135" spans="1:4" x14ac:dyDescent="0.2">
      <c r="A135" s="32"/>
      <c r="B135" s="29" t="s">
        <v>67</v>
      </c>
      <c r="C135" s="9"/>
      <c r="D135" s="14">
        <f t="shared" si="3"/>
        <v>0</v>
      </c>
    </row>
    <row r="136" spans="1:4" x14ac:dyDescent="0.2">
      <c r="A136" s="32"/>
      <c r="B136" s="29" t="s">
        <v>97</v>
      </c>
      <c r="C136" s="9">
        <v>0.05</v>
      </c>
      <c r="D136" s="14">
        <f t="shared" si="3"/>
        <v>208.23800000000003</v>
      </c>
    </row>
    <row r="137" spans="1:4" ht="13.5" x14ac:dyDescent="0.2">
      <c r="A137" s="77" t="s">
        <v>37</v>
      </c>
      <c r="B137" s="78"/>
      <c r="C137" s="21">
        <f>(1+C129)*(1+C128)/(1-C130)-1</f>
        <v>0.15008210180623971</v>
      </c>
      <c r="D137" s="19">
        <f>SUM(D128:D130)</f>
        <v>543.48760269293916</v>
      </c>
    </row>
    <row r="140" spans="1:4" x14ac:dyDescent="0.2">
      <c r="A140" s="73" t="s">
        <v>68</v>
      </c>
      <c r="B140" s="73"/>
      <c r="C140" s="73"/>
      <c r="D140" s="73"/>
    </row>
    <row r="142" spans="1:4" x14ac:dyDescent="0.2">
      <c r="A142" s="30"/>
      <c r="B142" s="70" t="s">
        <v>69</v>
      </c>
      <c r="C142" s="70"/>
      <c r="D142" s="30" t="s">
        <v>3</v>
      </c>
    </row>
    <row r="143" spans="1:4" x14ac:dyDescent="0.2">
      <c r="A143" s="30" t="s">
        <v>4</v>
      </c>
      <c r="B143" s="69" t="s">
        <v>1</v>
      </c>
      <c r="C143" s="69"/>
      <c r="D143" s="22">
        <f>D26</f>
        <v>1593.19</v>
      </c>
    </row>
    <row r="144" spans="1:4" x14ac:dyDescent="0.2">
      <c r="A144" s="30" t="s">
        <v>6</v>
      </c>
      <c r="B144" s="69" t="s">
        <v>17</v>
      </c>
      <c r="C144" s="69"/>
      <c r="D144" s="22">
        <f>D70</f>
        <v>1820.5485999999999</v>
      </c>
    </row>
    <row r="145" spans="1:4" x14ac:dyDescent="0.2">
      <c r="A145" s="30" t="s">
        <v>8</v>
      </c>
      <c r="B145" s="69" t="s">
        <v>45</v>
      </c>
      <c r="C145" s="69"/>
      <c r="D145" s="22">
        <f>D82</f>
        <v>0</v>
      </c>
    </row>
    <row r="146" spans="1:4" x14ac:dyDescent="0.2">
      <c r="A146" s="30" t="s">
        <v>10</v>
      </c>
      <c r="B146" s="69" t="s">
        <v>50</v>
      </c>
      <c r="C146" s="69"/>
      <c r="D146" s="22">
        <f>D112</f>
        <v>18.77</v>
      </c>
    </row>
    <row r="147" spans="1:4" x14ac:dyDescent="0.2">
      <c r="A147" s="30" t="s">
        <v>12</v>
      </c>
      <c r="B147" s="69" t="s">
        <v>55</v>
      </c>
      <c r="C147" s="69"/>
      <c r="D147" s="22">
        <f>D122</f>
        <v>188.76</v>
      </c>
    </row>
    <row r="148" spans="1:4" x14ac:dyDescent="0.2">
      <c r="A148" s="70" t="s">
        <v>94</v>
      </c>
      <c r="B148" s="70"/>
      <c r="C148" s="70"/>
      <c r="D148" s="23">
        <f>SUM(D143:D147)</f>
        <v>3621.2685999999994</v>
      </c>
    </row>
    <row r="149" spans="1:4" x14ac:dyDescent="0.2">
      <c r="A149" s="30" t="s">
        <v>32</v>
      </c>
      <c r="B149" s="69" t="s">
        <v>70</v>
      </c>
      <c r="C149" s="69"/>
      <c r="D149" s="24">
        <f>D137</f>
        <v>543.48760269293916</v>
      </c>
    </row>
    <row r="150" spans="1:4" x14ac:dyDescent="0.2">
      <c r="A150" s="70" t="s">
        <v>71</v>
      </c>
      <c r="B150" s="70"/>
      <c r="C150" s="70"/>
      <c r="D150" s="23">
        <f>ROUND(SUM(D148:D149),2)</f>
        <v>4164.76</v>
      </c>
    </row>
  </sheetData>
  <mergeCells count="71">
    <mergeCell ref="C10:D10"/>
    <mergeCell ref="A1:D1"/>
    <mergeCell ref="A3:D3"/>
    <mergeCell ref="A5:B5"/>
    <mergeCell ref="A6:B6"/>
    <mergeCell ref="A8:D8"/>
    <mergeCell ref="B24:C24"/>
    <mergeCell ref="C11:D11"/>
    <mergeCell ref="C12:D12"/>
    <mergeCell ref="C13:D13"/>
    <mergeCell ref="C14:D14"/>
    <mergeCell ref="A16:D16"/>
    <mergeCell ref="B18:C18"/>
    <mergeCell ref="B19:C19"/>
    <mergeCell ref="B20:C20"/>
    <mergeCell ref="B21:C21"/>
    <mergeCell ref="B22:C22"/>
    <mergeCell ref="B23:C23"/>
    <mergeCell ref="B57:C57"/>
    <mergeCell ref="B25:C25"/>
    <mergeCell ref="A26:C26"/>
    <mergeCell ref="A29:D29"/>
    <mergeCell ref="A31:D31"/>
    <mergeCell ref="B33:C33"/>
    <mergeCell ref="A36:B36"/>
    <mergeCell ref="A39:D39"/>
    <mergeCell ref="A50:B50"/>
    <mergeCell ref="A53:D53"/>
    <mergeCell ref="B55:C55"/>
    <mergeCell ref="B56:C56"/>
    <mergeCell ref="B75:C75"/>
    <mergeCell ref="B58:C58"/>
    <mergeCell ref="B59:C59"/>
    <mergeCell ref="B60:C60"/>
    <mergeCell ref="A61:C61"/>
    <mergeCell ref="A64:D64"/>
    <mergeCell ref="B66:C66"/>
    <mergeCell ref="B67:C67"/>
    <mergeCell ref="B68:C68"/>
    <mergeCell ref="B69:C69"/>
    <mergeCell ref="A70:C70"/>
    <mergeCell ref="A73:D73"/>
    <mergeCell ref="B110:C110"/>
    <mergeCell ref="A82:C82"/>
    <mergeCell ref="A85:D85"/>
    <mergeCell ref="A88:D88"/>
    <mergeCell ref="B90:C90"/>
    <mergeCell ref="A97:C97"/>
    <mergeCell ref="A100:D100"/>
    <mergeCell ref="B102:C102"/>
    <mergeCell ref="B103:C103"/>
    <mergeCell ref="A104:C104"/>
    <mergeCell ref="A107:D107"/>
    <mergeCell ref="B109:C109"/>
    <mergeCell ref="B145:C145"/>
    <mergeCell ref="B111:C111"/>
    <mergeCell ref="A112:C112"/>
    <mergeCell ref="A115:D115"/>
    <mergeCell ref="B117:C117"/>
    <mergeCell ref="A122:C122"/>
    <mergeCell ref="A125:D125"/>
    <mergeCell ref="A137:B137"/>
    <mergeCell ref="A140:D140"/>
    <mergeCell ref="B142:C142"/>
    <mergeCell ref="B143:C143"/>
    <mergeCell ref="B144:C144"/>
    <mergeCell ref="B146:C146"/>
    <mergeCell ref="B147:C147"/>
    <mergeCell ref="A148:C148"/>
    <mergeCell ref="B149:C149"/>
    <mergeCell ref="A150:C150"/>
  </mergeCells>
  <pageMargins left="0.51181102362204722" right="0.51181102362204722" top="0.98425196850393704" bottom="0.78740157480314965" header="0.31496062992125984" footer="0.31496062992125984"/>
  <pageSetup paperSize="9" scale="84" fitToHeight="0" orientation="portrait" r:id="rId1"/>
  <headerFooter>
    <oddHeader>&amp;C&amp;G</oddHeader>
    <oddFooter>&amp;L&amp;"-,Negrito"Documento elaborado em &amp;D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0"/>
  <sheetViews>
    <sheetView view="pageBreakPreview" topLeftCell="A17" zoomScaleNormal="115" zoomScaleSheetLayoutView="100" workbookViewId="0">
      <selection activeCell="C130" sqref="C130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74" t="s">
        <v>0</v>
      </c>
      <c r="B1" s="74"/>
      <c r="C1" s="74"/>
      <c r="D1" s="74"/>
    </row>
    <row r="2" spans="1:4" ht="15.75" x14ac:dyDescent="0.25">
      <c r="A2" s="26"/>
      <c r="B2" s="26"/>
      <c r="C2" s="26"/>
      <c r="D2" s="26"/>
    </row>
    <row r="3" spans="1:4" x14ac:dyDescent="0.2">
      <c r="A3" s="76" t="s">
        <v>88</v>
      </c>
      <c r="B3" s="76"/>
      <c r="C3" s="76"/>
      <c r="D3" s="76"/>
    </row>
    <row r="4" spans="1:4" x14ac:dyDescent="0.2">
      <c r="A4" s="2"/>
      <c r="B4" s="2"/>
      <c r="C4" s="2"/>
      <c r="D4" s="2"/>
    </row>
    <row r="5" spans="1:4" ht="38.25" x14ac:dyDescent="0.2">
      <c r="A5" s="83" t="s">
        <v>89</v>
      </c>
      <c r="B5" s="83"/>
      <c r="C5" s="32" t="s">
        <v>90</v>
      </c>
      <c r="D5" s="27" t="s">
        <v>91</v>
      </c>
    </row>
    <row r="6" spans="1:4" x14ac:dyDescent="0.2">
      <c r="A6" s="84" t="s">
        <v>123</v>
      </c>
      <c r="B6" s="84"/>
      <c r="C6" s="33" t="s">
        <v>101</v>
      </c>
      <c r="D6" s="33">
        <v>2</v>
      </c>
    </row>
    <row r="8" spans="1:4" x14ac:dyDescent="0.2">
      <c r="A8" s="76" t="s">
        <v>72</v>
      </c>
      <c r="B8" s="76"/>
      <c r="C8" s="76"/>
      <c r="D8" s="76"/>
    </row>
    <row r="9" spans="1:4" x14ac:dyDescent="0.2">
      <c r="A9" s="2"/>
      <c r="B9" s="2"/>
      <c r="C9" s="2"/>
      <c r="D9" s="2"/>
    </row>
    <row r="10" spans="1:4" x14ac:dyDescent="0.2">
      <c r="A10" s="5">
        <v>1</v>
      </c>
      <c r="B10" s="5" t="s">
        <v>73</v>
      </c>
      <c r="C10" s="85" t="s">
        <v>116</v>
      </c>
      <c r="D10" s="86"/>
    </row>
    <row r="11" spans="1:4" x14ac:dyDescent="0.2">
      <c r="A11" s="5">
        <v>2</v>
      </c>
      <c r="B11" s="5" t="s">
        <v>92</v>
      </c>
      <c r="C11" s="85" t="s">
        <v>117</v>
      </c>
      <c r="D11" s="86"/>
    </row>
    <row r="12" spans="1:4" x14ac:dyDescent="0.2">
      <c r="A12" s="5">
        <v>3</v>
      </c>
      <c r="B12" s="5" t="s">
        <v>74</v>
      </c>
      <c r="C12" s="87">
        <v>1544.58</v>
      </c>
      <c r="D12" s="86"/>
    </row>
    <row r="13" spans="1:4" x14ac:dyDescent="0.2">
      <c r="A13" s="5">
        <v>4</v>
      </c>
      <c r="B13" s="5" t="s">
        <v>75</v>
      </c>
      <c r="C13" s="85"/>
      <c r="D13" s="86"/>
    </row>
    <row r="14" spans="1:4" x14ac:dyDescent="0.2">
      <c r="A14" s="5">
        <v>5</v>
      </c>
      <c r="B14" s="5" t="s">
        <v>76</v>
      </c>
      <c r="C14" s="85"/>
      <c r="D14" s="86"/>
    </row>
    <row r="16" spans="1:4" x14ac:dyDescent="0.2">
      <c r="A16" s="76" t="s">
        <v>1</v>
      </c>
      <c r="B16" s="76"/>
      <c r="C16" s="76"/>
      <c r="D16" s="76"/>
    </row>
    <row r="18" spans="1:4" x14ac:dyDescent="0.2">
      <c r="A18" s="30">
        <v>1</v>
      </c>
      <c r="B18" s="70" t="s">
        <v>2</v>
      </c>
      <c r="C18" s="70"/>
      <c r="D18" s="30" t="s">
        <v>3</v>
      </c>
    </row>
    <row r="19" spans="1:4" x14ac:dyDescent="0.2">
      <c r="A19" s="32" t="s">
        <v>4</v>
      </c>
      <c r="B19" s="69" t="s">
        <v>5</v>
      </c>
      <c r="C19" s="69"/>
      <c r="D19" s="13">
        <v>1544.58</v>
      </c>
    </row>
    <row r="20" spans="1:4" x14ac:dyDescent="0.2">
      <c r="A20" s="32" t="s">
        <v>6</v>
      </c>
      <c r="B20" s="69" t="s">
        <v>7</v>
      </c>
      <c r="C20" s="69"/>
      <c r="D20" s="13"/>
    </row>
    <row r="21" spans="1:4" x14ac:dyDescent="0.2">
      <c r="A21" s="32" t="s">
        <v>8</v>
      </c>
      <c r="B21" s="69" t="s">
        <v>9</v>
      </c>
      <c r="C21" s="69"/>
      <c r="D21" s="13"/>
    </row>
    <row r="22" spans="1:4" x14ac:dyDescent="0.2">
      <c r="A22" s="32" t="s">
        <v>10</v>
      </c>
      <c r="B22" s="69" t="s">
        <v>11</v>
      </c>
      <c r="C22" s="69"/>
      <c r="D22" s="13"/>
    </row>
    <row r="23" spans="1:4" x14ac:dyDescent="0.2">
      <c r="A23" s="32" t="s">
        <v>12</v>
      </c>
      <c r="B23" s="69" t="s">
        <v>13</v>
      </c>
      <c r="C23" s="69"/>
      <c r="D23" s="13"/>
    </row>
    <row r="24" spans="1:4" x14ac:dyDescent="0.2">
      <c r="A24" s="32"/>
      <c r="B24" s="69"/>
      <c r="C24" s="69"/>
      <c r="D24" s="13"/>
    </row>
    <row r="25" spans="1:4" x14ac:dyDescent="0.2">
      <c r="A25" s="32" t="s">
        <v>14</v>
      </c>
      <c r="B25" s="69" t="s">
        <v>15</v>
      </c>
      <c r="C25" s="69"/>
      <c r="D25" s="13"/>
    </row>
    <row r="26" spans="1:4" x14ac:dyDescent="0.2">
      <c r="A26" s="70" t="s">
        <v>16</v>
      </c>
      <c r="B26" s="70"/>
      <c r="C26" s="70"/>
      <c r="D26" s="20">
        <f>SUM(D19:D25)</f>
        <v>1544.58</v>
      </c>
    </row>
    <row r="29" spans="1:4" x14ac:dyDescent="0.2">
      <c r="A29" s="73" t="s">
        <v>17</v>
      </c>
      <c r="B29" s="73"/>
      <c r="C29" s="73"/>
      <c r="D29" s="73"/>
    </row>
    <row r="30" spans="1:4" x14ac:dyDescent="0.2">
      <c r="A30" s="3"/>
    </row>
    <row r="31" spans="1:4" x14ac:dyDescent="0.2">
      <c r="A31" s="71" t="s">
        <v>18</v>
      </c>
      <c r="B31" s="71"/>
      <c r="C31" s="71"/>
      <c r="D31" s="71"/>
    </row>
    <row r="33" spans="1:4" x14ac:dyDescent="0.2">
      <c r="A33" s="30" t="s">
        <v>19</v>
      </c>
      <c r="B33" s="70" t="s">
        <v>20</v>
      </c>
      <c r="C33" s="70"/>
      <c r="D33" s="30" t="s">
        <v>3</v>
      </c>
    </row>
    <row r="34" spans="1:4" x14ac:dyDescent="0.2">
      <c r="A34" s="32" t="s">
        <v>4</v>
      </c>
      <c r="B34" s="29" t="s">
        <v>21</v>
      </c>
      <c r="C34" s="12">
        <f>TRUNC(1/12,4)</f>
        <v>8.3299999999999999E-2</v>
      </c>
      <c r="D34" s="13">
        <f>TRUNC($D$26*C34,2)</f>
        <v>128.66</v>
      </c>
    </row>
    <row r="35" spans="1:4" x14ac:dyDescent="0.2">
      <c r="A35" s="32" t="s">
        <v>6</v>
      </c>
      <c r="B35" s="29" t="s">
        <v>22</v>
      </c>
      <c r="C35" s="12">
        <f>TRUNC(((1+1/3)/12),4)</f>
        <v>0.1111</v>
      </c>
      <c r="D35" s="13">
        <f>TRUNC($D$26*C35,2)</f>
        <v>171.6</v>
      </c>
    </row>
    <row r="36" spans="1:4" x14ac:dyDescent="0.2">
      <c r="A36" s="70" t="s">
        <v>16</v>
      </c>
      <c r="B36" s="70"/>
      <c r="C36" s="28">
        <f>SUM(C34:C35)</f>
        <v>0.19440000000000002</v>
      </c>
      <c r="D36" s="19">
        <f>SUM(D34:D35)</f>
        <v>300.26</v>
      </c>
    </row>
    <row r="39" spans="1:4" x14ac:dyDescent="0.2">
      <c r="A39" s="75" t="s">
        <v>23</v>
      </c>
      <c r="B39" s="75"/>
      <c r="C39" s="75"/>
      <c r="D39" s="75"/>
    </row>
    <row r="41" spans="1:4" x14ac:dyDescent="0.2">
      <c r="A41" s="30" t="s">
        <v>24</v>
      </c>
      <c r="B41" s="30" t="s">
        <v>25</v>
      </c>
      <c r="C41" s="30" t="s">
        <v>26</v>
      </c>
      <c r="D41" s="30" t="s">
        <v>3</v>
      </c>
    </row>
    <row r="42" spans="1:4" x14ac:dyDescent="0.2">
      <c r="A42" s="32" t="s">
        <v>4</v>
      </c>
      <c r="B42" s="29" t="s">
        <v>27</v>
      </c>
      <c r="C42" s="9">
        <v>0.2</v>
      </c>
      <c r="D42" s="13">
        <f>TRUNC(($D$26+$D$36)*C42,2)</f>
        <v>368.96</v>
      </c>
    </row>
    <row r="43" spans="1:4" x14ac:dyDescent="0.2">
      <c r="A43" s="32" t="s">
        <v>6</v>
      </c>
      <c r="B43" s="29" t="s">
        <v>28</v>
      </c>
      <c r="C43" s="9">
        <v>2.5000000000000001E-2</v>
      </c>
      <c r="D43" s="13">
        <f t="shared" ref="D43:D49" si="0">TRUNC(($D$26+$D$36)*C43,2)</f>
        <v>46.12</v>
      </c>
    </row>
    <row r="44" spans="1:4" x14ac:dyDescent="0.2">
      <c r="A44" s="32" t="s">
        <v>8</v>
      </c>
      <c r="B44" s="29" t="s">
        <v>29</v>
      </c>
      <c r="C44" s="16">
        <v>0.03</v>
      </c>
      <c r="D44" s="13">
        <f t="shared" si="0"/>
        <v>55.34</v>
      </c>
    </row>
    <row r="45" spans="1:4" x14ac:dyDescent="0.2">
      <c r="A45" s="32" t="s">
        <v>10</v>
      </c>
      <c r="B45" s="29" t="s">
        <v>30</v>
      </c>
      <c r="C45" s="9">
        <v>1.4999999999999999E-2</v>
      </c>
      <c r="D45" s="13">
        <f t="shared" si="0"/>
        <v>27.67</v>
      </c>
    </row>
    <row r="46" spans="1:4" x14ac:dyDescent="0.2">
      <c r="A46" s="32" t="s">
        <v>12</v>
      </c>
      <c r="B46" s="29" t="s">
        <v>31</v>
      </c>
      <c r="C46" s="9">
        <v>0.01</v>
      </c>
      <c r="D46" s="13">
        <f t="shared" si="0"/>
        <v>18.440000000000001</v>
      </c>
    </row>
    <row r="47" spans="1:4" x14ac:dyDescent="0.2">
      <c r="A47" s="32" t="s">
        <v>32</v>
      </c>
      <c r="B47" s="29" t="s">
        <v>33</v>
      </c>
      <c r="C47" s="9">
        <v>6.0000000000000001E-3</v>
      </c>
      <c r="D47" s="13">
        <f t="shared" si="0"/>
        <v>11.06</v>
      </c>
    </row>
    <row r="48" spans="1:4" x14ac:dyDescent="0.2">
      <c r="A48" s="32" t="s">
        <v>14</v>
      </c>
      <c r="B48" s="29" t="s">
        <v>34</v>
      </c>
      <c r="C48" s="9">
        <v>2E-3</v>
      </c>
      <c r="D48" s="13">
        <f t="shared" si="0"/>
        <v>3.68</v>
      </c>
    </row>
    <row r="49" spans="1:4" x14ac:dyDescent="0.2">
      <c r="A49" s="32" t="s">
        <v>35</v>
      </c>
      <c r="B49" s="29" t="s">
        <v>36</v>
      </c>
      <c r="C49" s="9">
        <v>0.08</v>
      </c>
      <c r="D49" s="13">
        <f t="shared" si="0"/>
        <v>147.58000000000001</v>
      </c>
    </row>
    <row r="50" spans="1:4" x14ac:dyDescent="0.2">
      <c r="A50" s="70" t="s">
        <v>37</v>
      </c>
      <c r="B50" s="70"/>
      <c r="C50" s="15">
        <f>SUM(C42:C49)</f>
        <v>0.36800000000000005</v>
      </c>
      <c r="D50" s="19">
        <f>SUM(D42:D49)</f>
        <v>678.84999999999991</v>
      </c>
    </row>
    <row r="53" spans="1:4" x14ac:dyDescent="0.2">
      <c r="A53" s="71" t="s">
        <v>38</v>
      </c>
      <c r="B53" s="71"/>
      <c r="C53" s="71"/>
      <c r="D53" s="71"/>
    </row>
    <row r="55" spans="1:4" x14ac:dyDescent="0.2">
      <c r="A55" s="30" t="s">
        <v>39</v>
      </c>
      <c r="B55" s="72" t="s">
        <v>40</v>
      </c>
      <c r="C55" s="72"/>
      <c r="D55" s="30" t="s">
        <v>3</v>
      </c>
    </row>
    <row r="56" spans="1:4" x14ac:dyDescent="0.2">
      <c r="A56" s="32" t="s">
        <v>4</v>
      </c>
      <c r="B56" s="69" t="s">
        <v>41</v>
      </c>
      <c r="C56" s="69"/>
      <c r="D56" s="13">
        <f>IF((22*2*5.6)-(D19*0.06)&gt;0,(22*2*5.6)-(D19*0.06),0)</f>
        <v>153.72519999999997</v>
      </c>
    </row>
    <row r="57" spans="1:4" x14ac:dyDescent="0.2">
      <c r="A57" s="32" t="s">
        <v>6</v>
      </c>
      <c r="B57" s="69" t="s">
        <v>42</v>
      </c>
      <c r="C57" s="69"/>
      <c r="D57" s="13">
        <f>20*0.8*22</f>
        <v>352</v>
      </c>
    </row>
    <row r="58" spans="1:4" x14ac:dyDescent="0.2">
      <c r="A58" s="32" t="s">
        <v>8</v>
      </c>
      <c r="B58" s="69" t="s">
        <v>103</v>
      </c>
      <c r="C58" s="69"/>
      <c r="D58" s="13">
        <v>280</v>
      </c>
    </row>
    <row r="59" spans="1:4" x14ac:dyDescent="0.2">
      <c r="A59" s="32" t="s">
        <v>10</v>
      </c>
      <c r="B59" s="69" t="s">
        <v>104</v>
      </c>
      <c r="C59" s="69"/>
      <c r="D59" s="13">
        <v>23</v>
      </c>
    </row>
    <row r="60" spans="1:4" x14ac:dyDescent="0.2">
      <c r="A60" s="32" t="s">
        <v>12</v>
      </c>
      <c r="B60" s="69" t="s">
        <v>105</v>
      </c>
      <c r="C60" s="69"/>
      <c r="D60" s="13">
        <v>4.8</v>
      </c>
    </row>
    <row r="61" spans="1:4" x14ac:dyDescent="0.2">
      <c r="A61" s="70" t="s">
        <v>16</v>
      </c>
      <c r="B61" s="70"/>
      <c r="C61" s="70"/>
      <c r="D61" s="19">
        <f>SUM(D56:D60)</f>
        <v>813.52519999999993</v>
      </c>
    </row>
    <row r="64" spans="1:4" x14ac:dyDescent="0.2">
      <c r="A64" s="71" t="s">
        <v>43</v>
      </c>
      <c r="B64" s="71"/>
      <c r="C64" s="71"/>
      <c r="D64" s="71"/>
    </row>
    <row r="66" spans="1:5" x14ac:dyDescent="0.2">
      <c r="A66" s="30">
        <v>2</v>
      </c>
      <c r="B66" s="72" t="s">
        <v>44</v>
      </c>
      <c r="C66" s="72"/>
      <c r="D66" s="30" t="s">
        <v>3</v>
      </c>
    </row>
    <row r="67" spans="1:5" x14ac:dyDescent="0.2">
      <c r="A67" s="32" t="s">
        <v>19</v>
      </c>
      <c r="B67" s="69" t="s">
        <v>20</v>
      </c>
      <c r="C67" s="69"/>
      <c r="D67" s="14">
        <f>D36</f>
        <v>300.26</v>
      </c>
    </row>
    <row r="68" spans="1:5" x14ac:dyDescent="0.2">
      <c r="A68" s="32" t="s">
        <v>24</v>
      </c>
      <c r="B68" s="69" t="s">
        <v>25</v>
      </c>
      <c r="C68" s="69"/>
      <c r="D68" s="14">
        <f>D50</f>
        <v>678.84999999999991</v>
      </c>
    </row>
    <row r="69" spans="1:5" x14ac:dyDescent="0.2">
      <c r="A69" s="32" t="s">
        <v>39</v>
      </c>
      <c r="B69" s="69" t="s">
        <v>40</v>
      </c>
      <c r="C69" s="69"/>
      <c r="D69" s="14">
        <f>D61</f>
        <v>813.52519999999993</v>
      </c>
    </row>
    <row r="70" spans="1:5" x14ac:dyDescent="0.2">
      <c r="A70" s="70" t="s">
        <v>16</v>
      </c>
      <c r="B70" s="70"/>
      <c r="C70" s="70"/>
      <c r="D70" s="19">
        <f>SUM(D67:D69)</f>
        <v>1792.6351999999997</v>
      </c>
    </row>
    <row r="71" spans="1:5" x14ac:dyDescent="0.2">
      <c r="A71" s="4"/>
      <c r="E71" s="18"/>
    </row>
    <row r="73" spans="1:5" x14ac:dyDescent="0.2">
      <c r="A73" s="73" t="s">
        <v>45</v>
      </c>
      <c r="B73" s="73"/>
      <c r="C73" s="73"/>
      <c r="D73" s="73"/>
      <c r="E73" s="17"/>
    </row>
    <row r="74" spans="1:5" ht="12.75" customHeight="1" x14ac:dyDescent="0.2">
      <c r="E74" s="18"/>
    </row>
    <row r="75" spans="1:5" x14ac:dyDescent="0.2">
      <c r="A75" s="30">
        <v>3</v>
      </c>
      <c r="B75" s="72" t="s">
        <v>46</v>
      </c>
      <c r="C75" s="72"/>
      <c r="D75" s="30" t="s">
        <v>3</v>
      </c>
    </row>
    <row r="76" spans="1:5" x14ac:dyDescent="0.2">
      <c r="A76" s="32" t="s">
        <v>4</v>
      </c>
      <c r="B76" s="10" t="s">
        <v>47</v>
      </c>
      <c r="C76" s="9">
        <f>TRUNC(((1/12)*0%),4)</f>
        <v>0</v>
      </c>
      <c r="D76" s="13">
        <f>TRUNC($D$26*C76,2)</f>
        <v>0</v>
      </c>
    </row>
    <row r="77" spans="1:5" x14ac:dyDescent="0.2">
      <c r="A77" s="32" t="s">
        <v>6</v>
      </c>
      <c r="B77" s="10" t="s">
        <v>48</v>
      </c>
      <c r="C77" s="9">
        <v>0.08</v>
      </c>
      <c r="D77" s="13">
        <f>TRUNC(D76*C77,2)</f>
        <v>0</v>
      </c>
    </row>
    <row r="78" spans="1:5" x14ac:dyDescent="0.2">
      <c r="A78" s="32" t="s">
        <v>8</v>
      </c>
      <c r="B78" s="10" t="s">
        <v>98</v>
      </c>
      <c r="C78" s="9">
        <f>TRUNC(8%*0%*40%,4)</f>
        <v>0</v>
      </c>
      <c r="D78" s="13">
        <f>TRUNC($D$26*C78,2)</f>
        <v>0</v>
      </c>
    </row>
    <row r="79" spans="1:5" x14ac:dyDescent="0.2">
      <c r="A79" s="32" t="s">
        <v>10</v>
      </c>
      <c r="B79" s="10" t="s">
        <v>49</v>
      </c>
      <c r="C79" s="9">
        <f>TRUNC(((7/30)/12)*0%,4)</f>
        <v>0</v>
      </c>
      <c r="D79" s="13">
        <f>TRUNC($D$26*C79,2)</f>
        <v>0</v>
      </c>
    </row>
    <row r="80" spans="1:5" ht="25.5" x14ac:dyDescent="0.2">
      <c r="A80" s="32" t="s">
        <v>12</v>
      </c>
      <c r="B80" s="10" t="s">
        <v>93</v>
      </c>
      <c r="C80" s="9">
        <f>C50</f>
        <v>0.36800000000000005</v>
      </c>
      <c r="D80" s="13">
        <f>TRUNC(D79*C80,2)</f>
        <v>0</v>
      </c>
    </row>
    <row r="81" spans="1:4" x14ac:dyDescent="0.2">
      <c r="A81" s="32" t="s">
        <v>32</v>
      </c>
      <c r="B81" s="10" t="s">
        <v>99</v>
      </c>
      <c r="C81" s="9">
        <f>TRUNC(8%*0%*40%,4)</f>
        <v>0</v>
      </c>
      <c r="D81" s="13">
        <f t="shared" ref="D81" si="1">TRUNC($D$26*C81,2)</f>
        <v>0</v>
      </c>
    </row>
    <row r="82" spans="1:4" x14ac:dyDescent="0.2">
      <c r="A82" s="77" t="s">
        <v>16</v>
      </c>
      <c r="B82" s="78"/>
      <c r="C82" s="79"/>
      <c r="D82" s="19">
        <f>SUM(D76:D81)</f>
        <v>0</v>
      </c>
    </row>
    <row r="85" spans="1:4" x14ac:dyDescent="0.2">
      <c r="A85" s="73" t="s">
        <v>50</v>
      </c>
      <c r="B85" s="73"/>
      <c r="C85" s="73"/>
      <c r="D85" s="73"/>
    </row>
    <row r="88" spans="1:4" x14ac:dyDescent="0.2">
      <c r="A88" s="71" t="s">
        <v>77</v>
      </c>
      <c r="B88" s="71"/>
      <c r="C88" s="71"/>
      <c r="D88" s="71"/>
    </row>
    <row r="89" spans="1:4" x14ac:dyDescent="0.2">
      <c r="A89" s="3"/>
    </row>
    <row r="90" spans="1:4" x14ac:dyDescent="0.2">
      <c r="A90" s="30" t="s">
        <v>51</v>
      </c>
      <c r="B90" s="72" t="s">
        <v>78</v>
      </c>
      <c r="C90" s="72"/>
      <c r="D90" s="30" t="s">
        <v>3</v>
      </c>
    </row>
    <row r="91" spans="1:4" x14ac:dyDescent="0.2">
      <c r="A91" s="32" t="s">
        <v>4</v>
      </c>
      <c r="B91" s="29" t="s">
        <v>79</v>
      </c>
      <c r="C91" s="9">
        <f>TRUNC(((1+1/3)/12)/12,4)*0</f>
        <v>0</v>
      </c>
      <c r="D91" s="13">
        <f>TRUNC(($D$26+$D$70+$D$82)*C91,2)</f>
        <v>0</v>
      </c>
    </row>
    <row r="92" spans="1:4" x14ac:dyDescent="0.2">
      <c r="A92" s="32" t="s">
        <v>6</v>
      </c>
      <c r="B92" s="29" t="s">
        <v>80</v>
      </c>
      <c r="C92" s="9">
        <f>TRUNC(((2/30)/12),4)</f>
        <v>5.4999999999999997E-3</v>
      </c>
      <c r="D92" s="13">
        <f t="shared" ref="D92:D96" si="2">TRUNC(($D$26+$D$70+$D$82)*C92,2)</f>
        <v>18.350000000000001</v>
      </c>
    </row>
    <row r="93" spans="1:4" x14ac:dyDescent="0.2">
      <c r="A93" s="32" t="s">
        <v>8</v>
      </c>
      <c r="B93" s="29" t="s">
        <v>81</v>
      </c>
      <c r="C93" s="9">
        <f>TRUNC(((5/30)/12)*2%,4)*0</f>
        <v>0</v>
      </c>
      <c r="D93" s="13">
        <f t="shared" si="2"/>
        <v>0</v>
      </c>
    </row>
    <row r="94" spans="1:4" x14ac:dyDescent="0.2">
      <c r="A94" s="32" t="s">
        <v>10</v>
      </c>
      <c r="B94" s="29" t="s">
        <v>82</v>
      </c>
      <c r="C94" s="9">
        <f>TRUNC(((15/30)/12)*8%,4)*0</f>
        <v>0</v>
      </c>
      <c r="D94" s="13">
        <f t="shared" si="2"/>
        <v>0</v>
      </c>
    </row>
    <row r="95" spans="1:4" x14ac:dyDescent="0.2">
      <c r="A95" s="32" t="s">
        <v>12</v>
      </c>
      <c r="B95" s="29" t="s">
        <v>83</v>
      </c>
      <c r="C95" s="9">
        <f>((1+1/3)/12)*3%*(4/12)*0</f>
        <v>0</v>
      </c>
      <c r="D95" s="13">
        <f t="shared" si="2"/>
        <v>0</v>
      </c>
    </row>
    <row r="96" spans="1:4" x14ac:dyDescent="0.2">
      <c r="A96" s="32" t="s">
        <v>32</v>
      </c>
      <c r="B96" s="29" t="s">
        <v>84</v>
      </c>
      <c r="C96" s="9"/>
      <c r="D96" s="13">
        <f t="shared" si="2"/>
        <v>0</v>
      </c>
    </row>
    <row r="97" spans="1:6" x14ac:dyDescent="0.2">
      <c r="A97" s="70" t="s">
        <v>37</v>
      </c>
      <c r="B97" s="70"/>
      <c r="C97" s="70"/>
      <c r="D97" s="19">
        <f>SUM(D91:D96)</f>
        <v>18.350000000000001</v>
      </c>
      <c r="E97" s="17"/>
      <c r="F97" s="17"/>
    </row>
    <row r="100" spans="1:6" x14ac:dyDescent="0.2">
      <c r="A100" s="71" t="s">
        <v>85</v>
      </c>
      <c r="B100" s="71"/>
      <c r="C100" s="71"/>
      <c r="D100" s="71"/>
    </row>
    <row r="101" spans="1:6" x14ac:dyDescent="0.2">
      <c r="A101" s="3"/>
    </row>
    <row r="102" spans="1:6" x14ac:dyDescent="0.2">
      <c r="A102" s="30" t="s">
        <v>52</v>
      </c>
      <c r="B102" s="72" t="s">
        <v>86</v>
      </c>
      <c r="C102" s="72"/>
      <c r="D102" s="30" t="s">
        <v>3</v>
      </c>
    </row>
    <row r="103" spans="1:6" x14ac:dyDescent="0.2">
      <c r="A103" s="32" t="s">
        <v>4</v>
      </c>
      <c r="B103" s="80" t="s">
        <v>87</v>
      </c>
      <c r="C103" s="81"/>
      <c r="D103" s="13">
        <f>((D26+D70+D82)/220)*22*0</f>
        <v>0</v>
      </c>
    </row>
    <row r="104" spans="1:6" x14ac:dyDescent="0.2">
      <c r="A104" s="70" t="s">
        <v>16</v>
      </c>
      <c r="B104" s="70"/>
      <c r="C104" s="70"/>
      <c r="D104" s="19">
        <f>SUM(D103)</f>
        <v>0</v>
      </c>
    </row>
    <row r="107" spans="1:6" x14ac:dyDescent="0.2">
      <c r="A107" s="71" t="s">
        <v>53</v>
      </c>
      <c r="B107" s="71"/>
      <c r="C107" s="71"/>
      <c r="D107" s="71"/>
    </row>
    <row r="108" spans="1:6" x14ac:dyDescent="0.2">
      <c r="A108" s="3"/>
    </row>
    <row r="109" spans="1:6" x14ac:dyDescent="0.2">
      <c r="A109" s="30">
        <v>4</v>
      </c>
      <c r="B109" s="70" t="s">
        <v>54</v>
      </c>
      <c r="C109" s="70"/>
      <c r="D109" s="30" t="s">
        <v>3</v>
      </c>
    </row>
    <row r="110" spans="1:6" x14ac:dyDescent="0.2">
      <c r="A110" s="32" t="s">
        <v>51</v>
      </c>
      <c r="B110" s="69" t="s">
        <v>78</v>
      </c>
      <c r="C110" s="69"/>
      <c r="D110" s="14">
        <f>D97</f>
        <v>18.350000000000001</v>
      </c>
    </row>
    <row r="111" spans="1:6" x14ac:dyDescent="0.2">
      <c r="A111" s="32" t="s">
        <v>52</v>
      </c>
      <c r="B111" s="69" t="s">
        <v>86</v>
      </c>
      <c r="C111" s="69"/>
      <c r="D111" s="14">
        <f>D104</f>
        <v>0</v>
      </c>
    </row>
    <row r="112" spans="1:6" x14ac:dyDescent="0.2">
      <c r="A112" s="70" t="s">
        <v>16</v>
      </c>
      <c r="B112" s="70"/>
      <c r="C112" s="70"/>
      <c r="D112" s="19">
        <f>SUM(D110:D111)</f>
        <v>18.350000000000001</v>
      </c>
    </row>
    <row r="115" spans="1:4" x14ac:dyDescent="0.2">
      <c r="A115" s="73" t="s">
        <v>55</v>
      </c>
      <c r="B115" s="73"/>
      <c r="C115" s="73"/>
      <c r="D115" s="73"/>
    </row>
    <row r="117" spans="1:4" x14ac:dyDescent="0.2">
      <c r="A117" s="30">
        <v>5</v>
      </c>
      <c r="B117" s="82" t="s">
        <v>56</v>
      </c>
      <c r="C117" s="82"/>
      <c r="D117" s="30" t="s">
        <v>3</v>
      </c>
    </row>
    <row r="118" spans="1:4" x14ac:dyDescent="0.2">
      <c r="A118" s="32" t="s">
        <v>4</v>
      </c>
      <c r="B118" s="29" t="s">
        <v>57</v>
      </c>
      <c r="C118" s="29"/>
      <c r="D118" s="13">
        <v>188.76</v>
      </c>
    </row>
    <row r="119" spans="1:4" x14ac:dyDescent="0.2">
      <c r="A119" s="32" t="s">
        <v>6</v>
      </c>
      <c r="B119" s="29" t="s">
        <v>58</v>
      </c>
      <c r="C119" s="29"/>
      <c r="D119" s="13"/>
    </row>
    <row r="120" spans="1:4" x14ac:dyDescent="0.2">
      <c r="A120" s="32" t="s">
        <v>8</v>
      </c>
      <c r="B120" s="29" t="s">
        <v>59</v>
      </c>
      <c r="C120" s="29"/>
      <c r="D120" s="13"/>
    </row>
    <row r="121" spans="1:4" x14ac:dyDescent="0.2">
      <c r="A121" s="32" t="s">
        <v>10</v>
      </c>
      <c r="B121" s="29" t="s">
        <v>15</v>
      </c>
      <c r="C121" s="29"/>
      <c r="D121" s="13"/>
    </row>
    <row r="122" spans="1:4" x14ac:dyDescent="0.2">
      <c r="A122" s="70" t="s">
        <v>37</v>
      </c>
      <c r="B122" s="70"/>
      <c r="C122" s="70"/>
      <c r="D122" s="20">
        <f>SUM(D118:D121)</f>
        <v>188.76</v>
      </c>
    </row>
    <row r="125" spans="1:4" x14ac:dyDescent="0.2">
      <c r="A125" s="73" t="s">
        <v>60</v>
      </c>
      <c r="B125" s="73"/>
      <c r="C125" s="73"/>
      <c r="D125" s="73"/>
    </row>
    <row r="127" spans="1:4" x14ac:dyDescent="0.2">
      <c r="A127" s="30">
        <v>6</v>
      </c>
      <c r="B127" s="31" t="s">
        <v>61</v>
      </c>
      <c r="C127" s="30" t="s">
        <v>26</v>
      </c>
      <c r="D127" s="30" t="s">
        <v>3</v>
      </c>
    </row>
    <row r="128" spans="1:4" x14ac:dyDescent="0.2">
      <c r="A128" s="32" t="s">
        <v>4</v>
      </c>
      <c r="B128" s="29" t="s">
        <v>62</v>
      </c>
      <c r="C128" s="9">
        <v>0.02</v>
      </c>
      <c r="D128" s="14">
        <f>D148*C128</f>
        <v>70.886503999999988</v>
      </c>
    </row>
    <row r="129" spans="1:4" x14ac:dyDescent="0.2">
      <c r="A129" s="32" t="s">
        <v>6</v>
      </c>
      <c r="B129" s="29" t="s">
        <v>63</v>
      </c>
      <c r="C129" s="9">
        <v>0.03</v>
      </c>
      <c r="D129" s="13">
        <f>(D148+D128)*C129</f>
        <v>108.45635111999998</v>
      </c>
    </row>
    <row r="130" spans="1:4" x14ac:dyDescent="0.2">
      <c r="A130" s="32" t="s">
        <v>8</v>
      </c>
      <c r="B130" s="29" t="s">
        <v>64</v>
      </c>
      <c r="C130" s="12">
        <f>SUM(C131:C136)</f>
        <v>8.6499999999999994E-2</v>
      </c>
      <c r="D130" s="13">
        <f>(D148+D128+D129)*C130/(1-C130)</f>
        <v>352.5969203808209</v>
      </c>
    </row>
    <row r="131" spans="1:4" x14ac:dyDescent="0.2">
      <c r="A131" s="32"/>
      <c r="B131" s="29" t="s">
        <v>65</v>
      </c>
      <c r="C131" s="9"/>
      <c r="D131" s="14">
        <f>$D$150*C131</f>
        <v>0</v>
      </c>
    </row>
    <row r="132" spans="1:4" x14ac:dyDescent="0.2">
      <c r="A132" s="32"/>
      <c r="B132" s="29" t="s">
        <v>95</v>
      </c>
      <c r="C132" s="9">
        <v>6.4999999999999997E-3</v>
      </c>
      <c r="D132" s="14">
        <f t="shared" ref="D132:D136" si="3">$D$150*C132</f>
        <v>26.49569</v>
      </c>
    </row>
    <row r="133" spans="1:4" x14ac:dyDescent="0.2">
      <c r="A133" s="32"/>
      <c r="B133" s="29" t="s">
        <v>96</v>
      </c>
      <c r="C133" s="9">
        <v>0.03</v>
      </c>
      <c r="D133" s="14">
        <f t="shared" si="3"/>
        <v>122.2878</v>
      </c>
    </row>
    <row r="134" spans="1:4" x14ac:dyDescent="0.2">
      <c r="A134" s="32"/>
      <c r="B134" s="29" t="s">
        <v>66</v>
      </c>
      <c r="C134" s="32"/>
      <c r="D134" s="14">
        <f t="shared" si="3"/>
        <v>0</v>
      </c>
    </row>
    <row r="135" spans="1:4" x14ac:dyDescent="0.2">
      <c r="A135" s="32"/>
      <c r="B135" s="29" t="s">
        <v>67</v>
      </c>
      <c r="C135" s="9"/>
      <c r="D135" s="14">
        <f t="shared" si="3"/>
        <v>0</v>
      </c>
    </row>
    <row r="136" spans="1:4" x14ac:dyDescent="0.2">
      <c r="A136" s="32"/>
      <c r="B136" s="29" t="s">
        <v>97</v>
      </c>
      <c r="C136" s="9">
        <v>0.05</v>
      </c>
      <c r="D136" s="14">
        <f t="shared" si="3"/>
        <v>203.81300000000002</v>
      </c>
    </row>
    <row r="137" spans="1:4" ht="13.5" x14ac:dyDescent="0.2">
      <c r="A137" s="77" t="s">
        <v>37</v>
      </c>
      <c r="B137" s="78"/>
      <c r="C137" s="21">
        <f>(1+C129)*(1+C128)/(1-C130)-1</f>
        <v>0.15008210180623971</v>
      </c>
      <c r="D137" s="19">
        <f>SUM(D128:D130)</f>
        <v>531.93977550082082</v>
      </c>
    </row>
    <row r="140" spans="1:4" x14ac:dyDescent="0.2">
      <c r="A140" s="73" t="s">
        <v>68</v>
      </c>
      <c r="B140" s="73"/>
      <c r="C140" s="73"/>
      <c r="D140" s="73"/>
    </row>
    <row r="142" spans="1:4" x14ac:dyDescent="0.2">
      <c r="A142" s="30"/>
      <c r="B142" s="70" t="s">
        <v>69</v>
      </c>
      <c r="C142" s="70"/>
      <c r="D142" s="30" t="s">
        <v>3</v>
      </c>
    </row>
    <row r="143" spans="1:4" x14ac:dyDescent="0.2">
      <c r="A143" s="30" t="s">
        <v>4</v>
      </c>
      <c r="B143" s="69" t="s">
        <v>1</v>
      </c>
      <c r="C143" s="69"/>
      <c r="D143" s="22">
        <f>D26</f>
        <v>1544.58</v>
      </c>
    </row>
    <row r="144" spans="1:4" x14ac:dyDescent="0.2">
      <c r="A144" s="30" t="s">
        <v>6</v>
      </c>
      <c r="B144" s="69" t="s">
        <v>17</v>
      </c>
      <c r="C144" s="69"/>
      <c r="D144" s="22">
        <f>D70</f>
        <v>1792.6351999999997</v>
      </c>
    </row>
    <row r="145" spans="1:4" x14ac:dyDescent="0.2">
      <c r="A145" s="30" t="s">
        <v>8</v>
      </c>
      <c r="B145" s="69" t="s">
        <v>45</v>
      </c>
      <c r="C145" s="69"/>
      <c r="D145" s="22">
        <f>D82</f>
        <v>0</v>
      </c>
    </row>
    <row r="146" spans="1:4" x14ac:dyDescent="0.2">
      <c r="A146" s="30" t="s">
        <v>10</v>
      </c>
      <c r="B146" s="69" t="s">
        <v>50</v>
      </c>
      <c r="C146" s="69"/>
      <c r="D146" s="22">
        <f>D112</f>
        <v>18.350000000000001</v>
      </c>
    </row>
    <row r="147" spans="1:4" x14ac:dyDescent="0.2">
      <c r="A147" s="30" t="s">
        <v>12</v>
      </c>
      <c r="B147" s="69" t="s">
        <v>55</v>
      </c>
      <c r="C147" s="69"/>
      <c r="D147" s="22">
        <f>D122</f>
        <v>188.76</v>
      </c>
    </row>
    <row r="148" spans="1:4" x14ac:dyDescent="0.2">
      <c r="A148" s="70" t="s">
        <v>94</v>
      </c>
      <c r="B148" s="70"/>
      <c r="C148" s="70"/>
      <c r="D148" s="23">
        <f>SUM(D143:D147)</f>
        <v>3544.3251999999993</v>
      </c>
    </row>
    <row r="149" spans="1:4" x14ac:dyDescent="0.2">
      <c r="A149" s="30" t="s">
        <v>32</v>
      </c>
      <c r="B149" s="69" t="s">
        <v>70</v>
      </c>
      <c r="C149" s="69"/>
      <c r="D149" s="24">
        <f>D137</f>
        <v>531.93977550082082</v>
      </c>
    </row>
    <row r="150" spans="1:4" x14ac:dyDescent="0.2">
      <c r="A150" s="70" t="s">
        <v>71</v>
      </c>
      <c r="B150" s="70"/>
      <c r="C150" s="70"/>
      <c r="D150" s="23">
        <f>ROUND(SUM(D148:D149),2)</f>
        <v>4076.26</v>
      </c>
    </row>
  </sheetData>
  <mergeCells count="71">
    <mergeCell ref="C10:D10"/>
    <mergeCell ref="A1:D1"/>
    <mergeCell ref="A3:D3"/>
    <mergeCell ref="A5:B5"/>
    <mergeCell ref="A6:B6"/>
    <mergeCell ref="A8:D8"/>
    <mergeCell ref="B24:C24"/>
    <mergeCell ref="C11:D11"/>
    <mergeCell ref="C12:D12"/>
    <mergeCell ref="C13:D13"/>
    <mergeCell ref="C14:D14"/>
    <mergeCell ref="A16:D16"/>
    <mergeCell ref="B18:C18"/>
    <mergeCell ref="B19:C19"/>
    <mergeCell ref="B20:C20"/>
    <mergeCell ref="B21:C21"/>
    <mergeCell ref="B22:C22"/>
    <mergeCell ref="B23:C23"/>
    <mergeCell ref="B57:C57"/>
    <mergeCell ref="B25:C25"/>
    <mergeCell ref="A26:C26"/>
    <mergeCell ref="A29:D29"/>
    <mergeCell ref="A31:D31"/>
    <mergeCell ref="B33:C33"/>
    <mergeCell ref="A36:B36"/>
    <mergeCell ref="A39:D39"/>
    <mergeCell ref="A50:B50"/>
    <mergeCell ref="A53:D53"/>
    <mergeCell ref="B55:C55"/>
    <mergeCell ref="B56:C56"/>
    <mergeCell ref="B75:C75"/>
    <mergeCell ref="B58:C58"/>
    <mergeCell ref="B59:C59"/>
    <mergeCell ref="B60:C60"/>
    <mergeCell ref="A61:C61"/>
    <mergeCell ref="A64:D64"/>
    <mergeCell ref="B66:C66"/>
    <mergeCell ref="B67:C67"/>
    <mergeCell ref="B68:C68"/>
    <mergeCell ref="B69:C69"/>
    <mergeCell ref="A70:C70"/>
    <mergeCell ref="A73:D73"/>
    <mergeCell ref="B110:C110"/>
    <mergeCell ref="A82:C82"/>
    <mergeCell ref="A85:D85"/>
    <mergeCell ref="A88:D88"/>
    <mergeCell ref="B90:C90"/>
    <mergeCell ref="A97:C97"/>
    <mergeCell ref="A100:D100"/>
    <mergeCell ref="B102:C102"/>
    <mergeCell ref="B103:C103"/>
    <mergeCell ref="A104:C104"/>
    <mergeCell ref="A107:D107"/>
    <mergeCell ref="B109:C109"/>
    <mergeCell ref="B145:C145"/>
    <mergeCell ref="B111:C111"/>
    <mergeCell ref="A112:C112"/>
    <mergeCell ref="A115:D115"/>
    <mergeCell ref="B117:C117"/>
    <mergeCell ref="A122:C122"/>
    <mergeCell ref="A125:D125"/>
    <mergeCell ref="A137:B137"/>
    <mergeCell ref="A140:D140"/>
    <mergeCell ref="B142:C142"/>
    <mergeCell ref="B143:C143"/>
    <mergeCell ref="B144:C144"/>
    <mergeCell ref="B146:C146"/>
    <mergeCell ref="B147:C147"/>
    <mergeCell ref="A148:C148"/>
    <mergeCell ref="B149:C149"/>
    <mergeCell ref="A150:C150"/>
  </mergeCells>
  <pageMargins left="0.51181102362204722" right="0.51181102362204722" top="0.98425196850393704" bottom="0.78740157480314965" header="0.31496062992125984" footer="0.31496062992125984"/>
  <pageSetup paperSize="9" scale="84" fitToHeight="0" orientation="portrait" r:id="rId1"/>
  <headerFooter>
    <oddHeader>&amp;C&amp;G</oddHeader>
    <oddFooter>&amp;L&amp;"-,Negrito"Documento elaborado em &amp;D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0"/>
  <sheetViews>
    <sheetView view="pageBreakPreview" topLeftCell="A94" zoomScaleNormal="115" zoomScaleSheetLayoutView="100" workbookViewId="0">
      <selection activeCell="C130" sqref="C130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74" t="s">
        <v>0</v>
      </c>
      <c r="B1" s="74"/>
      <c r="C1" s="74"/>
      <c r="D1" s="74"/>
    </row>
    <row r="2" spans="1:4" ht="15.75" x14ac:dyDescent="0.25">
      <c r="A2" s="26"/>
      <c r="B2" s="26"/>
      <c r="C2" s="26"/>
      <c r="D2" s="26"/>
    </row>
    <row r="3" spans="1:4" x14ac:dyDescent="0.2">
      <c r="A3" s="76" t="s">
        <v>88</v>
      </c>
      <c r="B3" s="76"/>
      <c r="C3" s="76"/>
      <c r="D3" s="76"/>
    </row>
    <row r="4" spans="1:4" x14ac:dyDescent="0.2">
      <c r="A4" s="2"/>
      <c r="B4" s="2"/>
      <c r="C4" s="2"/>
      <c r="D4" s="2"/>
    </row>
    <row r="5" spans="1:4" ht="38.25" x14ac:dyDescent="0.2">
      <c r="A5" s="83" t="s">
        <v>89</v>
      </c>
      <c r="B5" s="83"/>
      <c r="C5" s="32" t="s">
        <v>90</v>
      </c>
      <c r="D5" s="27" t="s">
        <v>91</v>
      </c>
    </row>
    <row r="6" spans="1:4" x14ac:dyDescent="0.2">
      <c r="A6" s="84" t="s">
        <v>124</v>
      </c>
      <c r="B6" s="84"/>
      <c r="C6" s="33" t="s">
        <v>101</v>
      </c>
      <c r="D6" s="33">
        <v>2</v>
      </c>
    </row>
    <row r="8" spans="1:4" x14ac:dyDescent="0.2">
      <c r="A8" s="76" t="s">
        <v>72</v>
      </c>
      <c r="B8" s="76"/>
      <c r="C8" s="76"/>
      <c r="D8" s="76"/>
    </row>
    <row r="9" spans="1:4" x14ac:dyDescent="0.2">
      <c r="A9" s="2"/>
      <c r="B9" s="2"/>
      <c r="C9" s="2"/>
      <c r="D9" s="2"/>
    </row>
    <row r="10" spans="1:4" x14ac:dyDescent="0.2">
      <c r="A10" s="5">
        <v>1</v>
      </c>
      <c r="B10" s="5" t="s">
        <v>73</v>
      </c>
      <c r="C10" s="85" t="s">
        <v>118</v>
      </c>
      <c r="D10" s="86"/>
    </row>
    <row r="11" spans="1:4" x14ac:dyDescent="0.2">
      <c r="A11" s="5">
        <v>2</v>
      </c>
      <c r="B11" s="5" t="s">
        <v>92</v>
      </c>
      <c r="C11" s="85" t="s">
        <v>117</v>
      </c>
      <c r="D11" s="86"/>
    </row>
    <row r="12" spans="1:4" x14ac:dyDescent="0.2">
      <c r="A12" s="5">
        <v>3</v>
      </c>
      <c r="B12" s="5" t="s">
        <v>74</v>
      </c>
      <c r="C12" s="87">
        <v>1726.82</v>
      </c>
      <c r="D12" s="86"/>
    </row>
    <row r="13" spans="1:4" x14ac:dyDescent="0.2">
      <c r="A13" s="5">
        <v>4</v>
      </c>
      <c r="B13" s="5" t="s">
        <v>75</v>
      </c>
      <c r="C13" s="85"/>
      <c r="D13" s="86"/>
    </row>
    <row r="14" spans="1:4" x14ac:dyDescent="0.2">
      <c r="A14" s="5">
        <v>5</v>
      </c>
      <c r="B14" s="5" t="s">
        <v>76</v>
      </c>
      <c r="C14" s="85"/>
      <c r="D14" s="86"/>
    </row>
    <row r="16" spans="1:4" x14ac:dyDescent="0.2">
      <c r="A16" s="76" t="s">
        <v>1</v>
      </c>
      <c r="B16" s="76"/>
      <c r="C16" s="76"/>
      <c r="D16" s="76"/>
    </row>
    <row r="18" spans="1:4" x14ac:dyDescent="0.2">
      <c r="A18" s="30">
        <v>1</v>
      </c>
      <c r="B18" s="70" t="s">
        <v>2</v>
      </c>
      <c r="C18" s="70"/>
      <c r="D18" s="30" t="s">
        <v>3</v>
      </c>
    </row>
    <row r="19" spans="1:4" x14ac:dyDescent="0.2">
      <c r="A19" s="32" t="s">
        <v>4</v>
      </c>
      <c r="B19" s="69" t="s">
        <v>5</v>
      </c>
      <c r="C19" s="69"/>
      <c r="D19" s="13">
        <v>1726.82</v>
      </c>
    </row>
    <row r="20" spans="1:4" x14ac:dyDescent="0.2">
      <c r="A20" s="32" t="s">
        <v>6</v>
      </c>
      <c r="B20" s="69" t="s">
        <v>7</v>
      </c>
      <c r="C20" s="69"/>
      <c r="D20" s="13"/>
    </row>
    <row r="21" spans="1:4" x14ac:dyDescent="0.2">
      <c r="A21" s="32" t="s">
        <v>8</v>
      </c>
      <c r="B21" s="69" t="s">
        <v>9</v>
      </c>
      <c r="C21" s="69"/>
      <c r="D21" s="13"/>
    </row>
    <row r="22" spans="1:4" x14ac:dyDescent="0.2">
      <c r="A22" s="32" t="s">
        <v>10</v>
      </c>
      <c r="B22" s="69" t="s">
        <v>11</v>
      </c>
      <c r="C22" s="69"/>
      <c r="D22" s="13"/>
    </row>
    <row r="23" spans="1:4" x14ac:dyDescent="0.2">
      <c r="A23" s="32" t="s">
        <v>12</v>
      </c>
      <c r="B23" s="69" t="s">
        <v>13</v>
      </c>
      <c r="C23" s="69"/>
      <c r="D23" s="13"/>
    </row>
    <row r="24" spans="1:4" x14ac:dyDescent="0.2">
      <c r="A24" s="32"/>
      <c r="B24" s="69"/>
      <c r="C24" s="69"/>
      <c r="D24" s="13"/>
    </row>
    <row r="25" spans="1:4" x14ac:dyDescent="0.2">
      <c r="A25" s="32" t="s">
        <v>14</v>
      </c>
      <c r="B25" s="69" t="s">
        <v>15</v>
      </c>
      <c r="C25" s="69"/>
      <c r="D25" s="13"/>
    </row>
    <row r="26" spans="1:4" x14ac:dyDescent="0.2">
      <c r="A26" s="70" t="s">
        <v>16</v>
      </c>
      <c r="B26" s="70"/>
      <c r="C26" s="70"/>
      <c r="D26" s="20">
        <f>SUM(D19:D25)</f>
        <v>1726.82</v>
      </c>
    </row>
    <row r="29" spans="1:4" x14ac:dyDescent="0.2">
      <c r="A29" s="73" t="s">
        <v>17</v>
      </c>
      <c r="B29" s="73"/>
      <c r="C29" s="73"/>
      <c r="D29" s="73"/>
    </row>
    <row r="30" spans="1:4" x14ac:dyDescent="0.2">
      <c r="A30" s="3"/>
    </row>
    <row r="31" spans="1:4" x14ac:dyDescent="0.2">
      <c r="A31" s="71" t="s">
        <v>18</v>
      </c>
      <c r="B31" s="71"/>
      <c r="C31" s="71"/>
      <c r="D31" s="71"/>
    </row>
    <row r="33" spans="1:4" x14ac:dyDescent="0.2">
      <c r="A33" s="30" t="s">
        <v>19</v>
      </c>
      <c r="B33" s="70" t="s">
        <v>20</v>
      </c>
      <c r="C33" s="70"/>
      <c r="D33" s="30" t="s">
        <v>3</v>
      </c>
    </row>
    <row r="34" spans="1:4" x14ac:dyDescent="0.2">
      <c r="A34" s="32" t="s">
        <v>4</v>
      </c>
      <c r="B34" s="29" t="s">
        <v>21</v>
      </c>
      <c r="C34" s="12">
        <f>TRUNC(1/12,4)</f>
        <v>8.3299999999999999E-2</v>
      </c>
      <c r="D34" s="13">
        <f>TRUNC($D$26*C34,2)</f>
        <v>143.84</v>
      </c>
    </row>
    <row r="35" spans="1:4" x14ac:dyDescent="0.2">
      <c r="A35" s="32" t="s">
        <v>6</v>
      </c>
      <c r="B35" s="29" t="s">
        <v>22</v>
      </c>
      <c r="C35" s="12">
        <f>TRUNC(((1+1/3)/12),4)</f>
        <v>0.1111</v>
      </c>
      <c r="D35" s="13">
        <f>TRUNC($D$26*C35,2)</f>
        <v>191.84</v>
      </c>
    </row>
    <row r="36" spans="1:4" x14ac:dyDescent="0.2">
      <c r="A36" s="70" t="s">
        <v>16</v>
      </c>
      <c r="B36" s="70"/>
      <c r="C36" s="28">
        <f>SUM(C34:C35)</f>
        <v>0.19440000000000002</v>
      </c>
      <c r="D36" s="19">
        <f>SUM(D34:D35)</f>
        <v>335.68</v>
      </c>
    </row>
    <row r="39" spans="1:4" x14ac:dyDescent="0.2">
      <c r="A39" s="75" t="s">
        <v>23</v>
      </c>
      <c r="B39" s="75"/>
      <c r="C39" s="75"/>
      <c r="D39" s="75"/>
    </row>
    <row r="41" spans="1:4" x14ac:dyDescent="0.2">
      <c r="A41" s="30" t="s">
        <v>24</v>
      </c>
      <c r="B41" s="30" t="s">
        <v>25</v>
      </c>
      <c r="C41" s="30" t="s">
        <v>26</v>
      </c>
      <c r="D41" s="30" t="s">
        <v>3</v>
      </c>
    </row>
    <row r="42" spans="1:4" x14ac:dyDescent="0.2">
      <c r="A42" s="32" t="s">
        <v>4</v>
      </c>
      <c r="B42" s="29" t="s">
        <v>27</v>
      </c>
      <c r="C42" s="9">
        <v>0.2</v>
      </c>
      <c r="D42" s="13">
        <f>TRUNC(($D$26+$D$36)*C42,2)</f>
        <v>412.5</v>
      </c>
    </row>
    <row r="43" spans="1:4" x14ac:dyDescent="0.2">
      <c r="A43" s="32" t="s">
        <v>6</v>
      </c>
      <c r="B43" s="29" t="s">
        <v>28</v>
      </c>
      <c r="C43" s="9">
        <v>2.5000000000000001E-2</v>
      </c>
      <c r="D43" s="13">
        <f t="shared" ref="D43:D49" si="0">TRUNC(($D$26+$D$36)*C43,2)</f>
        <v>51.56</v>
      </c>
    </row>
    <row r="44" spans="1:4" x14ac:dyDescent="0.2">
      <c r="A44" s="32" t="s">
        <v>8</v>
      </c>
      <c r="B44" s="29" t="s">
        <v>29</v>
      </c>
      <c r="C44" s="16">
        <v>0.03</v>
      </c>
      <c r="D44" s="13">
        <f t="shared" si="0"/>
        <v>61.87</v>
      </c>
    </row>
    <row r="45" spans="1:4" x14ac:dyDescent="0.2">
      <c r="A45" s="32" t="s">
        <v>10</v>
      </c>
      <c r="B45" s="29" t="s">
        <v>30</v>
      </c>
      <c r="C45" s="9">
        <v>1.4999999999999999E-2</v>
      </c>
      <c r="D45" s="13">
        <f t="shared" si="0"/>
        <v>30.93</v>
      </c>
    </row>
    <row r="46" spans="1:4" x14ac:dyDescent="0.2">
      <c r="A46" s="32" t="s">
        <v>12</v>
      </c>
      <c r="B46" s="29" t="s">
        <v>31</v>
      </c>
      <c r="C46" s="9">
        <v>0.01</v>
      </c>
      <c r="D46" s="13">
        <f t="shared" si="0"/>
        <v>20.62</v>
      </c>
    </row>
    <row r="47" spans="1:4" x14ac:dyDescent="0.2">
      <c r="A47" s="32" t="s">
        <v>32</v>
      </c>
      <c r="B47" s="29" t="s">
        <v>33</v>
      </c>
      <c r="C47" s="9">
        <v>6.0000000000000001E-3</v>
      </c>
      <c r="D47" s="13">
        <f t="shared" si="0"/>
        <v>12.37</v>
      </c>
    </row>
    <row r="48" spans="1:4" x14ac:dyDescent="0.2">
      <c r="A48" s="32" t="s">
        <v>14</v>
      </c>
      <c r="B48" s="29" t="s">
        <v>34</v>
      </c>
      <c r="C48" s="9">
        <v>2E-3</v>
      </c>
      <c r="D48" s="13">
        <f t="shared" si="0"/>
        <v>4.12</v>
      </c>
    </row>
    <row r="49" spans="1:4" x14ac:dyDescent="0.2">
      <c r="A49" s="32" t="s">
        <v>35</v>
      </c>
      <c r="B49" s="29" t="s">
        <v>36</v>
      </c>
      <c r="C49" s="9">
        <v>0.08</v>
      </c>
      <c r="D49" s="13">
        <f t="shared" si="0"/>
        <v>165</v>
      </c>
    </row>
    <row r="50" spans="1:4" x14ac:dyDescent="0.2">
      <c r="A50" s="70" t="s">
        <v>37</v>
      </c>
      <c r="B50" s="70"/>
      <c r="C50" s="15">
        <f>SUM(C42:C49)</f>
        <v>0.36800000000000005</v>
      </c>
      <c r="D50" s="19">
        <f>SUM(D42:D49)</f>
        <v>758.96999999999991</v>
      </c>
    </row>
    <row r="53" spans="1:4" x14ac:dyDescent="0.2">
      <c r="A53" s="71" t="s">
        <v>38</v>
      </c>
      <c r="B53" s="71"/>
      <c r="C53" s="71"/>
      <c r="D53" s="71"/>
    </row>
    <row r="55" spans="1:4" x14ac:dyDescent="0.2">
      <c r="A55" s="30" t="s">
        <v>39</v>
      </c>
      <c r="B55" s="72" t="s">
        <v>40</v>
      </c>
      <c r="C55" s="72"/>
      <c r="D55" s="30" t="s">
        <v>3</v>
      </c>
    </row>
    <row r="56" spans="1:4" x14ac:dyDescent="0.2">
      <c r="A56" s="32" t="s">
        <v>4</v>
      </c>
      <c r="B56" s="69" t="s">
        <v>41</v>
      </c>
      <c r="C56" s="69"/>
      <c r="D56" s="13">
        <f>IF((22*2*5.6)-(D19*0.06)&gt;0,(22*2*5.6)-(D19*0.06),0)</f>
        <v>142.79079999999999</v>
      </c>
    </row>
    <row r="57" spans="1:4" x14ac:dyDescent="0.2">
      <c r="A57" s="32" t="s">
        <v>6</v>
      </c>
      <c r="B57" s="69" t="s">
        <v>42</v>
      </c>
      <c r="C57" s="69"/>
      <c r="D57" s="13">
        <f>20*0.8*22</f>
        <v>352</v>
      </c>
    </row>
    <row r="58" spans="1:4" x14ac:dyDescent="0.2">
      <c r="A58" s="32" t="s">
        <v>8</v>
      </c>
      <c r="B58" s="69" t="s">
        <v>103</v>
      </c>
      <c r="C58" s="69"/>
      <c r="D58" s="13">
        <v>280</v>
      </c>
    </row>
    <row r="59" spans="1:4" x14ac:dyDescent="0.2">
      <c r="A59" s="32" t="s">
        <v>10</v>
      </c>
      <c r="B59" s="69" t="s">
        <v>104</v>
      </c>
      <c r="C59" s="69"/>
      <c r="D59" s="13">
        <v>23</v>
      </c>
    </row>
    <row r="60" spans="1:4" x14ac:dyDescent="0.2">
      <c r="A60" s="32" t="s">
        <v>12</v>
      </c>
      <c r="B60" s="69" t="s">
        <v>105</v>
      </c>
      <c r="C60" s="69"/>
      <c r="D60" s="13">
        <v>4.8</v>
      </c>
    </row>
    <row r="61" spans="1:4" x14ac:dyDescent="0.2">
      <c r="A61" s="70" t="s">
        <v>16</v>
      </c>
      <c r="B61" s="70"/>
      <c r="C61" s="70"/>
      <c r="D61" s="19">
        <f>SUM(D56:D60)</f>
        <v>802.59079999999994</v>
      </c>
    </row>
    <row r="64" spans="1:4" x14ac:dyDescent="0.2">
      <c r="A64" s="71" t="s">
        <v>43</v>
      </c>
      <c r="B64" s="71"/>
      <c r="C64" s="71"/>
      <c r="D64" s="71"/>
    </row>
    <row r="66" spans="1:5" x14ac:dyDescent="0.2">
      <c r="A66" s="30">
        <v>2</v>
      </c>
      <c r="B66" s="72" t="s">
        <v>44</v>
      </c>
      <c r="C66" s="72"/>
      <c r="D66" s="30" t="s">
        <v>3</v>
      </c>
    </row>
    <row r="67" spans="1:5" x14ac:dyDescent="0.2">
      <c r="A67" s="32" t="s">
        <v>19</v>
      </c>
      <c r="B67" s="69" t="s">
        <v>20</v>
      </c>
      <c r="C67" s="69"/>
      <c r="D67" s="14">
        <f>D36</f>
        <v>335.68</v>
      </c>
    </row>
    <row r="68" spans="1:5" x14ac:dyDescent="0.2">
      <c r="A68" s="32" t="s">
        <v>24</v>
      </c>
      <c r="B68" s="69" t="s">
        <v>25</v>
      </c>
      <c r="C68" s="69"/>
      <c r="D68" s="14">
        <f>D50</f>
        <v>758.96999999999991</v>
      </c>
    </row>
    <row r="69" spans="1:5" x14ac:dyDescent="0.2">
      <c r="A69" s="32" t="s">
        <v>39</v>
      </c>
      <c r="B69" s="69" t="s">
        <v>40</v>
      </c>
      <c r="C69" s="69"/>
      <c r="D69" s="14">
        <f>D61</f>
        <v>802.59079999999994</v>
      </c>
    </row>
    <row r="70" spans="1:5" x14ac:dyDescent="0.2">
      <c r="A70" s="70" t="s">
        <v>16</v>
      </c>
      <c r="B70" s="70"/>
      <c r="C70" s="70"/>
      <c r="D70" s="19">
        <f>SUM(D67:D69)</f>
        <v>1897.2407999999998</v>
      </c>
    </row>
    <row r="71" spans="1:5" x14ac:dyDescent="0.2">
      <c r="A71" s="4"/>
      <c r="E71" s="18"/>
    </row>
    <row r="73" spans="1:5" x14ac:dyDescent="0.2">
      <c r="A73" s="73" t="s">
        <v>45</v>
      </c>
      <c r="B73" s="73"/>
      <c r="C73" s="73"/>
      <c r="D73" s="73"/>
      <c r="E73" s="17"/>
    </row>
    <row r="74" spans="1:5" ht="12.75" customHeight="1" x14ac:dyDescent="0.2">
      <c r="E74" s="18"/>
    </row>
    <row r="75" spans="1:5" x14ac:dyDescent="0.2">
      <c r="A75" s="30">
        <v>3</v>
      </c>
      <c r="B75" s="72" t="s">
        <v>46</v>
      </c>
      <c r="C75" s="72"/>
      <c r="D75" s="30" t="s">
        <v>3</v>
      </c>
    </row>
    <row r="76" spans="1:5" x14ac:dyDescent="0.2">
      <c r="A76" s="32" t="s">
        <v>4</v>
      </c>
      <c r="B76" s="10" t="s">
        <v>47</v>
      </c>
      <c r="C76" s="9">
        <f>TRUNC(((1/12)*0%),4)</f>
        <v>0</v>
      </c>
      <c r="D76" s="13">
        <f>TRUNC($D$26*C76,2)</f>
        <v>0</v>
      </c>
    </row>
    <row r="77" spans="1:5" x14ac:dyDescent="0.2">
      <c r="A77" s="32" t="s">
        <v>6</v>
      </c>
      <c r="B77" s="10" t="s">
        <v>48</v>
      </c>
      <c r="C77" s="9">
        <v>0.08</v>
      </c>
      <c r="D77" s="13">
        <f>TRUNC(D76*C77,2)</f>
        <v>0</v>
      </c>
    </row>
    <row r="78" spans="1:5" x14ac:dyDescent="0.2">
      <c r="A78" s="32" t="s">
        <v>8</v>
      </c>
      <c r="B78" s="10" t="s">
        <v>98</v>
      </c>
      <c r="C78" s="9">
        <f>TRUNC(8%*0%*40%,4)</f>
        <v>0</v>
      </c>
      <c r="D78" s="13">
        <f>TRUNC($D$26*C78,2)</f>
        <v>0</v>
      </c>
    </row>
    <row r="79" spans="1:5" x14ac:dyDescent="0.2">
      <c r="A79" s="32" t="s">
        <v>10</v>
      </c>
      <c r="B79" s="10" t="s">
        <v>49</v>
      </c>
      <c r="C79" s="9">
        <f>TRUNC(((7/30)/12)*0%,4)</f>
        <v>0</v>
      </c>
      <c r="D79" s="13">
        <f>TRUNC($D$26*C79,2)</f>
        <v>0</v>
      </c>
    </row>
    <row r="80" spans="1:5" ht="25.5" x14ac:dyDescent="0.2">
      <c r="A80" s="32" t="s">
        <v>12</v>
      </c>
      <c r="B80" s="10" t="s">
        <v>93</v>
      </c>
      <c r="C80" s="9">
        <f>C50</f>
        <v>0.36800000000000005</v>
      </c>
      <c r="D80" s="13">
        <f>TRUNC(D79*C80,2)</f>
        <v>0</v>
      </c>
    </row>
    <row r="81" spans="1:4" x14ac:dyDescent="0.2">
      <c r="A81" s="32" t="s">
        <v>32</v>
      </c>
      <c r="B81" s="10" t="s">
        <v>99</v>
      </c>
      <c r="C81" s="9">
        <f>TRUNC(8%*0%*40%,4)</f>
        <v>0</v>
      </c>
      <c r="D81" s="13">
        <f t="shared" ref="D81" si="1">TRUNC($D$26*C81,2)</f>
        <v>0</v>
      </c>
    </row>
    <row r="82" spans="1:4" x14ac:dyDescent="0.2">
      <c r="A82" s="77" t="s">
        <v>16</v>
      </c>
      <c r="B82" s="78"/>
      <c r="C82" s="79"/>
      <c r="D82" s="19">
        <f>SUM(D76:D81)</f>
        <v>0</v>
      </c>
    </row>
    <row r="85" spans="1:4" x14ac:dyDescent="0.2">
      <c r="A85" s="73" t="s">
        <v>50</v>
      </c>
      <c r="B85" s="73"/>
      <c r="C85" s="73"/>
      <c r="D85" s="73"/>
    </row>
    <row r="88" spans="1:4" x14ac:dyDescent="0.2">
      <c r="A88" s="71" t="s">
        <v>77</v>
      </c>
      <c r="B88" s="71"/>
      <c r="C88" s="71"/>
      <c r="D88" s="71"/>
    </row>
    <row r="89" spans="1:4" x14ac:dyDescent="0.2">
      <c r="A89" s="3"/>
    </row>
    <row r="90" spans="1:4" x14ac:dyDescent="0.2">
      <c r="A90" s="30" t="s">
        <v>51</v>
      </c>
      <c r="B90" s="72" t="s">
        <v>78</v>
      </c>
      <c r="C90" s="72"/>
      <c r="D90" s="30" t="s">
        <v>3</v>
      </c>
    </row>
    <row r="91" spans="1:4" x14ac:dyDescent="0.2">
      <c r="A91" s="32" t="s">
        <v>4</v>
      </c>
      <c r="B91" s="29" t="s">
        <v>79</v>
      </c>
      <c r="C91" s="9">
        <f>TRUNC(((1+1/3)/12)/12,4)*0</f>
        <v>0</v>
      </c>
      <c r="D91" s="13">
        <f>TRUNC(($D$26+$D$70+$D$82)*C91,2)</f>
        <v>0</v>
      </c>
    </row>
    <row r="92" spans="1:4" x14ac:dyDescent="0.2">
      <c r="A92" s="32" t="s">
        <v>6</v>
      </c>
      <c r="B92" s="29" t="s">
        <v>80</v>
      </c>
      <c r="C92" s="9">
        <f>TRUNC(((2/30)/12),4)</f>
        <v>5.4999999999999997E-3</v>
      </c>
      <c r="D92" s="13">
        <f t="shared" ref="D92:D96" si="2">TRUNC(($D$26+$D$70+$D$82)*C92,2)</f>
        <v>19.93</v>
      </c>
    </row>
    <row r="93" spans="1:4" x14ac:dyDescent="0.2">
      <c r="A93" s="32" t="s">
        <v>8</v>
      </c>
      <c r="B93" s="29" t="s">
        <v>81</v>
      </c>
      <c r="C93" s="9">
        <f>TRUNC(((5/30)/12)*2%,4)*0</f>
        <v>0</v>
      </c>
      <c r="D93" s="13">
        <f t="shared" si="2"/>
        <v>0</v>
      </c>
    </row>
    <row r="94" spans="1:4" x14ac:dyDescent="0.2">
      <c r="A94" s="32" t="s">
        <v>10</v>
      </c>
      <c r="B94" s="29" t="s">
        <v>82</v>
      </c>
      <c r="C94" s="9">
        <f>TRUNC(((15/30)/12)*8%,4)*0</f>
        <v>0</v>
      </c>
      <c r="D94" s="13">
        <f t="shared" si="2"/>
        <v>0</v>
      </c>
    </row>
    <row r="95" spans="1:4" x14ac:dyDescent="0.2">
      <c r="A95" s="32" t="s">
        <v>12</v>
      </c>
      <c r="B95" s="29" t="s">
        <v>83</v>
      </c>
      <c r="C95" s="9">
        <f>((1+1/3)/12)*3%*(4/12)*0</f>
        <v>0</v>
      </c>
      <c r="D95" s="13">
        <f t="shared" si="2"/>
        <v>0</v>
      </c>
    </row>
    <row r="96" spans="1:4" x14ac:dyDescent="0.2">
      <c r="A96" s="32" t="s">
        <v>32</v>
      </c>
      <c r="B96" s="29" t="s">
        <v>84</v>
      </c>
      <c r="C96" s="9"/>
      <c r="D96" s="13">
        <f t="shared" si="2"/>
        <v>0</v>
      </c>
    </row>
    <row r="97" spans="1:6" x14ac:dyDescent="0.2">
      <c r="A97" s="70" t="s">
        <v>37</v>
      </c>
      <c r="B97" s="70"/>
      <c r="C97" s="70"/>
      <c r="D97" s="19">
        <f>SUM(D91:D96)</f>
        <v>19.93</v>
      </c>
      <c r="E97" s="17"/>
      <c r="F97" s="17"/>
    </row>
    <row r="100" spans="1:6" x14ac:dyDescent="0.2">
      <c r="A100" s="71" t="s">
        <v>85</v>
      </c>
      <c r="B100" s="71"/>
      <c r="C100" s="71"/>
      <c r="D100" s="71"/>
    </row>
    <row r="101" spans="1:6" x14ac:dyDescent="0.2">
      <c r="A101" s="3"/>
    </row>
    <row r="102" spans="1:6" x14ac:dyDescent="0.2">
      <c r="A102" s="30" t="s">
        <v>52</v>
      </c>
      <c r="B102" s="72" t="s">
        <v>86</v>
      </c>
      <c r="C102" s="72"/>
      <c r="D102" s="30" t="s">
        <v>3</v>
      </c>
    </row>
    <row r="103" spans="1:6" x14ac:dyDescent="0.2">
      <c r="A103" s="32" t="s">
        <v>4</v>
      </c>
      <c r="B103" s="80" t="s">
        <v>87</v>
      </c>
      <c r="C103" s="81"/>
      <c r="D103" s="13">
        <f>((D26+D70+D82)/220)*22*0</f>
        <v>0</v>
      </c>
    </row>
    <row r="104" spans="1:6" x14ac:dyDescent="0.2">
      <c r="A104" s="70" t="s">
        <v>16</v>
      </c>
      <c r="B104" s="70"/>
      <c r="C104" s="70"/>
      <c r="D104" s="19">
        <f>SUM(D103)</f>
        <v>0</v>
      </c>
    </row>
    <row r="107" spans="1:6" x14ac:dyDescent="0.2">
      <c r="A107" s="71" t="s">
        <v>53</v>
      </c>
      <c r="B107" s="71"/>
      <c r="C107" s="71"/>
      <c r="D107" s="71"/>
    </row>
    <row r="108" spans="1:6" x14ac:dyDescent="0.2">
      <c r="A108" s="3"/>
    </row>
    <row r="109" spans="1:6" x14ac:dyDescent="0.2">
      <c r="A109" s="30">
        <v>4</v>
      </c>
      <c r="B109" s="70" t="s">
        <v>54</v>
      </c>
      <c r="C109" s="70"/>
      <c r="D109" s="30" t="s">
        <v>3</v>
      </c>
    </row>
    <row r="110" spans="1:6" x14ac:dyDescent="0.2">
      <c r="A110" s="32" t="s">
        <v>51</v>
      </c>
      <c r="B110" s="69" t="s">
        <v>78</v>
      </c>
      <c r="C110" s="69"/>
      <c r="D110" s="14">
        <f>D97</f>
        <v>19.93</v>
      </c>
    </row>
    <row r="111" spans="1:6" x14ac:dyDescent="0.2">
      <c r="A111" s="32" t="s">
        <v>52</v>
      </c>
      <c r="B111" s="69" t="s">
        <v>86</v>
      </c>
      <c r="C111" s="69"/>
      <c r="D111" s="14">
        <f>D104</f>
        <v>0</v>
      </c>
    </row>
    <row r="112" spans="1:6" x14ac:dyDescent="0.2">
      <c r="A112" s="70" t="s">
        <v>16</v>
      </c>
      <c r="B112" s="70"/>
      <c r="C112" s="70"/>
      <c r="D112" s="19">
        <f>SUM(D110:D111)</f>
        <v>19.93</v>
      </c>
    </row>
    <row r="115" spans="1:4" x14ac:dyDescent="0.2">
      <c r="A115" s="73" t="s">
        <v>55</v>
      </c>
      <c r="B115" s="73"/>
      <c r="C115" s="73"/>
      <c r="D115" s="73"/>
    </row>
    <row r="117" spans="1:4" x14ac:dyDescent="0.2">
      <c r="A117" s="30">
        <v>5</v>
      </c>
      <c r="B117" s="82" t="s">
        <v>56</v>
      </c>
      <c r="C117" s="82"/>
      <c r="D117" s="30" t="s">
        <v>3</v>
      </c>
    </row>
    <row r="118" spans="1:4" x14ac:dyDescent="0.2">
      <c r="A118" s="32" t="s">
        <v>4</v>
      </c>
      <c r="B118" s="29" t="s">
        <v>57</v>
      </c>
      <c r="C118" s="29"/>
      <c r="D118" s="13">
        <v>188.76</v>
      </c>
    </row>
    <row r="119" spans="1:4" x14ac:dyDescent="0.2">
      <c r="A119" s="32" t="s">
        <v>6</v>
      </c>
      <c r="B119" s="29" t="s">
        <v>58</v>
      </c>
      <c r="C119" s="29"/>
      <c r="D119" s="13"/>
    </row>
    <row r="120" spans="1:4" x14ac:dyDescent="0.2">
      <c r="A120" s="32" t="s">
        <v>8</v>
      </c>
      <c r="B120" s="29" t="s">
        <v>59</v>
      </c>
      <c r="C120" s="29"/>
      <c r="D120" s="13"/>
    </row>
    <row r="121" spans="1:4" x14ac:dyDescent="0.2">
      <c r="A121" s="32" t="s">
        <v>10</v>
      </c>
      <c r="B121" s="29" t="s">
        <v>15</v>
      </c>
      <c r="C121" s="29"/>
      <c r="D121" s="13"/>
    </row>
    <row r="122" spans="1:4" x14ac:dyDescent="0.2">
      <c r="A122" s="70" t="s">
        <v>37</v>
      </c>
      <c r="B122" s="70"/>
      <c r="C122" s="70"/>
      <c r="D122" s="20">
        <f>SUM(D118:D121)</f>
        <v>188.76</v>
      </c>
    </row>
    <row r="125" spans="1:4" x14ac:dyDescent="0.2">
      <c r="A125" s="73" t="s">
        <v>60</v>
      </c>
      <c r="B125" s="73"/>
      <c r="C125" s="73"/>
      <c r="D125" s="73"/>
    </row>
    <row r="127" spans="1:4" x14ac:dyDescent="0.2">
      <c r="A127" s="30">
        <v>6</v>
      </c>
      <c r="B127" s="31" t="s">
        <v>61</v>
      </c>
      <c r="C127" s="30" t="s">
        <v>26</v>
      </c>
      <c r="D127" s="30" t="s">
        <v>3</v>
      </c>
    </row>
    <row r="128" spans="1:4" x14ac:dyDescent="0.2">
      <c r="A128" s="32" t="s">
        <v>4</v>
      </c>
      <c r="B128" s="29" t="s">
        <v>62</v>
      </c>
      <c r="C128" s="9">
        <v>0.02</v>
      </c>
      <c r="D128" s="14">
        <f>D148*C128</f>
        <v>76.655016000000003</v>
      </c>
    </row>
    <row r="129" spans="1:4" x14ac:dyDescent="0.2">
      <c r="A129" s="32" t="s">
        <v>6</v>
      </c>
      <c r="B129" s="29" t="s">
        <v>63</v>
      </c>
      <c r="C129" s="9">
        <v>0.03</v>
      </c>
      <c r="D129" s="13">
        <f>(D148+D128)*C129</f>
        <v>117.28217447999999</v>
      </c>
    </row>
    <row r="130" spans="1:4" x14ac:dyDescent="0.2">
      <c r="A130" s="32" t="s">
        <v>8</v>
      </c>
      <c r="B130" s="29" t="s">
        <v>64</v>
      </c>
      <c r="C130" s="12">
        <f>SUM(C131:C136)</f>
        <v>8.6499999999999994E-2</v>
      </c>
      <c r="D130" s="13">
        <f>(D148+D128+D129)*C130/(1-C130)</f>
        <v>381.29010528354678</v>
      </c>
    </row>
    <row r="131" spans="1:4" x14ac:dyDescent="0.2">
      <c r="A131" s="32"/>
      <c r="B131" s="29" t="s">
        <v>65</v>
      </c>
      <c r="C131" s="9"/>
      <c r="D131" s="14">
        <f>$D$150*C131</f>
        <v>0</v>
      </c>
    </row>
    <row r="132" spans="1:4" x14ac:dyDescent="0.2">
      <c r="A132" s="32"/>
      <c r="B132" s="29" t="s">
        <v>95</v>
      </c>
      <c r="C132" s="9">
        <v>6.4999999999999997E-3</v>
      </c>
      <c r="D132" s="14">
        <f t="shared" ref="D132:D136" si="3">$D$150*C132</f>
        <v>28.651869999999995</v>
      </c>
    </row>
    <row r="133" spans="1:4" x14ac:dyDescent="0.2">
      <c r="A133" s="32"/>
      <c r="B133" s="29" t="s">
        <v>96</v>
      </c>
      <c r="C133" s="9">
        <v>0.03</v>
      </c>
      <c r="D133" s="14">
        <f t="shared" si="3"/>
        <v>132.23939999999999</v>
      </c>
    </row>
    <row r="134" spans="1:4" x14ac:dyDescent="0.2">
      <c r="A134" s="32"/>
      <c r="B134" s="29" t="s">
        <v>66</v>
      </c>
      <c r="C134" s="32"/>
      <c r="D134" s="14">
        <f t="shared" si="3"/>
        <v>0</v>
      </c>
    </row>
    <row r="135" spans="1:4" x14ac:dyDescent="0.2">
      <c r="A135" s="32"/>
      <c r="B135" s="29" t="s">
        <v>67</v>
      </c>
      <c r="C135" s="9"/>
      <c r="D135" s="14">
        <f t="shared" si="3"/>
        <v>0</v>
      </c>
    </row>
    <row r="136" spans="1:4" x14ac:dyDescent="0.2">
      <c r="A136" s="32"/>
      <c r="B136" s="29" t="s">
        <v>97</v>
      </c>
      <c r="C136" s="9">
        <v>0.05</v>
      </c>
      <c r="D136" s="14">
        <f t="shared" si="3"/>
        <v>220.399</v>
      </c>
    </row>
    <row r="137" spans="1:4" ht="13.5" x14ac:dyDescent="0.2">
      <c r="A137" s="77" t="s">
        <v>37</v>
      </c>
      <c r="B137" s="78"/>
      <c r="C137" s="21">
        <f>(1+C129)*(1+C128)/(1-C130)-1</f>
        <v>0.15008210180623971</v>
      </c>
      <c r="D137" s="19">
        <f>SUM(D128:D130)</f>
        <v>575.22729576354675</v>
      </c>
    </row>
    <row r="140" spans="1:4" x14ac:dyDescent="0.2">
      <c r="A140" s="73" t="s">
        <v>68</v>
      </c>
      <c r="B140" s="73"/>
      <c r="C140" s="73"/>
      <c r="D140" s="73"/>
    </row>
    <row r="142" spans="1:4" x14ac:dyDescent="0.2">
      <c r="A142" s="30"/>
      <c r="B142" s="70" t="s">
        <v>69</v>
      </c>
      <c r="C142" s="70"/>
      <c r="D142" s="30" t="s">
        <v>3</v>
      </c>
    </row>
    <row r="143" spans="1:4" x14ac:dyDescent="0.2">
      <c r="A143" s="30" t="s">
        <v>4</v>
      </c>
      <c r="B143" s="69" t="s">
        <v>1</v>
      </c>
      <c r="C143" s="69"/>
      <c r="D143" s="22">
        <f>D26</f>
        <v>1726.82</v>
      </c>
    </row>
    <row r="144" spans="1:4" x14ac:dyDescent="0.2">
      <c r="A144" s="30" t="s">
        <v>6</v>
      </c>
      <c r="B144" s="69" t="s">
        <v>17</v>
      </c>
      <c r="C144" s="69"/>
      <c r="D144" s="22">
        <f>D70</f>
        <v>1897.2407999999998</v>
      </c>
    </row>
    <row r="145" spans="1:4" x14ac:dyDescent="0.2">
      <c r="A145" s="30" t="s">
        <v>8</v>
      </c>
      <c r="B145" s="69" t="s">
        <v>45</v>
      </c>
      <c r="C145" s="69"/>
      <c r="D145" s="22">
        <f>D82</f>
        <v>0</v>
      </c>
    </row>
    <row r="146" spans="1:4" x14ac:dyDescent="0.2">
      <c r="A146" s="30" t="s">
        <v>10</v>
      </c>
      <c r="B146" s="69" t="s">
        <v>50</v>
      </c>
      <c r="C146" s="69"/>
      <c r="D146" s="22">
        <f>D112</f>
        <v>19.93</v>
      </c>
    </row>
    <row r="147" spans="1:4" x14ac:dyDescent="0.2">
      <c r="A147" s="30" t="s">
        <v>12</v>
      </c>
      <c r="B147" s="69" t="s">
        <v>55</v>
      </c>
      <c r="C147" s="69"/>
      <c r="D147" s="22">
        <f>D122</f>
        <v>188.76</v>
      </c>
    </row>
    <row r="148" spans="1:4" x14ac:dyDescent="0.2">
      <c r="A148" s="70" t="s">
        <v>94</v>
      </c>
      <c r="B148" s="70"/>
      <c r="C148" s="70"/>
      <c r="D148" s="23">
        <f>SUM(D143:D147)</f>
        <v>3832.7507999999998</v>
      </c>
    </row>
    <row r="149" spans="1:4" x14ac:dyDescent="0.2">
      <c r="A149" s="30" t="s">
        <v>32</v>
      </c>
      <c r="B149" s="69" t="s">
        <v>70</v>
      </c>
      <c r="C149" s="69"/>
      <c r="D149" s="24">
        <f>D137</f>
        <v>575.22729576354675</v>
      </c>
    </row>
    <row r="150" spans="1:4" x14ac:dyDescent="0.2">
      <c r="A150" s="70" t="s">
        <v>71</v>
      </c>
      <c r="B150" s="70"/>
      <c r="C150" s="70"/>
      <c r="D150" s="23">
        <f>ROUND(SUM(D148:D149),2)</f>
        <v>4407.9799999999996</v>
      </c>
    </row>
  </sheetData>
  <mergeCells count="71">
    <mergeCell ref="C10:D10"/>
    <mergeCell ref="A1:D1"/>
    <mergeCell ref="A3:D3"/>
    <mergeCell ref="A5:B5"/>
    <mergeCell ref="A6:B6"/>
    <mergeCell ref="A8:D8"/>
    <mergeCell ref="B24:C24"/>
    <mergeCell ref="C11:D11"/>
    <mergeCell ref="C12:D12"/>
    <mergeCell ref="C13:D13"/>
    <mergeCell ref="C14:D14"/>
    <mergeCell ref="A16:D16"/>
    <mergeCell ref="B18:C18"/>
    <mergeCell ref="B19:C19"/>
    <mergeCell ref="B20:C20"/>
    <mergeCell ref="B21:C21"/>
    <mergeCell ref="B22:C22"/>
    <mergeCell ref="B23:C23"/>
    <mergeCell ref="B57:C57"/>
    <mergeCell ref="B25:C25"/>
    <mergeCell ref="A26:C26"/>
    <mergeCell ref="A29:D29"/>
    <mergeCell ref="A31:D31"/>
    <mergeCell ref="B33:C33"/>
    <mergeCell ref="A36:B36"/>
    <mergeCell ref="A39:D39"/>
    <mergeCell ref="A50:B50"/>
    <mergeCell ref="A53:D53"/>
    <mergeCell ref="B55:C55"/>
    <mergeCell ref="B56:C56"/>
    <mergeCell ref="B75:C75"/>
    <mergeCell ref="B58:C58"/>
    <mergeCell ref="B59:C59"/>
    <mergeCell ref="B60:C60"/>
    <mergeCell ref="A61:C61"/>
    <mergeCell ref="A64:D64"/>
    <mergeCell ref="B66:C66"/>
    <mergeCell ref="B67:C67"/>
    <mergeCell ref="B68:C68"/>
    <mergeCell ref="B69:C69"/>
    <mergeCell ref="A70:C70"/>
    <mergeCell ref="A73:D73"/>
    <mergeCell ref="B110:C110"/>
    <mergeCell ref="A82:C82"/>
    <mergeCell ref="A85:D85"/>
    <mergeCell ref="A88:D88"/>
    <mergeCell ref="B90:C90"/>
    <mergeCell ref="A97:C97"/>
    <mergeCell ref="A100:D100"/>
    <mergeCell ref="B102:C102"/>
    <mergeCell ref="B103:C103"/>
    <mergeCell ref="A104:C104"/>
    <mergeCell ref="A107:D107"/>
    <mergeCell ref="B109:C109"/>
    <mergeCell ref="B145:C145"/>
    <mergeCell ref="B111:C111"/>
    <mergeCell ref="A112:C112"/>
    <mergeCell ref="A115:D115"/>
    <mergeCell ref="B117:C117"/>
    <mergeCell ref="A122:C122"/>
    <mergeCell ref="A125:D125"/>
    <mergeCell ref="A137:B137"/>
    <mergeCell ref="A140:D140"/>
    <mergeCell ref="B142:C142"/>
    <mergeCell ref="B143:C143"/>
    <mergeCell ref="B144:C144"/>
    <mergeCell ref="B146:C146"/>
    <mergeCell ref="B147:C147"/>
    <mergeCell ref="A148:C148"/>
    <mergeCell ref="B149:C149"/>
    <mergeCell ref="A150:C150"/>
  </mergeCells>
  <pageMargins left="0.51181102362204722" right="0.51181102362204722" top="0.98425196850393704" bottom="0.78740157480314965" header="0.31496062992125984" footer="0.31496062992125984"/>
  <pageSetup paperSize="9" scale="84" fitToHeight="0" orientation="portrait" r:id="rId1"/>
  <headerFooter>
    <oddHeader>&amp;C&amp;G</oddHeader>
    <oddFooter>&amp;L&amp;"-,Negrito"Documento elaborado em &amp;D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7"/>
  <sheetViews>
    <sheetView tabSelected="1" view="pageBreakPreview" zoomScaleNormal="100" zoomScaleSheetLayoutView="100" workbookViewId="0">
      <selection activeCell="E41" sqref="E41"/>
    </sheetView>
  </sheetViews>
  <sheetFormatPr defaultRowHeight="12.75" x14ac:dyDescent="0.2"/>
  <cols>
    <col min="1" max="1" width="15.7109375" style="1" customWidth="1"/>
    <col min="2" max="16384" width="9.140625" style="1"/>
  </cols>
  <sheetData>
    <row r="1" spans="1:19" x14ac:dyDescent="0.2">
      <c r="A1" s="53" t="s">
        <v>125</v>
      </c>
    </row>
    <row r="2" spans="1:19" x14ac:dyDescent="0.2">
      <c r="A2" s="1" t="s">
        <v>127</v>
      </c>
    </row>
    <row r="3" spans="1:19" x14ac:dyDescent="0.2">
      <c r="A3" s="1" t="s">
        <v>137</v>
      </c>
    </row>
    <row r="4" spans="1:19" x14ac:dyDescent="0.2">
      <c r="A4" s="1" t="s">
        <v>138</v>
      </c>
    </row>
    <row r="5" spans="1:19" x14ac:dyDescent="0.2">
      <c r="A5" s="1" t="s">
        <v>139</v>
      </c>
    </row>
    <row r="6" spans="1:19" x14ac:dyDescent="0.2">
      <c r="A6" s="1" t="s">
        <v>141</v>
      </c>
    </row>
    <row r="7" spans="1:19" x14ac:dyDescent="0.2">
      <c r="A7" s="1" t="s">
        <v>142</v>
      </c>
    </row>
    <row r="8" spans="1:19" x14ac:dyDescent="0.2">
      <c r="A8" s="1" t="s">
        <v>143</v>
      </c>
    </row>
    <row r="9" spans="1:19" x14ac:dyDescent="0.2">
      <c r="A9" s="1" t="s">
        <v>144</v>
      </c>
    </row>
    <row r="10" spans="1:19" x14ac:dyDescent="0.2">
      <c r="A10" s="1" t="s">
        <v>145</v>
      </c>
    </row>
    <row r="11" spans="1:19" x14ac:dyDescent="0.2">
      <c r="A11" s="1" t="s">
        <v>146</v>
      </c>
    </row>
    <row r="12" spans="1:19" x14ac:dyDescent="0.2">
      <c r="A12" s="1" t="s">
        <v>147</v>
      </c>
    </row>
    <row r="14" spans="1:19" x14ac:dyDescent="0.2">
      <c r="A14" s="1" t="s">
        <v>157</v>
      </c>
    </row>
    <row r="15" spans="1:19" s="35" customFormat="1" ht="24.95" customHeight="1" x14ac:dyDescent="0.25">
      <c r="A15" s="36" t="s">
        <v>126</v>
      </c>
      <c r="B15" s="90" t="str">
        <f>auxtecop!A6</f>
        <v>Auxiliar Técnico Operacional</v>
      </c>
      <c r="C15" s="91"/>
      <c r="D15" s="90" t="str">
        <f>coordadm!A6</f>
        <v>Coordenador(a) Administrativo(a)</v>
      </c>
      <c r="E15" s="91"/>
      <c r="F15" s="90" t="str">
        <f>copeiro!A6</f>
        <v>Copeiro(a)</v>
      </c>
      <c r="G15" s="91"/>
      <c r="H15" s="90" t="str">
        <f>garcom!A6</f>
        <v>Garçom/garçonete</v>
      </c>
      <c r="I15" s="91"/>
      <c r="J15" s="90" t="str">
        <f>maitre!A6</f>
        <v>Maître</v>
      </c>
      <c r="K15" s="91"/>
      <c r="L15" s="90" t="str">
        <f>mensag!A6</f>
        <v>Mensageiro(a)</v>
      </c>
      <c r="M15" s="91"/>
      <c r="N15" s="90" t="str">
        <f>recep1!A6</f>
        <v>Recepcionista I</v>
      </c>
      <c r="O15" s="91"/>
      <c r="P15" s="90" t="str">
        <f>recep3!A6</f>
        <v>Recepcionista III</v>
      </c>
      <c r="Q15" s="91"/>
      <c r="R15" s="90" t="str">
        <f>recep4!A6</f>
        <v>Recepcionista IV</v>
      </c>
      <c r="S15" s="91"/>
    </row>
    <row r="16" spans="1:19" x14ac:dyDescent="0.2">
      <c r="A16" s="37" t="s">
        <v>128</v>
      </c>
      <c r="B16" s="43"/>
      <c r="C16" s="44">
        <f>auxtecop!D26</f>
        <v>2330.61</v>
      </c>
      <c r="D16" s="43"/>
      <c r="E16" s="44">
        <f>coordadm!D26</f>
        <v>2209.06</v>
      </c>
      <c r="F16" s="43"/>
      <c r="G16" s="44">
        <f>copeiro!D26</f>
        <v>1537.83</v>
      </c>
      <c r="H16" s="43"/>
      <c r="I16" s="44">
        <f>garcom!D26</f>
        <v>1798.06</v>
      </c>
      <c r="J16" s="43"/>
      <c r="K16" s="44">
        <f>maitre!D26</f>
        <v>2592.29</v>
      </c>
      <c r="L16" s="43"/>
      <c r="M16" s="44">
        <f>mensag!D26</f>
        <v>1593.19</v>
      </c>
      <c r="N16" s="43"/>
      <c r="O16" s="44">
        <f>recep1!D26</f>
        <v>1544.58</v>
      </c>
      <c r="P16" s="43"/>
      <c r="Q16" s="44">
        <f>recep3!D26</f>
        <v>1726.82</v>
      </c>
      <c r="R16" s="43"/>
      <c r="S16" s="44">
        <f>recep4!D26</f>
        <v>1988.81</v>
      </c>
    </row>
    <row r="17" spans="1:19" x14ac:dyDescent="0.2">
      <c r="A17" s="37" t="s">
        <v>140</v>
      </c>
      <c r="B17" s="43">
        <v>200</v>
      </c>
      <c r="C17" s="44">
        <f>ROUND(C16/B17,2)</f>
        <v>11.65</v>
      </c>
      <c r="D17" s="43">
        <v>200</v>
      </c>
      <c r="E17" s="44">
        <f>ROUND(E16/D17,2)</f>
        <v>11.05</v>
      </c>
      <c r="F17" s="43">
        <v>200</v>
      </c>
      <c r="G17" s="44">
        <f>ROUND(G16/F17,2)</f>
        <v>7.69</v>
      </c>
      <c r="H17" s="43">
        <v>200</v>
      </c>
      <c r="I17" s="44">
        <f>ROUND(I16/H17,2)</f>
        <v>8.99</v>
      </c>
      <c r="J17" s="43">
        <v>200</v>
      </c>
      <c r="K17" s="44">
        <f>ROUND(K16/J17,2)</f>
        <v>12.96</v>
      </c>
      <c r="L17" s="43">
        <v>200</v>
      </c>
      <c r="M17" s="44">
        <f>ROUND(M16/L17,2)</f>
        <v>7.97</v>
      </c>
      <c r="N17" s="43">
        <v>200</v>
      </c>
      <c r="O17" s="44">
        <f>ROUND(O16/N17,2)</f>
        <v>7.72</v>
      </c>
      <c r="P17" s="43">
        <v>200</v>
      </c>
      <c r="Q17" s="44">
        <f>ROUND(Q16/P17,2)</f>
        <v>8.6300000000000008</v>
      </c>
      <c r="R17" s="43">
        <v>200</v>
      </c>
      <c r="S17" s="44">
        <f>ROUND(S16/R17,2)</f>
        <v>9.94</v>
      </c>
    </row>
    <row r="18" spans="1:19" x14ac:dyDescent="0.2">
      <c r="A18" s="37" t="s">
        <v>129</v>
      </c>
      <c r="B18" s="45">
        <f>auxtecop!C36</f>
        <v>0.19440000000000002</v>
      </c>
      <c r="C18" s="44">
        <f>ROUND(C17*B18,2)</f>
        <v>2.2599999999999998</v>
      </c>
      <c r="D18" s="45">
        <f>coordadm!C36</f>
        <v>0.19440000000000002</v>
      </c>
      <c r="E18" s="44">
        <f>ROUND(E17*D18,2)</f>
        <v>2.15</v>
      </c>
      <c r="F18" s="45">
        <f>copeiro!C36</f>
        <v>0.19440000000000002</v>
      </c>
      <c r="G18" s="44">
        <f>ROUND(G17*F18,2)</f>
        <v>1.49</v>
      </c>
      <c r="H18" s="45">
        <f>garcom!C36</f>
        <v>0.19440000000000002</v>
      </c>
      <c r="I18" s="44">
        <f>ROUND(I17*H18,2)</f>
        <v>1.75</v>
      </c>
      <c r="J18" s="45">
        <f>maitre!C36</f>
        <v>0.19440000000000002</v>
      </c>
      <c r="K18" s="44">
        <f>ROUND(K17*J18,2)</f>
        <v>2.52</v>
      </c>
      <c r="L18" s="45">
        <f>mensag!C36</f>
        <v>0.19440000000000002</v>
      </c>
      <c r="M18" s="44">
        <f>ROUND(M17*L18,2)</f>
        <v>1.55</v>
      </c>
      <c r="N18" s="45">
        <f>recep1!C36</f>
        <v>0.19440000000000002</v>
      </c>
      <c r="O18" s="44">
        <f>ROUND(O17*N18,2)</f>
        <v>1.5</v>
      </c>
      <c r="P18" s="45">
        <f>recep3!C36</f>
        <v>0.19440000000000002</v>
      </c>
      <c r="Q18" s="44">
        <f>ROUND(Q17*P18,2)</f>
        <v>1.68</v>
      </c>
      <c r="R18" s="45">
        <f>recep4!C36</f>
        <v>0.19440000000000002</v>
      </c>
      <c r="S18" s="44">
        <f>ROUND(S17*R18,2)</f>
        <v>1.93</v>
      </c>
    </row>
    <row r="19" spans="1:19" x14ac:dyDescent="0.2">
      <c r="A19" s="37" t="s">
        <v>130</v>
      </c>
      <c r="B19" s="43"/>
      <c r="C19" s="44">
        <f>SUM(C17:C18)</f>
        <v>13.91</v>
      </c>
      <c r="D19" s="43"/>
      <c r="E19" s="44">
        <f>SUM(E17:E18)</f>
        <v>13.200000000000001</v>
      </c>
      <c r="F19" s="43"/>
      <c r="G19" s="44">
        <f>SUM(G17:G18)</f>
        <v>9.18</v>
      </c>
      <c r="H19" s="43"/>
      <c r="I19" s="44">
        <f>SUM(I17:I18)</f>
        <v>10.74</v>
      </c>
      <c r="J19" s="43"/>
      <c r="K19" s="44">
        <f>SUM(K17:K18)</f>
        <v>15.48</v>
      </c>
      <c r="L19" s="43"/>
      <c r="M19" s="44">
        <f>SUM(M17:M18)</f>
        <v>9.52</v>
      </c>
      <c r="N19" s="43"/>
      <c r="O19" s="44">
        <f>SUM(O17:O18)</f>
        <v>9.2199999999999989</v>
      </c>
      <c r="P19" s="43"/>
      <c r="Q19" s="44">
        <f>SUM(Q17:Q18)</f>
        <v>10.31</v>
      </c>
      <c r="R19" s="43"/>
      <c r="S19" s="44">
        <f>SUM(S17:S18)</f>
        <v>11.87</v>
      </c>
    </row>
    <row r="20" spans="1:19" x14ac:dyDescent="0.2">
      <c r="A20" s="37" t="s">
        <v>131</v>
      </c>
      <c r="B20" s="45">
        <f>auxtecop!C50</f>
        <v>0.36800000000000005</v>
      </c>
      <c r="C20" s="44">
        <f>ROUND(C19*B20,2)</f>
        <v>5.12</v>
      </c>
      <c r="D20" s="45">
        <f>coordadm!C50</f>
        <v>0.36800000000000005</v>
      </c>
      <c r="E20" s="44">
        <f>ROUND(E19*D20,2)</f>
        <v>4.8600000000000003</v>
      </c>
      <c r="F20" s="45">
        <f>copeiro!C50</f>
        <v>0.36800000000000005</v>
      </c>
      <c r="G20" s="44">
        <f>ROUND(G19*F20,2)</f>
        <v>3.38</v>
      </c>
      <c r="H20" s="45">
        <f>garcom!C50</f>
        <v>0.36800000000000005</v>
      </c>
      <c r="I20" s="44">
        <f>ROUND(I19*H20,2)</f>
        <v>3.95</v>
      </c>
      <c r="J20" s="45">
        <f>maitre!C50</f>
        <v>0.36800000000000005</v>
      </c>
      <c r="K20" s="44">
        <f>ROUND(K19*J20,2)</f>
        <v>5.7</v>
      </c>
      <c r="L20" s="45">
        <f>mensag!C50</f>
        <v>0.36800000000000005</v>
      </c>
      <c r="M20" s="44">
        <f>ROUND(M19*L20,2)</f>
        <v>3.5</v>
      </c>
      <c r="N20" s="45">
        <f>recep1!C50</f>
        <v>0.36800000000000005</v>
      </c>
      <c r="O20" s="44">
        <f>ROUND(O19*N20,2)</f>
        <v>3.39</v>
      </c>
      <c r="P20" s="45">
        <f>recep3!C50</f>
        <v>0.36800000000000005</v>
      </c>
      <c r="Q20" s="44">
        <f>ROUND(Q19*P20,2)</f>
        <v>3.79</v>
      </c>
      <c r="R20" s="45">
        <f>recep4!C50</f>
        <v>0.36800000000000005</v>
      </c>
      <c r="S20" s="44">
        <f>ROUND(S19*R20,2)</f>
        <v>4.37</v>
      </c>
    </row>
    <row r="21" spans="1:19" x14ac:dyDescent="0.2">
      <c r="A21" s="37" t="s">
        <v>132</v>
      </c>
      <c r="B21" s="43"/>
      <c r="C21" s="44">
        <f>SUM(C19:C20)</f>
        <v>19.03</v>
      </c>
      <c r="D21" s="43"/>
      <c r="E21" s="44">
        <f>SUM(E19:E20)</f>
        <v>18.060000000000002</v>
      </c>
      <c r="F21" s="43"/>
      <c r="G21" s="44">
        <f>SUM(G19:G20)</f>
        <v>12.559999999999999</v>
      </c>
      <c r="H21" s="43"/>
      <c r="I21" s="44">
        <f>SUM(I19:I20)</f>
        <v>14.690000000000001</v>
      </c>
      <c r="J21" s="43"/>
      <c r="K21" s="44">
        <f>SUM(K19:K20)</f>
        <v>21.18</v>
      </c>
      <c r="L21" s="43"/>
      <c r="M21" s="44">
        <f>SUM(M19:M20)</f>
        <v>13.02</v>
      </c>
      <c r="N21" s="43"/>
      <c r="O21" s="44">
        <f>SUM(O19:O20)</f>
        <v>12.61</v>
      </c>
      <c r="P21" s="43"/>
      <c r="Q21" s="44">
        <f>SUM(Q19:Q20)</f>
        <v>14.100000000000001</v>
      </c>
      <c r="R21" s="43"/>
      <c r="S21" s="44">
        <f>SUM(S19:S20)</f>
        <v>16.239999999999998</v>
      </c>
    </row>
    <row r="22" spans="1:19" x14ac:dyDescent="0.2">
      <c r="A22" s="37" t="s">
        <v>133</v>
      </c>
      <c r="B22" s="45">
        <f>auxtecop!C137</f>
        <v>0.15008210180623971</v>
      </c>
      <c r="C22" s="44">
        <f>ROUND(C21*B22,2)</f>
        <v>2.86</v>
      </c>
      <c r="D22" s="45">
        <f>coordadm!C137</f>
        <v>0.15008210180623971</v>
      </c>
      <c r="E22" s="44">
        <f>ROUND(E21*D22,2)</f>
        <v>2.71</v>
      </c>
      <c r="F22" s="45">
        <f>copeiro!C137</f>
        <v>0.15008210180623971</v>
      </c>
      <c r="G22" s="44">
        <f>ROUND(G21*F22,2)</f>
        <v>1.89</v>
      </c>
      <c r="H22" s="45">
        <f>garcom!C137</f>
        <v>0.15008210180623971</v>
      </c>
      <c r="I22" s="44">
        <f>ROUND(I21*H22,2)</f>
        <v>2.2000000000000002</v>
      </c>
      <c r="J22" s="45">
        <f>maitre!C137</f>
        <v>0.15008210180623971</v>
      </c>
      <c r="K22" s="44">
        <f>ROUND(K21*J22,2)</f>
        <v>3.18</v>
      </c>
      <c r="L22" s="45">
        <f>mensag!C137</f>
        <v>0.15008210180623971</v>
      </c>
      <c r="M22" s="44">
        <f>ROUND(M21*L22,2)</f>
        <v>1.95</v>
      </c>
      <c r="N22" s="45">
        <f>recep1!C137</f>
        <v>0.15008210180623971</v>
      </c>
      <c r="O22" s="44">
        <f>ROUND(O21*N22,2)</f>
        <v>1.89</v>
      </c>
      <c r="P22" s="45">
        <f>recep3!C137</f>
        <v>0.15008210180623971</v>
      </c>
      <c r="Q22" s="44">
        <f>ROUND(Q21*P22,2)</f>
        <v>2.12</v>
      </c>
      <c r="R22" s="45">
        <f>recep4!C137</f>
        <v>0.15008210180623971</v>
      </c>
      <c r="S22" s="44">
        <f>ROUND(S21*R22,2)</f>
        <v>2.44</v>
      </c>
    </row>
    <row r="23" spans="1:19" x14ac:dyDescent="0.2">
      <c r="A23" s="37" t="s">
        <v>134</v>
      </c>
      <c r="B23" s="43"/>
      <c r="C23" s="44">
        <f>SUM(C21:C22)</f>
        <v>21.89</v>
      </c>
      <c r="D23" s="43"/>
      <c r="E23" s="44">
        <f>SUM(E21:E22)</f>
        <v>20.770000000000003</v>
      </c>
      <c r="F23" s="43"/>
      <c r="G23" s="44">
        <f>SUM(G21:G22)</f>
        <v>14.45</v>
      </c>
      <c r="H23" s="43"/>
      <c r="I23" s="44">
        <f>SUM(I21:I22)</f>
        <v>16.89</v>
      </c>
      <c r="J23" s="43"/>
      <c r="K23" s="44">
        <f>SUM(K21:K22)</f>
        <v>24.36</v>
      </c>
      <c r="L23" s="43"/>
      <c r="M23" s="44">
        <f>SUM(M21:M22)</f>
        <v>14.969999999999999</v>
      </c>
      <c r="N23" s="43"/>
      <c r="O23" s="44">
        <f>SUM(O21:O22)</f>
        <v>14.5</v>
      </c>
      <c r="P23" s="43"/>
      <c r="Q23" s="44">
        <f>SUM(Q21:Q22)</f>
        <v>16.220000000000002</v>
      </c>
      <c r="R23" s="43"/>
      <c r="S23" s="44">
        <f>SUM(S21:S22)</f>
        <v>18.68</v>
      </c>
    </row>
    <row r="24" spans="1:19" x14ac:dyDescent="0.2">
      <c r="A24" s="37" t="s">
        <v>135</v>
      </c>
      <c r="B24" s="46">
        <v>0.5</v>
      </c>
      <c r="C24" s="44">
        <f>ROUND(C23*(1+B24),2)</f>
        <v>32.840000000000003</v>
      </c>
      <c r="D24" s="46">
        <v>0.5</v>
      </c>
      <c r="E24" s="44">
        <f>ROUND(E23*(1+D24),2)</f>
        <v>31.16</v>
      </c>
      <c r="F24" s="46">
        <v>0.5</v>
      </c>
      <c r="G24" s="44">
        <f>ROUND(G23*(1+F24),2)</f>
        <v>21.68</v>
      </c>
      <c r="H24" s="46">
        <v>0.5</v>
      </c>
      <c r="I24" s="44">
        <f>ROUND(I23*(1+H24),2)</f>
        <v>25.34</v>
      </c>
      <c r="J24" s="46">
        <v>0.5</v>
      </c>
      <c r="K24" s="44">
        <f>ROUND(K23*(1+J24),2)</f>
        <v>36.54</v>
      </c>
      <c r="L24" s="46">
        <v>0.5</v>
      </c>
      <c r="M24" s="44">
        <f>ROUND(M23*(1+L24),2)</f>
        <v>22.46</v>
      </c>
      <c r="N24" s="46">
        <v>0.5</v>
      </c>
      <c r="O24" s="44">
        <f>ROUND(O23*(1+N24),2)</f>
        <v>21.75</v>
      </c>
      <c r="P24" s="46">
        <v>0.5</v>
      </c>
      <c r="Q24" s="44">
        <f>ROUND(Q23*(1+P24),2)</f>
        <v>24.33</v>
      </c>
      <c r="R24" s="46">
        <v>0.5</v>
      </c>
      <c r="S24" s="44">
        <f>ROUND(S23*(1+R24),2)</f>
        <v>28.02</v>
      </c>
    </row>
    <row r="25" spans="1:19" x14ac:dyDescent="0.2">
      <c r="A25" s="37" t="s">
        <v>136</v>
      </c>
      <c r="B25" s="46">
        <v>1</v>
      </c>
      <c r="C25" s="44">
        <f>ROUND(C23*(1+B25),2)</f>
        <v>43.78</v>
      </c>
      <c r="D25" s="46">
        <v>1</v>
      </c>
      <c r="E25" s="44">
        <f>ROUND(E23*(1+D25),2)</f>
        <v>41.54</v>
      </c>
      <c r="F25" s="46">
        <v>1</v>
      </c>
      <c r="G25" s="44">
        <f>ROUND(G23*(1+F25),2)</f>
        <v>28.9</v>
      </c>
      <c r="H25" s="46">
        <v>1</v>
      </c>
      <c r="I25" s="44">
        <f>ROUND(I23*(1+H25),2)</f>
        <v>33.78</v>
      </c>
      <c r="J25" s="46">
        <v>1</v>
      </c>
      <c r="K25" s="44">
        <f>ROUND(K23*(1+J25),2)</f>
        <v>48.72</v>
      </c>
      <c r="L25" s="46">
        <v>1</v>
      </c>
      <c r="M25" s="44">
        <f>ROUND(M23*(1+L25),2)</f>
        <v>29.94</v>
      </c>
      <c r="N25" s="46">
        <v>1</v>
      </c>
      <c r="O25" s="44">
        <f>ROUND(O23*(1+N25),2)</f>
        <v>29</v>
      </c>
      <c r="P25" s="46">
        <v>1</v>
      </c>
      <c r="Q25" s="44">
        <f>ROUND(Q23*(1+P25),2)</f>
        <v>32.44</v>
      </c>
      <c r="R25" s="46">
        <v>1</v>
      </c>
      <c r="S25" s="44">
        <f>ROUND(S23*(1+R25),2)</f>
        <v>37.36</v>
      </c>
    </row>
    <row r="26" spans="1:19" x14ac:dyDescent="0.2">
      <c r="A26" s="1" t="s">
        <v>148</v>
      </c>
      <c r="B26" s="34"/>
      <c r="C26" s="17"/>
      <c r="D26" s="34"/>
      <c r="E26" s="17"/>
      <c r="F26" s="34"/>
      <c r="G26" s="17"/>
      <c r="H26" s="34"/>
      <c r="I26" s="17"/>
      <c r="J26" s="34"/>
      <c r="K26" s="17"/>
      <c r="L26" s="34"/>
      <c r="M26" s="17"/>
      <c r="N26" s="34"/>
      <c r="O26" s="17"/>
      <c r="P26" s="34"/>
      <c r="Q26" s="17"/>
      <c r="R26" s="34"/>
      <c r="S26" s="17"/>
    </row>
    <row r="27" spans="1:19" ht="24.75" customHeight="1" x14ac:dyDescent="0.2">
      <c r="A27" s="47" t="s">
        <v>126</v>
      </c>
      <c r="B27" s="90" t="str">
        <f>B15</f>
        <v>Auxiliar Técnico Operacional</v>
      </c>
      <c r="C27" s="91"/>
      <c r="D27" s="90" t="str">
        <f t="shared" ref="D27" si="0">D15</f>
        <v>Coordenador(a) Administrativo(a)</v>
      </c>
      <c r="E27" s="91"/>
      <c r="F27" s="90" t="str">
        <f t="shared" ref="F27" si="1">F15</f>
        <v>Copeiro(a)</v>
      </c>
      <c r="G27" s="91"/>
      <c r="H27" s="90" t="str">
        <f t="shared" ref="H27" si="2">H15</f>
        <v>Garçom/garçonete</v>
      </c>
      <c r="I27" s="91"/>
      <c r="J27" s="90" t="str">
        <f t="shared" ref="J27" si="3">J15</f>
        <v>Maître</v>
      </c>
      <c r="K27" s="91"/>
      <c r="L27" s="90" t="str">
        <f t="shared" ref="L27" si="4">L15</f>
        <v>Mensageiro(a)</v>
      </c>
      <c r="M27" s="91"/>
      <c r="N27" s="90" t="str">
        <f t="shared" ref="N27" si="5">N15</f>
        <v>Recepcionista I</v>
      </c>
      <c r="O27" s="91"/>
      <c r="P27" s="90" t="str">
        <f t="shared" ref="P27" si="6">P15</f>
        <v>Recepcionista III</v>
      </c>
      <c r="Q27" s="91"/>
      <c r="R27" s="90" t="str">
        <f t="shared" ref="R27" si="7">R15</f>
        <v>Recepcionista IV</v>
      </c>
      <c r="S27" s="91"/>
    </row>
    <row r="28" spans="1:19" x14ac:dyDescent="0.2">
      <c r="A28" s="43" t="s">
        <v>149</v>
      </c>
      <c r="B28" s="43">
        <v>10</v>
      </c>
      <c r="C28" s="44">
        <f>B28*C24</f>
        <v>328.40000000000003</v>
      </c>
      <c r="D28" s="43">
        <v>10</v>
      </c>
      <c r="E28" s="44">
        <f>D28*E24</f>
        <v>311.60000000000002</v>
      </c>
      <c r="F28" s="43">
        <v>20</v>
      </c>
      <c r="G28" s="44">
        <f>F28*G24</f>
        <v>433.6</v>
      </c>
      <c r="H28" s="43">
        <v>10</v>
      </c>
      <c r="I28" s="44">
        <f>H28*I24</f>
        <v>253.4</v>
      </c>
      <c r="J28" s="43">
        <v>10</v>
      </c>
      <c r="K28" s="44">
        <f>J28*K24</f>
        <v>365.4</v>
      </c>
      <c r="L28" s="43">
        <v>4</v>
      </c>
      <c r="M28" s="44">
        <f>L28*M24</f>
        <v>89.84</v>
      </c>
      <c r="N28" s="43">
        <v>10</v>
      </c>
      <c r="O28" s="44">
        <f>N28*O24</f>
        <v>217.5</v>
      </c>
      <c r="P28" s="43">
        <v>10</v>
      </c>
      <c r="Q28" s="44">
        <f>P28*Q24</f>
        <v>243.29999999999998</v>
      </c>
      <c r="R28" s="43">
        <v>10</v>
      </c>
      <c r="S28" s="44">
        <f>R28*S24</f>
        <v>280.2</v>
      </c>
    </row>
    <row r="29" spans="1:19" x14ac:dyDescent="0.2">
      <c r="A29" s="43" t="s">
        <v>150</v>
      </c>
      <c r="B29" s="43">
        <v>6</v>
      </c>
      <c r="C29" s="44">
        <f>B29*C24</f>
        <v>197.04000000000002</v>
      </c>
      <c r="D29" s="43">
        <v>6</v>
      </c>
      <c r="E29" s="44">
        <f>D29*E24</f>
        <v>186.96</v>
      </c>
      <c r="F29" s="43">
        <v>6</v>
      </c>
      <c r="G29" s="44">
        <f>F29*G24</f>
        <v>130.07999999999998</v>
      </c>
      <c r="H29" s="43">
        <v>6</v>
      </c>
      <c r="I29" s="44">
        <f>H29*I24</f>
        <v>152.04</v>
      </c>
      <c r="J29" s="43">
        <v>6</v>
      </c>
      <c r="K29" s="44">
        <f>J29*K24</f>
        <v>219.24</v>
      </c>
      <c r="L29" s="43">
        <v>6</v>
      </c>
      <c r="M29" s="44">
        <f>L29*M24</f>
        <v>134.76</v>
      </c>
      <c r="N29" s="43">
        <v>6</v>
      </c>
      <c r="O29" s="44">
        <f>N29*O24</f>
        <v>130.5</v>
      </c>
      <c r="P29" s="43">
        <v>6</v>
      </c>
      <c r="Q29" s="44">
        <f>P29*Q24</f>
        <v>145.97999999999999</v>
      </c>
      <c r="R29" s="43">
        <v>6</v>
      </c>
      <c r="S29" s="44">
        <f>R29*S24</f>
        <v>168.12</v>
      </c>
    </row>
    <row r="30" spans="1:19" x14ac:dyDescent="0.2">
      <c r="A30" s="43" t="s">
        <v>151</v>
      </c>
      <c r="B30" s="43">
        <v>4</v>
      </c>
      <c r="C30" s="44">
        <f>B30*C25</f>
        <v>175.12</v>
      </c>
      <c r="D30" s="43">
        <v>4</v>
      </c>
      <c r="E30" s="44">
        <f>D30*E25</f>
        <v>166.16</v>
      </c>
      <c r="F30" s="43">
        <v>4</v>
      </c>
      <c r="G30" s="44">
        <f>F30*G25</f>
        <v>115.6</v>
      </c>
      <c r="H30" s="43">
        <v>2</v>
      </c>
      <c r="I30" s="44">
        <f>H30*I25</f>
        <v>67.56</v>
      </c>
      <c r="J30" s="43">
        <v>4</v>
      </c>
      <c r="K30" s="44">
        <f>J30*K25</f>
        <v>194.88</v>
      </c>
      <c r="L30" s="43">
        <v>2</v>
      </c>
      <c r="M30" s="44">
        <f>L30*M25</f>
        <v>59.88</v>
      </c>
      <c r="N30" s="43">
        <v>2</v>
      </c>
      <c r="O30" s="44">
        <f>N30*O25</f>
        <v>58</v>
      </c>
      <c r="P30" s="43">
        <v>4</v>
      </c>
      <c r="Q30" s="44">
        <f>P30*Q25</f>
        <v>129.76</v>
      </c>
      <c r="R30" s="43">
        <v>4</v>
      </c>
      <c r="S30" s="44">
        <f>R30*S25</f>
        <v>149.44</v>
      </c>
    </row>
    <row r="31" spans="1:19" x14ac:dyDescent="0.2">
      <c r="A31" s="43" t="s">
        <v>155</v>
      </c>
      <c r="B31" s="43"/>
      <c r="C31" s="44">
        <f>SUM(C28:C30)</f>
        <v>700.56000000000006</v>
      </c>
      <c r="D31" s="43"/>
      <c r="E31" s="44">
        <f t="shared" ref="E31" si="8">SUM(E28:E30)</f>
        <v>664.72</v>
      </c>
      <c r="F31" s="43"/>
      <c r="G31" s="44">
        <f t="shared" ref="G31" si="9">SUM(G28:G30)</f>
        <v>679.28000000000009</v>
      </c>
      <c r="H31" s="43"/>
      <c r="I31" s="44">
        <f t="shared" ref="I31" si="10">SUM(I28:I30)</f>
        <v>473</v>
      </c>
      <c r="J31" s="43"/>
      <c r="K31" s="44">
        <f t="shared" ref="K31" si="11">SUM(K28:K30)</f>
        <v>779.52</v>
      </c>
      <c r="L31" s="43"/>
      <c r="M31" s="44">
        <f t="shared" ref="M31" si="12">SUM(M28:M30)</f>
        <v>284.48</v>
      </c>
      <c r="N31" s="43"/>
      <c r="O31" s="44">
        <f t="shared" ref="O31" si="13">SUM(O28:O30)</f>
        <v>406</v>
      </c>
      <c r="P31" s="43"/>
      <c r="Q31" s="44">
        <f t="shared" ref="Q31" si="14">SUM(Q28:Q30)</f>
        <v>519.04</v>
      </c>
      <c r="R31" s="43"/>
      <c r="S31" s="44">
        <f t="shared" ref="S31" si="15">SUM(S28:S30)</f>
        <v>597.76</v>
      </c>
    </row>
    <row r="32" spans="1:19" x14ac:dyDescent="0.2">
      <c r="A32" s="1" t="s">
        <v>166</v>
      </c>
      <c r="B32" s="43"/>
      <c r="C32" s="48"/>
      <c r="D32" s="43"/>
      <c r="E32" s="48"/>
      <c r="F32" s="43"/>
      <c r="G32" s="48"/>
      <c r="H32" s="43"/>
      <c r="I32" s="48"/>
      <c r="J32" s="43"/>
      <c r="K32" s="48"/>
      <c r="L32" s="43"/>
      <c r="M32" s="48"/>
      <c r="N32" s="43"/>
      <c r="O32" s="48"/>
      <c r="P32" s="43"/>
      <c r="Q32" s="48"/>
      <c r="R32" s="43"/>
      <c r="S32" s="48"/>
    </row>
    <row r="33" spans="1:19" x14ac:dyDescent="0.2">
      <c r="A33" s="43" t="s">
        <v>152</v>
      </c>
      <c r="B33" s="43"/>
      <c r="C33" s="44">
        <v>5.6</v>
      </c>
      <c r="D33" s="43"/>
      <c r="E33" s="44">
        <v>5.6</v>
      </c>
      <c r="F33" s="43"/>
      <c r="G33" s="44">
        <v>5.6</v>
      </c>
      <c r="H33" s="43"/>
      <c r="I33" s="44">
        <v>5.6</v>
      </c>
      <c r="J33" s="43"/>
      <c r="K33" s="44">
        <v>5.6</v>
      </c>
      <c r="L33" s="43"/>
      <c r="M33" s="44">
        <v>5.6</v>
      </c>
      <c r="N33" s="43"/>
      <c r="O33" s="44">
        <v>5.6</v>
      </c>
      <c r="P33" s="43"/>
      <c r="Q33" s="44">
        <v>5.6</v>
      </c>
      <c r="R33" s="43"/>
      <c r="S33" s="44">
        <v>5.6</v>
      </c>
    </row>
    <row r="34" spans="1:19" x14ac:dyDescent="0.2">
      <c r="A34" s="43" t="s">
        <v>153</v>
      </c>
      <c r="B34" s="43">
        <v>2</v>
      </c>
      <c r="C34" s="44">
        <f>C33*B34</f>
        <v>11.2</v>
      </c>
      <c r="D34" s="43">
        <v>2</v>
      </c>
      <c r="E34" s="44">
        <f t="shared" ref="E34" si="16">E33*D34</f>
        <v>11.2</v>
      </c>
      <c r="F34" s="43">
        <v>2</v>
      </c>
      <c r="G34" s="44">
        <f t="shared" ref="G34" si="17">G33*F34</f>
        <v>11.2</v>
      </c>
      <c r="H34" s="43">
        <v>2</v>
      </c>
      <c r="I34" s="44">
        <f t="shared" ref="I34" si="18">I33*H34</f>
        <v>11.2</v>
      </c>
      <c r="J34" s="43">
        <v>2</v>
      </c>
      <c r="K34" s="44">
        <f t="shared" ref="K34" si="19">K33*J34</f>
        <v>11.2</v>
      </c>
      <c r="L34" s="43">
        <v>2</v>
      </c>
      <c r="M34" s="44">
        <f t="shared" ref="M34" si="20">M33*L34</f>
        <v>11.2</v>
      </c>
      <c r="N34" s="43">
        <v>2</v>
      </c>
      <c r="O34" s="44">
        <f t="shared" ref="O34" si="21">O33*N34</f>
        <v>11.2</v>
      </c>
      <c r="P34" s="43">
        <v>2</v>
      </c>
      <c r="Q34" s="44">
        <f t="shared" ref="Q34" si="22">Q33*P34</f>
        <v>11.2</v>
      </c>
      <c r="R34" s="43">
        <v>2</v>
      </c>
      <c r="S34" s="44">
        <f t="shared" ref="S34" si="23">S33*R34</f>
        <v>11.2</v>
      </c>
    </row>
    <row r="35" spans="1:19" x14ac:dyDescent="0.2">
      <c r="A35" s="43" t="s">
        <v>133</v>
      </c>
      <c r="B35" s="45">
        <f>B22</f>
        <v>0.15008210180623971</v>
      </c>
      <c r="C35" s="44">
        <f>ROUND(C34*B35,2)</f>
        <v>1.68</v>
      </c>
      <c r="D35" s="45">
        <f t="shared" ref="D35" si="24">D22</f>
        <v>0.15008210180623971</v>
      </c>
      <c r="E35" s="44">
        <f t="shared" ref="E35" si="25">ROUND(E34*D35,2)</f>
        <v>1.68</v>
      </c>
      <c r="F35" s="45">
        <f t="shared" ref="F35" si="26">F22</f>
        <v>0.15008210180623971</v>
      </c>
      <c r="G35" s="44">
        <f t="shared" ref="G35" si="27">ROUND(G34*F35,2)</f>
        <v>1.68</v>
      </c>
      <c r="H35" s="45">
        <f t="shared" ref="H35" si="28">H22</f>
        <v>0.15008210180623971</v>
      </c>
      <c r="I35" s="44">
        <f t="shared" ref="I35" si="29">ROUND(I34*H35,2)</f>
        <v>1.68</v>
      </c>
      <c r="J35" s="45">
        <f t="shared" ref="J35" si="30">J22</f>
        <v>0.15008210180623971</v>
      </c>
      <c r="K35" s="44">
        <f t="shared" ref="K35" si="31">ROUND(K34*J35,2)</f>
        <v>1.68</v>
      </c>
      <c r="L35" s="45">
        <f t="shared" ref="L35" si="32">L22</f>
        <v>0.15008210180623971</v>
      </c>
      <c r="M35" s="44">
        <f t="shared" ref="M35" si="33">ROUND(M34*L35,2)</f>
        <v>1.68</v>
      </c>
      <c r="N35" s="45">
        <f t="shared" ref="N35" si="34">N22</f>
        <v>0.15008210180623971</v>
      </c>
      <c r="O35" s="44">
        <f t="shared" ref="O35" si="35">ROUND(O34*N35,2)</f>
        <v>1.68</v>
      </c>
      <c r="P35" s="45">
        <f t="shared" ref="P35" si="36">P22</f>
        <v>0.15008210180623971</v>
      </c>
      <c r="Q35" s="44">
        <f t="shared" ref="Q35" si="37">ROUND(Q34*P35,2)</f>
        <v>1.68</v>
      </c>
      <c r="R35" s="45">
        <f t="shared" ref="R35" si="38">R22</f>
        <v>0.15008210180623971</v>
      </c>
      <c r="S35" s="44">
        <f t="shared" ref="S35" si="39">ROUND(S34*R35,2)</f>
        <v>1.68</v>
      </c>
    </row>
    <row r="36" spans="1:19" x14ac:dyDescent="0.2">
      <c r="A36" s="43" t="s">
        <v>154</v>
      </c>
      <c r="B36" s="43"/>
      <c r="C36" s="44">
        <f>SUM(C34:C35)</f>
        <v>12.879999999999999</v>
      </c>
      <c r="D36" s="43"/>
      <c r="E36" s="44">
        <f t="shared" ref="E36" si="40">SUM(E34:E35)</f>
        <v>12.879999999999999</v>
      </c>
      <c r="F36" s="43"/>
      <c r="G36" s="44">
        <f t="shared" ref="G36" si="41">SUM(G34:G35)</f>
        <v>12.879999999999999</v>
      </c>
      <c r="H36" s="43"/>
      <c r="I36" s="44">
        <f t="shared" ref="I36" si="42">SUM(I34:I35)</f>
        <v>12.879999999999999</v>
      </c>
      <c r="J36" s="43"/>
      <c r="K36" s="44">
        <f t="shared" ref="K36" si="43">SUM(K34:K35)</f>
        <v>12.879999999999999</v>
      </c>
      <c r="L36" s="43"/>
      <c r="M36" s="44">
        <f t="shared" ref="M36" si="44">SUM(M34:M35)</f>
        <v>12.879999999999999</v>
      </c>
      <c r="N36" s="43"/>
      <c r="O36" s="44">
        <f t="shared" ref="O36" si="45">SUM(O34:O35)</f>
        <v>12.879999999999999</v>
      </c>
      <c r="P36" s="43"/>
      <c r="Q36" s="44">
        <f t="shared" ref="Q36" si="46">SUM(Q34:Q35)</f>
        <v>12.879999999999999</v>
      </c>
      <c r="R36" s="43"/>
      <c r="S36" s="44">
        <f t="shared" ref="S36" si="47">SUM(S34:S35)</f>
        <v>12.879999999999999</v>
      </c>
    </row>
    <row r="37" spans="1:19" x14ac:dyDescent="0.2">
      <c r="A37" s="43" t="s">
        <v>150</v>
      </c>
      <c r="B37" s="43">
        <f>ROUNDUP(B29/8,0)</f>
        <v>1</v>
      </c>
      <c r="C37" s="44">
        <f>C36*B37</f>
        <v>12.879999999999999</v>
      </c>
      <c r="D37" s="43">
        <f t="shared" ref="D37" si="48">ROUNDUP(D29/8,0)</f>
        <v>1</v>
      </c>
      <c r="E37" s="44">
        <f t="shared" ref="E37" si="49">E36*D37</f>
        <v>12.879999999999999</v>
      </c>
      <c r="F37" s="43">
        <f t="shared" ref="F37" si="50">ROUNDUP(F29/8,0)</f>
        <v>1</v>
      </c>
      <c r="G37" s="44">
        <f t="shared" ref="G37" si="51">G36*F37</f>
        <v>12.879999999999999</v>
      </c>
      <c r="H37" s="43">
        <f t="shared" ref="H37" si="52">ROUNDUP(H29/8,0)</f>
        <v>1</v>
      </c>
      <c r="I37" s="44">
        <f t="shared" ref="I37" si="53">I36*H37</f>
        <v>12.879999999999999</v>
      </c>
      <c r="J37" s="43">
        <f t="shared" ref="J37" si="54">ROUNDUP(J29/8,0)</f>
        <v>1</v>
      </c>
      <c r="K37" s="44">
        <f t="shared" ref="K37" si="55">K36*J37</f>
        <v>12.879999999999999</v>
      </c>
      <c r="L37" s="43">
        <f t="shared" ref="L37" si="56">ROUNDUP(L29/8,0)</f>
        <v>1</v>
      </c>
      <c r="M37" s="44">
        <f t="shared" ref="M37" si="57">M36*L37</f>
        <v>12.879999999999999</v>
      </c>
      <c r="N37" s="43">
        <f t="shared" ref="N37" si="58">ROUNDUP(N29/8,0)</f>
        <v>1</v>
      </c>
      <c r="O37" s="44">
        <f t="shared" ref="O37" si="59">O36*N37</f>
        <v>12.879999999999999</v>
      </c>
      <c r="P37" s="43">
        <f t="shared" ref="P37" si="60">ROUNDUP(P29/8,0)</f>
        <v>1</v>
      </c>
      <c r="Q37" s="44">
        <f t="shared" ref="Q37" si="61">Q36*P37</f>
        <v>12.879999999999999</v>
      </c>
      <c r="R37" s="43">
        <f t="shared" ref="R37" si="62">ROUNDUP(R29/8,0)</f>
        <v>1</v>
      </c>
      <c r="S37" s="44">
        <f t="shared" ref="S37" si="63">S36*R37</f>
        <v>12.879999999999999</v>
      </c>
    </row>
    <row r="38" spans="1:19" x14ac:dyDescent="0.2">
      <c r="A38" s="43" t="s">
        <v>151</v>
      </c>
      <c r="B38" s="43">
        <f>ROUNDUP(B30/8,0)</f>
        <v>1</v>
      </c>
      <c r="C38" s="44">
        <f>C36*B38</f>
        <v>12.879999999999999</v>
      </c>
      <c r="D38" s="43">
        <f t="shared" ref="D38" si="64">ROUNDUP(D30/8,0)</f>
        <v>1</v>
      </c>
      <c r="E38" s="44">
        <f t="shared" ref="E38" si="65">E36*D38</f>
        <v>12.879999999999999</v>
      </c>
      <c r="F38" s="43">
        <f t="shared" ref="F38" si="66">ROUNDUP(F30/8,0)</f>
        <v>1</v>
      </c>
      <c r="G38" s="44">
        <f t="shared" ref="G38" si="67">G36*F38</f>
        <v>12.879999999999999</v>
      </c>
      <c r="H38" s="43">
        <f t="shared" ref="H38" si="68">ROUNDUP(H30/8,0)</f>
        <v>1</v>
      </c>
      <c r="I38" s="44">
        <f t="shared" ref="I38" si="69">I36*H38</f>
        <v>12.879999999999999</v>
      </c>
      <c r="J38" s="43">
        <f t="shared" ref="J38" si="70">ROUNDUP(J30/8,0)</f>
        <v>1</v>
      </c>
      <c r="K38" s="44">
        <f t="shared" ref="K38" si="71">K36*J38</f>
        <v>12.879999999999999</v>
      </c>
      <c r="L38" s="43">
        <f t="shared" ref="L38" si="72">ROUNDUP(L30/8,0)</f>
        <v>1</v>
      </c>
      <c r="M38" s="44">
        <f t="shared" ref="M38" si="73">M36*L38</f>
        <v>12.879999999999999</v>
      </c>
      <c r="N38" s="43">
        <f t="shared" ref="N38" si="74">ROUNDUP(N30/8,0)</f>
        <v>1</v>
      </c>
      <c r="O38" s="44">
        <f t="shared" ref="O38" si="75">O36*N38</f>
        <v>12.879999999999999</v>
      </c>
      <c r="P38" s="43">
        <f t="shared" ref="P38" si="76">ROUNDUP(P30/8,0)</f>
        <v>1</v>
      </c>
      <c r="Q38" s="44">
        <f t="shared" ref="Q38" si="77">Q36*P38</f>
        <v>12.879999999999999</v>
      </c>
      <c r="R38" s="43">
        <f t="shared" ref="R38" si="78">ROUNDUP(R30/8,0)</f>
        <v>1</v>
      </c>
      <c r="S38" s="44">
        <f t="shared" ref="S38" si="79">S36*R38</f>
        <v>12.879999999999999</v>
      </c>
    </row>
    <row r="39" spans="1:19" x14ac:dyDescent="0.2">
      <c r="A39" s="43" t="s">
        <v>156</v>
      </c>
      <c r="B39" s="43"/>
      <c r="C39" s="44">
        <f>SUM(C37:C38)</f>
        <v>25.759999999999998</v>
      </c>
      <c r="D39" s="43"/>
      <c r="E39" s="44">
        <f t="shared" ref="E39" si="80">SUM(E37:E38)</f>
        <v>25.759999999999998</v>
      </c>
      <c r="F39" s="43"/>
      <c r="G39" s="44">
        <f t="shared" ref="G39" si="81">SUM(G37:G38)</f>
        <v>25.759999999999998</v>
      </c>
      <c r="H39" s="43"/>
      <c r="I39" s="44">
        <f t="shared" ref="I39" si="82">SUM(I37:I38)</f>
        <v>25.759999999999998</v>
      </c>
      <c r="J39" s="43"/>
      <c r="K39" s="44">
        <f t="shared" ref="K39" si="83">SUM(K37:K38)</f>
        <v>25.759999999999998</v>
      </c>
      <c r="L39" s="43"/>
      <c r="M39" s="44">
        <f t="shared" ref="M39" si="84">SUM(M37:M38)</f>
        <v>25.759999999999998</v>
      </c>
      <c r="N39" s="43"/>
      <c r="O39" s="44">
        <f t="shared" ref="O39" si="85">SUM(O37:O38)</f>
        <v>25.759999999999998</v>
      </c>
      <c r="P39" s="43"/>
      <c r="Q39" s="44">
        <f t="shared" ref="Q39" si="86">SUM(Q37:Q38)</f>
        <v>25.759999999999998</v>
      </c>
      <c r="R39" s="43"/>
      <c r="S39" s="44">
        <f t="shared" ref="S39" si="87">SUM(S37:S38)</f>
        <v>25.759999999999998</v>
      </c>
    </row>
    <row r="40" spans="1:19" x14ac:dyDescent="0.2">
      <c r="A40" s="1" t="s">
        <v>167</v>
      </c>
      <c r="B40" s="43"/>
      <c r="C40" s="48"/>
      <c r="D40" s="43"/>
      <c r="E40" s="48"/>
      <c r="F40" s="43"/>
      <c r="G40" s="48"/>
      <c r="H40" s="43"/>
      <c r="I40" s="48"/>
      <c r="J40" s="43"/>
      <c r="K40" s="48"/>
      <c r="L40" s="43"/>
      <c r="M40" s="48"/>
      <c r="N40" s="43"/>
      <c r="O40" s="48"/>
      <c r="P40" s="43"/>
      <c r="Q40" s="48"/>
      <c r="R40" s="43"/>
      <c r="S40" s="48"/>
    </row>
    <row r="41" spans="1:19" x14ac:dyDescent="0.2">
      <c r="A41" s="43" t="s">
        <v>152</v>
      </c>
      <c r="B41" s="43"/>
      <c r="C41" s="44">
        <f>20*0.8</f>
        <v>16</v>
      </c>
      <c r="D41" s="43"/>
      <c r="E41" s="44">
        <f t="shared" ref="E41" si="88">20*0.8</f>
        <v>16</v>
      </c>
      <c r="F41" s="43"/>
      <c r="G41" s="44">
        <f t="shared" ref="G41" si="89">20*0.8</f>
        <v>16</v>
      </c>
      <c r="H41" s="43"/>
      <c r="I41" s="44">
        <f t="shared" ref="I41" si="90">20*0.8</f>
        <v>16</v>
      </c>
      <c r="J41" s="43"/>
      <c r="K41" s="44">
        <f t="shared" ref="K41" si="91">20*0.8</f>
        <v>16</v>
      </c>
      <c r="L41" s="43"/>
      <c r="M41" s="44">
        <f t="shared" ref="M41" si="92">20*0.8</f>
        <v>16</v>
      </c>
      <c r="N41" s="43"/>
      <c r="O41" s="44">
        <f t="shared" ref="O41" si="93">20*0.8</f>
        <v>16</v>
      </c>
      <c r="P41" s="43"/>
      <c r="Q41" s="44">
        <f t="shared" ref="Q41" si="94">20*0.8</f>
        <v>16</v>
      </c>
      <c r="R41" s="43"/>
      <c r="S41" s="44">
        <f t="shared" ref="S41" si="95">20*0.8</f>
        <v>16</v>
      </c>
    </row>
    <row r="42" spans="1:19" x14ac:dyDescent="0.2">
      <c r="A42" s="43" t="s">
        <v>133</v>
      </c>
      <c r="B42" s="45">
        <f>B22</f>
        <v>0.15008210180623971</v>
      </c>
      <c r="C42" s="44">
        <f>ROUND(C41*B42,2)</f>
        <v>2.4</v>
      </c>
      <c r="D42" s="45">
        <f t="shared" ref="D42" si="96">D22</f>
        <v>0.15008210180623971</v>
      </c>
      <c r="E42" s="44">
        <f t="shared" ref="E42" si="97">ROUND(E41*D42,2)</f>
        <v>2.4</v>
      </c>
      <c r="F42" s="45">
        <f t="shared" ref="F42" si="98">F22</f>
        <v>0.15008210180623971</v>
      </c>
      <c r="G42" s="44">
        <f t="shared" ref="G42" si="99">ROUND(G41*F42,2)</f>
        <v>2.4</v>
      </c>
      <c r="H42" s="45">
        <f t="shared" ref="H42" si="100">H22</f>
        <v>0.15008210180623971</v>
      </c>
      <c r="I42" s="44">
        <f t="shared" ref="I42" si="101">ROUND(I41*H42,2)</f>
        <v>2.4</v>
      </c>
      <c r="J42" s="45">
        <f t="shared" ref="J42" si="102">J22</f>
        <v>0.15008210180623971</v>
      </c>
      <c r="K42" s="44">
        <f t="shared" ref="K42" si="103">ROUND(K41*J42,2)</f>
        <v>2.4</v>
      </c>
      <c r="L42" s="45">
        <f t="shared" ref="L42" si="104">L22</f>
        <v>0.15008210180623971</v>
      </c>
      <c r="M42" s="44">
        <f t="shared" ref="M42" si="105">ROUND(M41*L42,2)</f>
        <v>2.4</v>
      </c>
      <c r="N42" s="45">
        <f t="shared" ref="N42" si="106">N22</f>
        <v>0.15008210180623971</v>
      </c>
      <c r="O42" s="44">
        <f t="shared" ref="O42" si="107">ROUND(O41*N42,2)</f>
        <v>2.4</v>
      </c>
      <c r="P42" s="45">
        <f t="shared" ref="P42" si="108">P22</f>
        <v>0.15008210180623971</v>
      </c>
      <c r="Q42" s="44">
        <f t="shared" ref="Q42" si="109">ROUND(Q41*P42,2)</f>
        <v>2.4</v>
      </c>
      <c r="R42" s="45">
        <f t="shared" ref="R42" si="110">R22</f>
        <v>0.15008210180623971</v>
      </c>
      <c r="S42" s="44">
        <f t="shared" ref="S42" si="111">ROUND(S41*R42,2)</f>
        <v>2.4</v>
      </c>
    </row>
    <row r="43" spans="1:19" x14ac:dyDescent="0.2">
      <c r="A43" s="43" t="s">
        <v>158</v>
      </c>
      <c r="B43" s="43"/>
      <c r="C43" s="44">
        <f>SUM(C41:C42)</f>
        <v>18.399999999999999</v>
      </c>
      <c r="D43" s="43"/>
      <c r="E43" s="44">
        <f t="shared" ref="E43" si="112">SUM(E41:E42)</f>
        <v>18.399999999999999</v>
      </c>
      <c r="F43" s="43"/>
      <c r="G43" s="44">
        <f t="shared" ref="G43" si="113">SUM(G41:G42)</f>
        <v>18.399999999999999</v>
      </c>
      <c r="H43" s="43"/>
      <c r="I43" s="44">
        <f t="shared" ref="I43" si="114">SUM(I41:I42)</f>
        <v>18.399999999999999</v>
      </c>
      <c r="J43" s="43"/>
      <c r="K43" s="44">
        <f t="shared" ref="K43" si="115">SUM(K41:K42)</f>
        <v>18.399999999999999</v>
      </c>
      <c r="L43" s="43"/>
      <c r="M43" s="44">
        <f t="shared" ref="M43" si="116">SUM(M41:M42)</f>
        <v>18.399999999999999</v>
      </c>
      <c r="N43" s="43"/>
      <c r="O43" s="44">
        <f t="shared" ref="O43" si="117">SUM(O41:O42)</f>
        <v>18.399999999999999</v>
      </c>
      <c r="P43" s="43"/>
      <c r="Q43" s="44">
        <f t="shared" ref="Q43" si="118">SUM(Q41:Q42)</f>
        <v>18.399999999999999</v>
      </c>
      <c r="R43" s="43"/>
      <c r="S43" s="44">
        <f t="shared" ref="S43" si="119">SUM(S41:S42)</f>
        <v>18.399999999999999</v>
      </c>
    </row>
    <row r="44" spans="1:19" x14ac:dyDescent="0.2">
      <c r="A44" s="43" t="s">
        <v>150</v>
      </c>
      <c r="B44" s="43">
        <f>ROUNDUP(B29/8,0)</f>
        <v>1</v>
      </c>
      <c r="C44" s="44">
        <f>C43*B44</f>
        <v>18.399999999999999</v>
      </c>
      <c r="D44" s="43">
        <f t="shared" ref="D44" si="120">ROUNDUP(D29/8,0)</f>
        <v>1</v>
      </c>
      <c r="E44" s="44">
        <f t="shared" ref="E44" si="121">E43*D44</f>
        <v>18.399999999999999</v>
      </c>
      <c r="F44" s="43">
        <f t="shared" ref="F44" si="122">ROUNDUP(F29/8,0)</f>
        <v>1</v>
      </c>
      <c r="G44" s="44">
        <f t="shared" ref="G44" si="123">G43*F44</f>
        <v>18.399999999999999</v>
      </c>
      <c r="H44" s="43">
        <f t="shared" ref="H44" si="124">ROUNDUP(H29/8,0)</f>
        <v>1</v>
      </c>
      <c r="I44" s="44">
        <f t="shared" ref="I44" si="125">I43*H44</f>
        <v>18.399999999999999</v>
      </c>
      <c r="J44" s="43">
        <f t="shared" ref="J44" si="126">ROUNDUP(J29/8,0)</f>
        <v>1</v>
      </c>
      <c r="K44" s="44">
        <f t="shared" ref="K44" si="127">K43*J44</f>
        <v>18.399999999999999</v>
      </c>
      <c r="L44" s="43">
        <f t="shared" ref="L44" si="128">ROUNDUP(L29/8,0)</f>
        <v>1</v>
      </c>
      <c r="M44" s="44">
        <f t="shared" ref="M44" si="129">M43*L44</f>
        <v>18.399999999999999</v>
      </c>
      <c r="N44" s="43">
        <f t="shared" ref="N44" si="130">ROUNDUP(N29/8,0)</f>
        <v>1</v>
      </c>
      <c r="O44" s="44">
        <f t="shared" ref="O44" si="131">O43*N44</f>
        <v>18.399999999999999</v>
      </c>
      <c r="P44" s="43">
        <f t="shared" ref="P44" si="132">ROUNDUP(P29/8,0)</f>
        <v>1</v>
      </c>
      <c r="Q44" s="44">
        <f t="shared" ref="Q44" si="133">Q43*P44</f>
        <v>18.399999999999999</v>
      </c>
      <c r="R44" s="43">
        <f t="shared" ref="R44" si="134">ROUNDUP(R29/8,0)</f>
        <v>1</v>
      </c>
      <c r="S44" s="44">
        <f t="shared" ref="S44" si="135">S43*R44</f>
        <v>18.399999999999999</v>
      </c>
    </row>
    <row r="45" spans="1:19" x14ac:dyDescent="0.2">
      <c r="A45" s="43" t="s">
        <v>151</v>
      </c>
      <c r="B45" s="43">
        <f>ROUNDUP(B30/8,0)</f>
        <v>1</v>
      </c>
      <c r="C45" s="44">
        <f>C43*B45</f>
        <v>18.399999999999999</v>
      </c>
      <c r="D45" s="43">
        <f t="shared" ref="D45" si="136">ROUNDUP(D30/8,0)</f>
        <v>1</v>
      </c>
      <c r="E45" s="44">
        <f t="shared" ref="E45" si="137">E43*D45</f>
        <v>18.399999999999999</v>
      </c>
      <c r="F45" s="43">
        <f t="shared" ref="F45" si="138">ROUNDUP(F30/8,0)</f>
        <v>1</v>
      </c>
      <c r="G45" s="44">
        <f t="shared" ref="G45" si="139">G43*F45</f>
        <v>18.399999999999999</v>
      </c>
      <c r="H45" s="43">
        <f t="shared" ref="H45" si="140">ROUNDUP(H30/8,0)</f>
        <v>1</v>
      </c>
      <c r="I45" s="44">
        <f t="shared" ref="I45" si="141">I43*H45</f>
        <v>18.399999999999999</v>
      </c>
      <c r="J45" s="43">
        <f t="shared" ref="J45" si="142">ROUNDUP(J30/8,0)</f>
        <v>1</v>
      </c>
      <c r="K45" s="44">
        <f t="shared" ref="K45" si="143">K43*J45</f>
        <v>18.399999999999999</v>
      </c>
      <c r="L45" s="43">
        <f t="shared" ref="L45" si="144">ROUNDUP(L30/8,0)</f>
        <v>1</v>
      </c>
      <c r="M45" s="44">
        <f t="shared" ref="M45" si="145">M43*L45</f>
        <v>18.399999999999999</v>
      </c>
      <c r="N45" s="43">
        <f t="shared" ref="N45" si="146">ROUNDUP(N30/8,0)</f>
        <v>1</v>
      </c>
      <c r="O45" s="44">
        <f t="shared" ref="O45" si="147">O43*N45</f>
        <v>18.399999999999999</v>
      </c>
      <c r="P45" s="43">
        <f t="shared" ref="P45" si="148">ROUNDUP(P30/8,0)</f>
        <v>1</v>
      </c>
      <c r="Q45" s="44">
        <f t="shared" ref="Q45" si="149">Q43*P45</f>
        <v>18.399999999999999</v>
      </c>
      <c r="R45" s="43">
        <f t="shared" ref="R45" si="150">ROUNDUP(R30/8,0)</f>
        <v>1</v>
      </c>
      <c r="S45" s="44">
        <f t="shared" ref="S45" si="151">S43*R45</f>
        <v>18.399999999999999</v>
      </c>
    </row>
    <row r="46" spans="1:19" x14ac:dyDescent="0.2">
      <c r="A46" s="43" t="s">
        <v>159</v>
      </c>
      <c r="B46" s="43"/>
      <c r="C46" s="44">
        <f>SUM(C44:C45)</f>
        <v>36.799999999999997</v>
      </c>
      <c r="D46" s="43"/>
      <c r="E46" s="44">
        <f t="shared" ref="E46" si="152">SUM(E44:E45)</f>
        <v>36.799999999999997</v>
      </c>
      <c r="F46" s="43"/>
      <c r="G46" s="44">
        <f t="shared" ref="G46" si="153">SUM(G44:G45)</f>
        <v>36.799999999999997</v>
      </c>
      <c r="H46" s="43"/>
      <c r="I46" s="44">
        <f t="shared" ref="I46" si="154">SUM(I44:I45)</f>
        <v>36.799999999999997</v>
      </c>
      <c r="J46" s="43"/>
      <c r="K46" s="44">
        <f t="shared" ref="K46" si="155">SUM(K44:K45)</f>
        <v>36.799999999999997</v>
      </c>
      <c r="L46" s="43"/>
      <c r="M46" s="44">
        <f t="shared" ref="M46" si="156">SUM(M44:M45)</f>
        <v>36.799999999999997</v>
      </c>
      <c r="N46" s="43"/>
      <c r="O46" s="44">
        <f t="shared" ref="O46" si="157">SUM(O44:O45)</f>
        <v>36.799999999999997</v>
      </c>
      <c r="P46" s="43"/>
      <c r="Q46" s="44">
        <f t="shared" ref="Q46" si="158">SUM(Q44:Q45)</f>
        <v>36.799999999999997</v>
      </c>
      <c r="R46" s="43"/>
      <c r="S46" s="44">
        <f t="shared" ref="S46" si="159">SUM(S44:S45)</f>
        <v>36.799999999999997</v>
      </c>
    </row>
    <row r="47" spans="1:19" x14ac:dyDescent="0.2">
      <c r="A47" s="1" t="s">
        <v>160</v>
      </c>
      <c r="C47" s="17"/>
      <c r="E47" s="17"/>
      <c r="G47" s="17"/>
      <c r="I47" s="17"/>
      <c r="K47" s="17"/>
      <c r="M47" s="17"/>
      <c r="O47" s="17"/>
      <c r="Q47" s="17"/>
      <c r="S47" s="17"/>
    </row>
    <row r="48" spans="1:19" ht="24.75" customHeight="1" x14ac:dyDescent="0.2">
      <c r="A48" s="47" t="s">
        <v>126</v>
      </c>
      <c r="B48" s="90" t="str">
        <f>B15</f>
        <v>Auxiliar Técnico Operacional</v>
      </c>
      <c r="C48" s="91"/>
      <c r="D48" s="90" t="str">
        <f t="shared" ref="D48" si="160">D15</f>
        <v>Coordenador(a) Administrativo(a)</v>
      </c>
      <c r="E48" s="91"/>
      <c r="F48" s="90" t="str">
        <f t="shared" ref="F48" si="161">F15</f>
        <v>Copeiro(a)</v>
      </c>
      <c r="G48" s="91"/>
      <c r="H48" s="90" t="str">
        <f t="shared" ref="H48" si="162">H15</f>
        <v>Garçom/garçonete</v>
      </c>
      <c r="I48" s="91"/>
      <c r="J48" s="90" t="str">
        <f t="shared" ref="J48" si="163">J15</f>
        <v>Maître</v>
      </c>
      <c r="K48" s="91"/>
      <c r="L48" s="90" t="str">
        <f t="shared" ref="L48" si="164">L15</f>
        <v>Mensageiro(a)</v>
      </c>
      <c r="M48" s="91"/>
      <c r="N48" s="90" t="str">
        <f t="shared" ref="N48" si="165">N15</f>
        <v>Recepcionista I</v>
      </c>
      <c r="O48" s="91"/>
      <c r="P48" s="90" t="str">
        <f t="shared" ref="P48" si="166">P15</f>
        <v>Recepcionista III</v>
      </c>
      <c r="Q48" s="91"/>
      <c r="R48" s="90" t="str">
        <f t="shared" ref="R48" si="167">R15</f>
        <v>Recepcionista IV</v>
      </c>
      <c r="S48" s="91"/>
    </row>
    <row r="49" spans="1:19" x14ac:dyDescent="0.2">
      <c r="A49" s="43" t="s">
        <v>149</v>
      </c>
      <c r="B49" s="43">
        <v>260</v>
      </c>
      <c r="C49" s="44">
        <f>B49*C45</f>
        <v>4784</v>
      </c>
      <c r="D49" s="43">
        <v>260</v>
      </c>
      <c r="E49" s="44">
        <f>D49*E45</f>
        <v>4784</v>
      </c>
      <c r="F49" s="43">
        <v>280</v>
      </c>
      <c r="G49" s="44">
        <f>F49*G45</f>
        <v>5152</v>
      </c>
      <c r="H49" s="43">
        <v>260</v>
      </c>
      <c r="I49" s="44">
        <f>H49*I45</f>
        <v>4784</v>
      </c>
      <c r="J49" s="43">
        <v>260</v>
      </c>
      <c r="K49" s="44">
        <f>J49*K45</f>
        <v>4784</v>
      </c>
      <c r="L49" s="43">
        <v>260</v>
      </c>
      <c r="M49" s="44">
        <f>L49*M45</f>
        <v>4784</v>
      </c>
      <c r="N49" s="43">
        <v>260</v>
      </c>
      <c r="O49" s="44">
        <f>N49*O45</f>
        <v>4784</v>
      </c>
      <c r="P49" s="43">
        <v>260</v>
      </c>
      <c r="Q49" s="44">
        <f>P49*Q45</f>
        <v>4784</v>
      </c>
      <c r="R49" s="43">
        <v>260</v>
      </c>
      <c r="S49" s="44">
        <f>R49*S45</f>
        <v>4784</v>
      </c>
    </row>
    <row r="50" spans="1:19" x14ac:dyDescent="0.2">
      <c r="A50" s="43" t="s">
        <v>150</v>
      </c>
      <c r="B50" s="43">
        <v>190</v>
      </c>
      <c r="C50" s="44">
        <f>B50*C45</f>
        <v>3495.9999999999995</v>
      </c>
      <c r="D50" s="43">
        <v>190</v>
      </c>
      <c r="E50" s="44">
        <f>D50*E45</f>
        <v>3495.9999999999995</v>
      </c>
      <c r="F50" s="43">
        <v>200</v>
      </c>
      <c r="G50" s="44">
        <f>F50*G45</f>
        <v>3679.9999999999995</v>
      </c>
      <c r="H50" s="43">
        <v>190</v>
      </c>
      <c r="I50" s="44">
        <f>H50*I45</f>
        <v>3495.9999999999995</v>
      </c>
      <c r="J50" s="43">
        <v>190</v>
      </c>
      <c r="K50" s="44">
        <f>J50*K45</f>
        <v>3495.9999999999995</v>
      </c>
      <c r="L50" s="43">
        <v>190</v>
      </c>
      <c r="M50" s="44">
        <f>L50*M45</f>
        <v>3495.9999999999995</v>
      </c>
      <c r="N50" s="43">
        <v>190</v>
      </c>
      <c r="O50" s="44">
        <f>N50*O45</f>
        <v>3495.9999999999995</v>
      </c>
      <c r="P50" s="43">
        <v>190</v>
      </c>
      <c r="Q50" s="44">
        <f>P50*Q45</f>
        <v>3495.9999999999995</v>
      </c>
      <c r="R50" s="43">
        <v>190</v>
      </c>
      <c r="S50" s="44">
        <f>R50*S45</f>
        <v>3495.9999999999995</v>
      </c>
    </row>
    <row r="51" spans="1:19" x14ac:dyDescent="0.2">
      <c r="A51" s="43" t="s">
        <v>151</v>
      </c>
      <c r="B51" s="43">
        <v>190</v>
      </c>
      <c r="C51" s="44">
        <f>B51*C46</f>
        <v>6991.9999999999991</v>
      </c>
      <c r="D51" s="43">
        <v>190</v>
      </c>
      <c r="E51" s="44">
        <f>D51*E46</f>
        <v>6991.9999999999991</v>
      </c>
      <c r="F51" s="43">
        <v>200</v>
      </c>
      <c r="G51" s="44">
        <f>F51*G46</f>
        <v>7359.9999999999991</v>
      </c>
      <c r="H51" s="43">
        <v>190</v>
      </c>
      <c r="I51" s="44">
        <f>H51*I46</f>
        <v>6991.9999999999991</v>
      </c>
      <c r="J51" s="43">
        <v>190</v>
      </c>
      <c r="K51" s="44">
        <f>J51*K46</f>
        <v>6991.9999999999991</v>
      </c>
      <c r="L51" s="43">
        <v>190</v>
      </c>
      <c r="M51" s="44">
        <f>L51*M46</f>
        <v>6991.9999999999991</v>
      </c>
      <c r="N51" s="43">
        <v>190</v>
      </c>
      <c r="O51" s="44">
        <f>N51*O46</f>
        <v>6991.9999999999991</v>
      </c>
      <c r="P51" s="43">
        <v>190</v>
      </c>
      <c r="Q51" s="44">
        <f>P51*Q46</f>
        <v>6991.9999999999991</v>
      </c>
      <c r="R51" s="43">
        <v>190</v>
      </c>
      <c r="S51" s="44">
        <f>R51*S46</f>
        <v>6991.9999999999991</v>
      </c>
    </row>
    <row r="52" spans="1:19" x14ac:dyDescent="0.2">
      <c r="A52" s="43" t="s">
        <v>155</v>
      </c>
      <c r="B52" s="43"/>
      <c r="C52" s="44">
        <f>SUM(C49:C51)</f>
        <v>15272</v>
      </c>
      <c r="D52" s="43"/>
      <c r="E52" s="44">
        <f t="shared" ref="E52" si="168">SUM(E49:E51)</f>
        <v>15272</v>
      </c>
      <c r="F52" s="43"/>
      <c r="G52" s="44">
        <f t="shared" ref="G52" si="169">SUM(G49:G51)</f>
        <v>16192</v>
      </c>
      <c r="H52" s="43"/>
      <c r="I52" s="44">
        <f t="shared" ref="I52" si="170">SUM(I49:I51)</f>
        <v>15272</v>
      </c>
      <c r="J52" s="43"/>
      <c r="K52" s="44">
        <f t="shared" ref="K52" si="171">SUM(K49:K51)</f>
        <v>15272</v>
      </c>
      <c r="L52" s="43"/>
      <c r="M52" s="44">
        <f t="shared" ref="M52" si="172">SUM(M49:M51)</f>
        <v>15272</v>
      </c>
      <c r="N52" s="43"/>
      <c r="O52" s="44">
        <f t="shared" ref="O52" si="173">SUM(O49:O51)</f>
        <v>15272</v>
      </c>
      <c r="P52" s="43"/>
      <c r="Q52" s="44">
        <f t="shared" ref="Q52" si="174">SUM(Q49:Q51)</f>
        <v>15272</v>
      </c>
      <c r="R52" s="43"/>
      <c r="S52" s="44">
        <f t="shared" ref="S52" si="175">SUM(S49:S51)</f>
        <v>15272</v>
      </c>
    </row>
    <row r="53" spans="1:19" x14ac:dyDescent="0.2">
      <c r="A53" s="1" t="s">
        <v>166</v>
      </c>
      <c r="B53" s="43"/>
      <c r="C53" s="48"/>
      <c r="D53" s="43"/>
      <c r="E53" s="48"/>
      <c r="F53" s="43"/>
      <c r="G53" s="48"/>
      <c r="H53" s="43"/>
      <c r="I53" s="48"/>
      <c r="J53" s="43"/>
      <c r="K53" s="48"/>
      <c r="L53" s="43"/>
      <c r="M53" s="48"/>
      <c r="N53" s="43"/>
      <c r="O53" s="48"/>
      <c r="P53" s="43"/>
      <c r="Q53" s="48"/>
      <c r="R53" s="43"/>
      <c r="S53" s="48"/>
    </row>
    <row r="54" spans="1:19" x14ac:dyDescent="0.2">
      <c r="A54" s="43" t="s">
        <v>152</v>
      </c>
      <c r="B54" s="43"/>
      <c r="C54" s="44">
        <v>5.6</v>
      </c>
      <c r="D54" s="43"/>
      <c r="E54" s="44">
        <v>6.6</v>
      </c>
      <c r="F54" s="43"/>
      <c r="G54" s="44">
        <v>7.6</v>
      </c>
      <c r="H54" s="43"/>
      <c r="I54" s="44">
        <v>8.6</v>
      </c>
      <c r="J54" s="43"/>
      <c r="K54" s="44">
        <v>9.6</v>
      </c>
      <c r="L54" s="43"/>
      <c r="M54" s="44">
        <v>10.6</v>
      </c>
      <c r="N54" s="43"/>
      <c r="O54" s="44">
        <v>11.6</v>
      </c>
      <c r="P54" s="43"/>
      <c r="Q54" s="44">
        <v>12.6</v>
      </c>
      <c r="R54" s="43"/>
      <c r="S54" s="44">
        <v>13.6</v>
      </c>
    </row>
    <row r="55" spans="1:19" x14ac:dyDescent="0.2">
      <c r="A55" s="43" t="s">
        <v>153</v>
      </c>
      <c r="B55" s="43">
        <v>2</v>
      </c>
      <c r="C55" s="44">
        <f>C54*B55</f>
        <v>11.2</v>
      </c>
      <c r="D55" s="43">
        <v>2</v>
      </c>
      <c r="E55" s="44">
        <f t="shared" ref="E55" si="176">E54*D55</f>
        <v>13.2</v>
      </c>
      <c r="F55" s="43">
        <v>2</v>
      </c>
      <c r="G55" s="44">
        <f t="shared" ref="G55" si="177">G54*F55</f>
        <v>15.2</v>
      </c>
      <c r="H55" s="43">
        <v>2</v>
      </c>
      <c r="I55" s="44">
        <f t="shared" ref="I55" si="178">I54*H55</f>
        <v>17.2</v>
      </c>
      <c r="J55" s="43">
        <v>2</v>
      </c>
      <c r="K55" s="44">
        <f t="shared" ref="K55" si="179">K54*J55</f>
        <v>19.2</v>
      </c>
      <c r="L55" s="43">
        <v>2</v>
      </c>
      <c r="M55" s="44">
        <f t="shared" ref="M55" si="180">M54*L55</f>
        <v>21.2</v>
      </c>
      <c r="N55" s="43">
        <v>2</v>
      </c>
      <c r="O55" s="44">
        <f t="shared" ref="O55" si="181">O54*N55</f>
        <v>23.2</v>
      </c>
      <c r="P55" s="43">
        <v>2</v>
      </c>
      <c r="Q55" s="44">
        <f t="shared" ref="Q55" si="182">Q54*P55</f>
        <v>25.2</v>
      </c>
      <c r="R55" s="43">
        <v>2</v>
      </c>
      <c r="S55" s="44">
        <f t="shared" ref="S55" si="183">S54*R55</f>
        <v>27.2</v>
      </c>
    </row>
    <row r="56" spans="1:19" x14ac:dyDescent="0.2">
      <c r="A56" s="43" t="s">
        <v>133</v>
      </c>
      <c r="B56" s="45">
        <f>B22</f>
        <v>0.15008210180623971</v>
      </c>
      <c r="C56" s="44">
        <f>ROUND(C55*B56,2)</f>
        <v>1.68</v>
      </c>
      <c r="D56" s="45">
        <f t="shared" ref="D56" si="184">D22</f>
        <v>0.15008210180623971</v>
      </c>
      <c r="E56" s="44">
        <f t="shared" ref="E56" si="185">ROUND(E55*D56,2)</f>
        <v>1.98</v>
      </c>
      <c r="F56" s="45">
        <f t="shared" ref="F56" si="186">F22</f>
        <v>0.15008210180623971</v>
      </c>
      <c r="G56" s="44">
        <f t="shared" ref="G56" si="187">ROUND(G55*F56,2)</f>
        <v>2.2799999999999998</v>
      </c>
      <c r="H56" s="45">
        <f t="shared" ref="H56" si="188">H22</f>
        <v>0.15008210180623971</v>
      </c>
      <c r="I56" s="44">
        <f t="shared" ref="I56" si="189">ROUND(I55*H56,2)</f>
        <v>2.58</v>
      </c>
      <c r="J56" s="45">
        <f t="shared" ref="J56" si="190">J22</f>
        <v>0.15008210180623971</v>
      </c>
      <c r="K56" s="44">
        <f t="shared" ref="K56" si="191">ROUND(K55*J56,2)</f>
        <v>2.88</v>
      </c>
      <c r="L56" s="45">
        <f t="shared" ref="L56" si="192">L22</f>
        <v>0.15008210180623971</v>
      </c>
      <c r="M56" s="44">
        <f t="shared" ref="M56" si="193">ROUND(M55*L56,2)</f>
        <v>3.18</v>
      </c>
      <c r="N56" s="45">
        <f t="shared" ref="N56" si="194">N22</f>
        <v>0.15008210180623971</v>
      </c>
      <c r="O56" s="44">
        <f t="shared" ref="O56" si="195">ROUND(O55*N56,2)</f>
        <v>3.48</v>
      </c>
      <c r="P56" s="45">
        <f t="shared" ref="P56" si="196">P22</f>
        <v>0.15008210180623971</v>
      </c>
      <c r="Q56" s="44">
        <f t="shared" ref="Q56" si="197">ROUND(Q55*P56,2)</f>
        <v>3.78</v>
      </c>
      <c r="R56" s="45">
        <f t="shared" ref="R56" si="198">R22</f>
        <v>0.15008210180623971</v>
      </c>
      <c r="S56" s="44">
        <f t="shared" ref="S56" si="199">ROUND(S55*R56,2)</f>
        <v>4.08</v>
      </c>
    </row>
    <row r="57" spans="1:19" x14ac:dyDescent="0.2">
      <c r="A57" s="43" t="s">
        <v>154</v>
      </c>
      <c r="B57" s="43"/>
      <c r="C57" s="44">
        <f>SUM(C55:C56)</f>
        <v>12.879999999999999</v>
      </c>
      <c r="D57" s="43"/>
      <c r="E57" s="44">
        <f t="shared" ref="E57" si="200">SUM(E55:E56)</f>
        <v>15.18</v>
      </c>
      <c r="F57" s="43"/>
      <c r="G57" s="44">
        <f t="shared" ref="G57" si="201">SUM(G55:G56)</f>
        <v>17.48</v>
      </c>
      <c r="H57" s="43"/>
      <c r="I57" s="44">
        <f t="shared" ref="I57" si="202">SUM(I55:I56)</f>
        <v>19.78</v>
      </c>
      <c r="J57" s="43"/>
      <c r="K57" s="44">
        <f t="shared" ref="K57" si="203">SUM(K55:K56)</f>
        <v>22.08</v>
      </c>
      <c r="L57" s="43"/>
      <c r="M57" s="44">
        <f t="shared" ref="M57" si="204">SUM(M55:M56)</f>
        <v>24.38</v>
      </c>
      <c r="N57" s="43"/>
      <c r="O57" s="44">
        <f t="shared" ref="O57" si="205">SUM(O55:O56)</f>
        <v>26.68</v>
      </c>
      <c r="P57" s="43"/>
      <c r="Q57" s="44">
        <f t="shared" ref="Q57" si="206">SUM(Q55:Q56)</f>
        <v>28.98</v>
      </c>
      <c r="R57" s="43"/>
      <c r="S57" s="44">
        <f t="shared" ref="S57" si="207">SUM(S55:S56)</f>
        <v>31.28</v>
      </c>
    </row>
    <row r="58" spans="1:19" x14ac:dyDescent="0.2">
      <c r="A58" s="43" t="s">
        <v>150</v>
      </c>
      <c r="B58" s="43">
        <f>ROUNDUP(B50/8,0)</f>
        <v>24</v>
      </c>
      <c r="C58" s="44">
        <f>C57*B58</f>
        <v>309.12</v>
      </c>
      <c r="D58" s="43">
        <f t="shared" ref="D58" si="208">ROUNDUP(D50/8,0)</f>
        <v>24</v>
      </c>
      <c r="E58" s="44">
        <f t="shared" ref="E58" si="209">E57*D58</f>
        <v>364.32</v>
      </c>
      <c r="F58" s="43">
        <f t="shared" ref="F58" si="210">ROUNDUP(F50/8,0)</f>
        <v>25</v>
      </c>
      <c r="G58" s="44">
        <f t="shared" ref="G58" si="211">G57*F58</f>
        <v>437</v>
      </c>
      <c r="H58" s="43">
        <f t="shared" ref="H58" si="212">ROUNDUP(H50/8,0)</f>
        <v>24</v>
      </c>
      <c r="I58" s="44">
        <f t="shared" ref="I58" si="213">I57*H58</f>
        <v>474.72</v>
      </c>
      <c r="J58" s="43">
        <f t="shared" ref="J58" si="214">ROUNDUP(J50/8,0)</f>
        <v>24</v>
      </c>
      <c r="K58" s="44">
        <f t="shared" ref="K58" si="215">K57*J58</f>
        <v>529.91999999999996</v>
      </c>
      <c r="L58" s="43">
        <f t="shared" ref="L58" si="216">ROUNDUP(L50/8,0)</f>
        <v>24</v>
      </c>
      <c r="M58" s="44">
        <f t="shared" ref="M58" si="217">M57*L58</f>
        <v>585.12</v>
      </c>
      <c r="N58" s="43">
        <f t="shared" ref="N58" si="218">ROUNDUP(N50/8,0)</f>
        <v>24</v>
      </c>
      <c r="O58" s="44">
        <f t="shared" ref="O58" si="219">O57*N58</f>
        <v>640.31999999999994</v>
      </c>
      <c r="P58" s="43">
        <f t="shared" ref="P58" si="220">ROUNDUP(P50/8,0)</f>
        <v>24</v>
      </c>
      <c r="Q58" s="44">
        <f t="shared" ref="Q58" si="221">Q57*P58</f>
        <v>695.52</v>
      </c>
      <c r="R58" s="43">
        <f t="shared" ref="R58" si="222">ROUNDUP(R50/8,0)</f>
        <v>24</v>
      </c>
      <c r="S58" s="44">
        <f t="shared" ref="S58" si="223">S57*R58</f>
        <v>750.72</v>
      </c>
    </row>
    <row r="59" spans="1:19" x14ac:dyDescent="0.2">
      <c r="A59" s="43" t="s">
        <v>151</v>
      </c>
      <c r="B59" s="43">
        <f>ROUNDUP(B51/8,0)</f>
        <v>24</v>
      </c>
      <c r="C59" s="44">
        <f>C57*B59</f>
        <v>309.12</v>
      </c>
      <c r="D59" s="43">
        <f t="shared" ref="D59" si="224">ROUNDUP(D51/8,0)</f>
        <v>24</v>
      </c>
      <c r="E59" s="44">
        <f t="shared" ref="E59" si="225">E57*D59</f>
        <v>364.32</v>
      </c>
      <c r="F59" s="43">
        <f t="shared" ref="F59" si="226">ROUNDUP(F51/8,0)</f>
        <v>25</v>
      </c>
      <c r="G59" s="44">
        <f t="shared" ref="G59" si="227">G57*F59</f>
        <v>437</v>
      </c>
      <c r="H59" s="43">
        <f t="shared" ref="H59" si="228">ROUNDUP(H51/8,0)</f>
        <v>24</v>
      </c>
      <c r="I59" s="44">
        <f t="shared" ref="I59" si="229">I57*H59</f>
        <v>474.72</v>
      </c>
      <c r="J59" s="43">
        <f t="shared" ref="J59" si="230">ROUNDUP(J51/8,0)</f>
        <v>24</v>
      </c>
      <c r="K59" s="44">
        <f t="shared" ref="K59" si="231">K57*J59</f>
        <v>529.91999999999996</v>
      </c>
      <c r="L59" s="43">
        <f t="shared" ref="L59" si="232">ROUNDUP(L51/8,0)</f>
        <v>24</v>
      </c>
      <c r="M59" s="44">
        <f t="shared" ref="M59" si="233">M57*L59</f>
        <v>585.12</v>
      </c>
      <c r="N59" s="43">
        <f t="shared" ref="N59" si="234">ROUNDUP(N51/8,0)</f>
        <v>24</v>
      </c>
      <c r="O59" s="44">
        <f t="shared" ref="O59" si="235">O57*N59</f>
        <v>640.31999999999994</v>
      </c>
      <c r="P59" s="43">
        <f t="shared" ref="P59" si="236">ROUNDUP(P51/8,0)</f>
        <v>24</v>
      </c>
      <c r="Q59" s="44">
        <f t="shared" ref="Q59" si="237">Q57*P59</f>
        <v>695.52</v>
      </c>
      <c r="R59" s="43">
        <f t="shared" ref="R59" si="238">ROUNDUP(R51/8,0)</f>
        <v>24</v>
      </c>
      <c r="S59" s="44">
        <f t="shared" ref="S59" si="239">S57*R59</f>
        <v>750.72</v>
      </c>
    </row>
    <row r="60" spans="1:19" x14ac:dyDescent="0.2">
      <c r="A60" s="43" t="s">
        <v>156</v>
      </c>
      <c r="B60" s="43"/>
      <c r="C60" s="44">
        <f>SUM(C58:C59)</f>
        <v>618.24</v>
      </c>
      <c r="D60" s="43"/>
      <c r="E60" s="44">
        <f t="shared" ref="E60" si="240">SUM(E58:E59)</f>
        <v>728.64</v>
      </c>
      <c r="F60" s="43"/>
      <c r="G60" s="44">
        <f t="shared" ref="G60" si="241">SUM(G58:G59)</f>
        <v>874</v>
      </c>
      <c r="H60" s="43"/>
      <c r="I60" s="44">
        <f t="shared" ref="I60" si="242">SUM(I58:I59)</f>
        <v>949.44</v>
      </c>
      <c r="J60" s="43"/>
      <c r="K60" s="44">
        <f t="shared" ref="K60" si="243">SUM(K58:K59)</f>
        <v>1059.8399999999999</v>
      </c>
      <c r="L60" s="43"/>
      <c r="M60" s="44">
        <f t="shared" ref="M60" si="244">SUM(M58:M59)</f>
        <v>1170.24</v>
      </c>
      <c r="N60" s="43"/>
      <c r="O60" s="44">
        <f t="shared" ref="O60" si="245">SUM(O58:O59)</f>
        <v>1280.6399999999999</v>
      </c>
      <c r="P60" s="43"/>
      <c r="Q60" s="44">
        <f t="shared" ref="Q60" si="246">SUM(Q58:Q59)</f>
        <v>1391.04</v>
      </c>
      <c r="R60" s="43"/>
      <c r="S60" s="44">
        <f t="shared" ref="S60" si="247">SUM(S58:S59)</f>
        <v>1501.44</v>
      </c>
    </row>
    <row r="61" spans="1:19" x14ac:dyDescent="0.2">
      <c r="A61" s="1" t="s">
        <v>167</v>
      </c>
      <c r="B61" s="43"/>
      <c r="C61" s="48"/>
      <c r="D61" s="43"/>
      <c r="E61" s="48"/>
      <c r="F61" s="43"/>
      <c r="G61" s="48"/>
      <c r="H61" s="43"/>
      <c r="I61" s="48"/>
      <c r="J61" s="43"/>
      <c r="K61" s="48"/>
      <c r="L61" s="43"/>
      <c r="M61" s="48"/>
      <c r="N61" s="43"/>
      <c r="O61" s="48"/>
      <c r="P61" s="43"/>
      <c r="Q61" s="48"/>
      <c r="R61" s="43"/>
      <c r="S61" s="48"/>
    </row>
    <row r="62" spans="1:19" x14ac:dyDescent="0.2">
      <c r="A62" s="43" t="s">
        <v>152</v>
      </c>
      <c r="B62" s="43"/>
      <c r="C62" s="44">
        <f>20*0.8</f>
        <v>16</v>
      </c>
      <c r="D62" s="43"/>
      <c r="E62" s="44">
        <f t="shared" ref="E62" si="248">20*0.8</f>
        <v>16</v>
      </c>
      <c r="F62" s="43"/>
      <c r="G62" s="44">
        <f t="shared" ref="G62" si="249">20*0.8</f>
        <v>16</v>
      </c>
      <c r="H62" s="43"/>
      <c r="I62" s="44">
        <f t="shared" ref="I62" si="250">20*0.8</f>
        <v>16</v>
      </c>
      <c r="J62" s="43"/>
      <c r="K62" s="44">
        <f t="shared" ref="K62" si="251">20*0.8</f>
        <v>16</v>
      </c>
      <c r="L62" s="43"/>
      <c r="M62" s="44">
        <f t="shared" ref="M62" si="252">20*0.8</f>
        <v>16</v>
      </c>
      <c r="N62" s="43"/>
      <c r="O62" s="44">
        <f t="shared" ref="O62" si="253">20*0.8</f>
        <v>16</v>
      </c>
      <c r="P62" s="43"/>
      <c r="Q62" s="44">
        <f t="shared" ref="Q62" si="254">20*0.8</f>
        <v>16</v>
      </c>
      <c r="R62" s="43"/>
      <c r="S62" s="44">
        <f t="shared" ref="S62" si="255">20*0.8</f>
        <v>16</v>
      </c>
    </row>
    <row r="63" spans="1:19" x14ac:dyDescent="0.2">
      <c r="A63" s="43" t="s">
        <v>133</v>
      </c>
      <c r="B63" s="45">
        <f>B22</f>
        <v>0.15008210180623971</v>
      </c>
      <c r="C63" s="44">
        <f>ROUND(C62*B63,2)</f>
        <v>2.4</v>
      </c>
      <c r="D63" s="45">
        <f t="shared" ref="D63" si="256">D22</f>
        <v>0.15008210180623971</v>
      </c>
      <c r="E63" s="44">
        <f t="shared" ref="E63" si="257">ROUND(E62*D63,2)</f>
        <v>2.4</v>
      </c>
      <c r="F63" s="45">
        <f t="shared" ref="F63" si="258">F22</f>
        <v>0.15008210180623971</v>
      </c>
      <c r="G63" s="44">
        <f t="shared" ref="G63" si="259">ROUND(G62*F63,2)</f>
        <v>2.4</v>
      </c>
      <c r="H63" s="45">
        <f t="shared" ref="H63" si="260">H22</f>
        <v>0.15008210180623971</v>
      </c>
      <c r="I63" s="44">
        <f t="shared" ref="I63" si="261">ROUND(I62*H63,2)</f>
        <v>2.4</v>
      </c>
      <c r="J63" s="45">
        <f t="shared" ref="J63" si="262">J22</f>
        <v>0.15008210180623971</v>
      </c>
      <c r="K63" s="44">
        <f t="shared" ref="K63" si="263">ROUND(K62*J63,2)</f>
        <v>2.4</v>
      </c>
      <c r="L63" s="45">
        <f t="shared" ref="L63" si="264">L22</f>
        <v>0.15008210180623971</v>
      </c>
      <c r="M63" s="44">
        <f t="shared" ref="M63" si="265">ROUND(M62*L63,2)</f>
        <v>2.4</v>
      </c>
      <c r="N63" s="45">
        <f t="shared" ref="N63" si="266">N22</f>
        <v>0.15008210180623971</v>
      </c>
      <c r="O63" s="44">
        <f t="shared" ref="O63" si="267">ROUND(O62*N63,2)</f>
        <v>2.4</v>
      </c>
      <c r="P63" s="45">
        <f t="shared" ref="P63" si="268">P22</f>
        <v>0.15008210180623971</v>
      </c>
      <c r="Q63" s="44">
        <f t="shared" ref="Q63" si="269">ROUND(Q62*P63,2)</f>
        <v>2.4</v>
      </c>
      <c r="R63" s="45">
        <f t="shared" ref="R63" si="270">R22</f>
        <v>0.15008210180623971</v>
      </c>
      <c r="S63" s="44">
        <f t="shared" ref="S63" si="271">ROUND(S62*R63,2)</f>
        <v>2.4</v>
      </c>
    </row>
    <row r="64" spans="1:19" x14ac:dyDescent="0.2">
      <c r="A64" s="43" t="s">
        <v>158</v>
      </c>
      <c r="B64" s="43"/>
      <c r="C64" s="44">
        <f>SUM(C62:C63)</f>
        <v>18.399999999999999</v>
      </c>
      <c r="D64" s="43"/>
      <c r="E64" s="44">
        <f t="shared" ref="E64" si="272">SUM(E62:E63)</f>
        <v>18.399999999999999</v>
      </c>
      <c r="F64" s="43"/>
      <c r="G64" s="44">
        <f t="shared" ref="G64" si="273">SUM(G62:G63)</f>
        <v>18.399999999999999</v>
      </c>
      <c r="H64" s="43"/>
      <c r="I64" s="44">
        <f t="shared" ref="I64" si="274">SUM(I62:I63)</f>
        <v>18.399999999999999</v>
      </c>
      <c r="J64" s="43"/>
      <c r="K64" s="44">
        <f t="shared" ref="K64" si="275">SUM(K62:K63)</f>
        <v>18.399999999999999</v>
      </c>
      <c r="L64" s="43"/>
      <c r="M64" s="44">
        <f t="shared" ref="M64" si="276">SUM(M62:M63)</f>
        <v>18.399999999999999</v>
      </c>
      <c r="N64" s="43"/>
      <c r="O64" s="44">
        <f t="shared" ref="O64" si="277">SUM(O62:O63)</f>
        <v>18.399999999999999</v>
      </c>
      <c r="P64" s="43"/>
      <c r="Q64" s="44">
        <f t="shared" ref="Q64" si="278">SUM(Q62:Q63)</f>
        <v>18.399999999999999</v>
      </c>
      <c r="R64" s="43"/>
      <c r="S64" s="44">
        <f t="shared" ref="S64" si="279">SUM(S62:S63)</f>
        <v>18.399999999999999</v>
      </c>
    </row>
    <row r="65" spans="1:19" x14ac:dyDescent="0.2">
      <c r="A65" s="43" t="s">
        <v>150</v>
      </c>
      <c r="B65" s="43">
        <f>ROUNDUP(B50/8,0)</f>
        <v>24</v>
      </c>
      <c r="C65" s="44">
        <f>C64*B65</f>
        <v>441.59999999999997</v>
      </c>
      <c r="D65" s="43">
        <f t="shared" ref="D65" si="280">ROUNDUP(D50/8,0)</f>
        <v>24</v>
      </c>
      <c r="E65" s="44">
        <f t="shared" ref="E65" si="281">E64*D65</f>
        <v>441.59999999999997</v>
      </c>
      <c r="F65" s="43">
        <f t="shared" ref="F65" si="282">ROUNDUP(F50/8,0)</f>
        <v>25</v>
      </c>
      <c r="G65" s="44">
        <f t="shared" ref="G65" si="283">G64*F65</f>
        <v>459.99999999999994</v>
      </c>
      <c r="H65" s="43">
        <f t="shared" ref="H65" si="284">ROUNDUP(H50/8,0)</f>
        <v>24</v>
      </c>
      <c r="I65" s="44">
        <f t="shared" ref="I65" si="285">I64*H65</f>
        <v>441.59999999999997</v>
      </c>
      <c r="J65" s="43">
        <f t="shared" ref="J65" si="286">ROUNDUP(J50/8,0)</f>
        <v>24</v>
      </c>
      <c r="K65" s="44">
        <f t="shared" ref="K65" si="287">K64*J65</f>
        <v>441.59999999999997</v>
      </c>
      <c r="L65" s="43">
        <f t="shared" ref="L65" si="288">ROUNDUP(L50/8,0)</f>
        <v>24</v>
      </c>
      <c r="M65" s="44">
        <f t="shared" ref="M65" si="289">M64*L65</f>
        <v>441.59999999999997</v>
      </c>
      <c r="N65" s="43">
        <f t="shared" ref="N65" si="290">ROUNDUP(N50/8,0)</f>
        <v>24</v>
      </c>
      <c r="O65" s="44">
        <f t="shared" ref="O65" si="291">O64*N65</f>
        <v>441.59999999999997</v>
      </c>
      <c r="P65" s="43">
        <f t="shared" ref="P65" si="292">ROUNDUP(P50/8,0)</f>
        <v>24</v>
      </c>
      <c r="Q65" s="44">
        <f t="shared" ref="Q65" si="293">Q64*P65</f>
        <v>441.59999999999997</v>
      </c>
      <c r="R65" s="43">
        <f t="shared" ref="R65" si="294">ROUNDUP(R50/8,0)</f>
        <v>24</v>
      </c>
      <c r="S65" s="44">
        <f t="shared" ref="S65" si="295">S64*R65</f>
        <v>441.59999999999997</v>
      </c>
    </row>
    <row r="66" spans="1:19" x14ac:dyDescent="0.2">
      <c r="A66" s="43" t="s">
        <v>151</v>
      </c>
      <c r="B66" s="43">
        <f>ROUNDUP(B51/8,0)</f>
        <v>24</v>
      </c>
      <c r="C66" s="44">
        <f>C64*B66</f>
        <v>441.59999999999997</v>
      </c>
      <c r="D66" s="43">
        <f t="shared" ref="D66" si="296">ROUNDUP(D51/8,0)</f>
        <v>24</v>
      </c>
      <c r="E66" s="44">
        <f t="shared" ref="E66" si="297">E64*D66</f>
        <v>441.59999999999997</v>
      </c>
      <c r="F66" s="43">
        <f t="shared" ref="F66" si="298">ROUNDUP(F51/8,0)</f>
        <v>25</v>
      </c>
      <c r="G66" s="44">
        <f t="shared" ref="G66" si="299">G64*F66</f>
        <v>459.99999999999994</v>
      </c>
      <c r="H66" s="43">
        <f t="shared" ref="H66" si="300">ROUNDUP(H51/8,0)</f>
        <v>24</v>
      </c>
      <c r="I66" s="44">
        <f t="shared" ref="I66" si="301">I64*H66</f>
        <v>441.59999999999997</v>
      </c>
      <c r="J66" s="43">
        <f t="shared" ref="J66" si="302">ROUNDUP(J51/8,0)</f>
        <v>24</v>
      </c>
      <c r="K66" s="44">
        <f t="shared" ref="K66" si="303">K64*J66</f>
        <v>441.59999999999997</v>
      </c>
      <c r="L66" s="43">
        <f t="shared" ref="L66" si="304">ROUNDUP(L51/8,0)</f>
        <v>24</v>
      </c>
      <c r="M66" s="44">
        <f t="shared" ref="M66" si="305">M64*L66</f>
        <v>441.59999999999997</v>
      </c>
      <c r="N66" s="43">
        <f t="shared" ref="N66" si="306">ROUNDUP(N51/8,0)</f>
        <v>24</v>
      </c>
      <c r="O66" s="44">
        <f t="shared" ref="O66" si="307">O64*N66</f>
        <v>441.59999999999997</v>
      </c>
      <c r="P66" s="43">
        <f t="shared" ref="P66" si="308">ROUNDUP(P51/8,0)</f>
        <v>24</v>
      </c>
      <c r="Q66" s="44">
        <f t="shared" ref="Q66" si="309">Q64*P66</f>
        <v>441.59999999999997</v>
      </c>
      <c r="R66" s="43">
        <f t="shared" ref="R66" si="310">ROUNDUP(R51/8,0)</f>
        <v>24</v>
      </c>
      <c r="S66" s="44">
        <f t="shared" ref="S66" si="311">S64*R66</f>
        <v>441.59999999999997</v>
      </c>
    </row>
    <row r="67" spans="1:19" x14ac:dyDescent="0.2">
      <c r="A67" s="43" t="s">
        <v>159</v>
      </c>
      <c r="B67" s="43"/>
      <c r="C67" s="44">
        <f>SUM(C65:C66)</f>
        <v>883.19999999999993</v>
      </c>
      <c r="D67" s="43"/>
      <c r="E67" s="44">
        <f t="shared" ref="E67" si="312">SUM(E65:E66)</f>
        <v>883.19999999999993</v>
      </c>
      <c r="F67" s="43"/>
      <c r="G67" s="44">
        <f t="shared" ref="G67" si="313">SUM(G65:G66)</f>
        <v>919.99999999999989</v>
      </c>
      <c r="H67" s="43"/>
      <c r="I67" s="44">
        <f t="shared" ref="I67" si="314">SUM(I65:I66)</f>
        <v>883.19999999999993</v>
      </c>
      <c r="J67" s="43"/>
      <c r="K67" s="44">
        <f t="shared" ref="K67" si="315">SUM(K65:K66)</f>
        <v>883.19999999999993</v>
      </c>
      <c r="L67" s="43"/>
      <c r="M67" s="44">
        <f t="shared" ref="M67" si="316">SUM(M65:M66)</f>
        <v>883.19999999999993</v>
      </c>
      <c r="N67" s="43"/>
      <c r="O67" s="44">
        <f t="shared" ref="O67" si="317">SUM(O65:O66)</f>
        <v>883.19999999999993</v>
      </c>
      <c r="P67" s="43"/>
      <c r="Q67" s="44">
        <f t="shared" ref="Q67" si="318">SUM(Q65:Q66)</f>
        <v>883.19999999999993</v>
      </c>
      <c r="R67" s="43"/>
      <c r="S67" s="44">
        <f t="shared" ref="S67" si="319">SUM(S65:S66)</f>
        <v>883.19999999999993</v>
      </c>
    </row>
    <row r="68" spans="1:19" x14ac:dyDescent="0.2">
      <c r="A68" s="1" t="s">
        <v>161</v>
      </c>
    </row>
    <row r="69" spans="1:19" ht="24.75" customHeight="1" x14ac:dyDescent="0.2">
      <c r="A69" s="38" t="s">
        <v>126</v>
      </c>
      <c r="B69" s="92" t="str">
        <f>B15</f>
        <v>Auxiliar Técnico Operacional</v>
      </c>
      <c r="C69" s="91"/>
      <c r="D69" s="92" t="str">
        <f t="shared" ref="D69" si="320">D15</f>
        <v>Coordenador(a) Administrativo(a)</v>
      </c>
      <c r="E69" s="91"/>
      <c r="F69" s="92" t="str">
        <f t="shared" ref="F69" si="321">F15</f>
        <v>Copeiro(a)</v>
      </c>
      <c r="G69" s="91"/>
      <c r="H69" s="92" t="str">
        <f t="shared" ref="H69" si="322">H15</f>
        <v>Garçom/garçonete</v>
      </c>
      <c r="I69" s="91"/>
      <c r="J69" s="92" t="str">
        <f t="shared" ref="J69" si="323">J15</f>
        <v>Maître</v>
      </c>
      <c r="K69" s="91"/>
      <c r="L69" s="92" t="str">
        <f t="shared" ref="L69" si="324">L15</f>
        <v>Mensageiro(a)</v>
      </c>
      <c r="M69" s="91"/>
      <c r="N69" s="92" t="str">
        <f t="shared" ref="N69" si="325">N15</f>
        <v>Recepcionista I</v>
      </c>
      <c r="O69" s="91"/>
      <c r="P69" s="92" t="str">
        <f t="shared" ref="P69" si="326">P15</f>
        <v>Recepcionista III</v>
      </c>
      <c r="Q69" s="91"/>
      <c r="R69" s="92" t="str">
        <f t="shared" ref="R69" si="327">R15</f>
        <v>Recepcionista IV</v>
      </c>
      <c r="S69" s="91"/>
    </row>
    <row r="70" spans="1:19" x14ac:dyDescent="0.2">
      <c r="A70" s="42" t="s">
        <v>148</v>
      </c>
      <c r="B70" s="43" t="s">
        <v>162</v>
      </c>
      <c r="C70" s="44">
        <f>C31</f>
        <v>700.56000000000006</v>
      </c>
      <c r="D70" s="43" t="s">
        <v>162</v>
      </c>
      <c r="E70" s="44">
        <f t="shared" ref="E70" si="328">E31</f>
        <v>664.72</v>
      </c>
      <c r="F70" s="43" t="s">
        <v>162</v>
      </c>
      <c r="G70" s="44">
        <f t="shared" ref="G70" si="329">G31</f>
        <v>679.28000000000009</v>
      </c>
      <c r="H70" s="43" t="s">
        <v>162</v>
      </c>
      <c r="I70" s="44">
        <f t="shared" ref="I70" si="330">I31</f>
        <v>473</v>
      </c>
      <c r="J70" s="43" t="s">
        <v>162</v>
      </c>
      <c r="K70" s="44">
        <f t="shared" ref="K70" si="331">K31</f>
        <v>779.52</v>
      </c>
      <c r="L70" s="43" t="s">
        <v>162</v>
      </c>
      <c r="M70" s="44">
        <f t="shared" ref="M70" si="332">M31</f>
        <v>284.48</v>
      </c>
      <c r="N70" s="43" t="s">
        <v>162</v>
      </c>
      <c r="O70" s="44">
        <f t="shared" ref="O70" si="333">O31</f>
        <v>406</v>
      </c>
      <c r="P70" s="43" t="s">
        <v>162</v>
      </c>
      <c r="Q70" s="44">
        <f t="shared" ref="Q70" si="334">Q31</f>
        <v>519.04</v>
      </c>
      <c r="R70" s="43" t="s">
        <v>162</v>
      </c>
      <c r="S70" s="44">
        <f t="shared" ref="S70" si="335">S31</f>
        <v>597.76</v>
      </c>
    </row>
    <row r="71" spans="1:19" x14ac:dyDescent="0.2">
      <c r="A71" s="40">
        <f>SUM(B73:S73)</f>
        <v>5667.4</v>
      </c>
      <c r="B71" s="43" t="s">
        <v>163</v>
      </c>
      <c r="C71" s="44">
        <f>C39</f>
        <v>25.759999999999998</v>
      </c>
      <c r="D71" s="43" t="s">
        <v>163</v>
      </c>
      <c r="E71" s="44">
        <f t="shared" ref="E71" si="336">E39</f>
        <v>25.759999999999998</v>
      </c>
      <c r="F71" s="43" t="s">
        <v>163</v>
      </c>
      <c r="G71" s="44">
        <f t="shared" ref="G71" si="337">G39</f>
        <v>25.759999999999998</v>
      </c>
      <c r="H71" s="43" t="s">
        <v>163</v>
      </c>
      <c r="I71" s="44">
        <f t="shared" ref="I71" si="338">I39</f>
        <v>25.759999999999998</v>
      </c>
      <c r="J71" s="43" t="s">
        <v>163</v>
      </c>
      <c r="K71" s="44">
        <f t="shared" ref="K71" si="339">K39</f>
        <v>25.759999999999998</v>
      </c>
      <c r="L71" s="43" t="s">
        <v>163</v>
      </c>
      <c r="M71" s="44">
        <f t="shared" ref="M71" si="340">M39</f>
        <v>25.759999999999998</v>
      </c>
      <c r="N71" s="43" t="s">
        <v>163</v>
      </c>
      <c r="O71" s="44">
        <f t="shared" ref="O71" si="341">O39</f>
        <v>25.759999999999998</v>
      </c>
      <c r="P71" s="43" t="s">
        <v>163</v>
      </c>
      <c r="Q71" s="44">
        <f t="shared" ref="Q71" si="342">Q39</f>
        <v>25.759999999999998</v>
      </c>
      <c r="R71" s="43" t="s">
        <v>163</v>
      </c>
      <c r="S71" s="44">
        <f t="shared" ref="S71" si="343">S39</f>
        <v>25.759999999999998</v>
      </c>
    </row>
    <row r="72" spans="1:19" x14ac:dyDescent="0.2">
      <c r="A72" s="39"/>
      <c r="B72" s="43" t="s">
        <v>164</v>
      </c>
      <c r="C72" s="44">
        <f>C46</f>
        <v>36.799999999999997</v>
      </c>
      <c r="D72" s="43" t="s">
        <v>164</v>
      </c>
      <c r="E72" s="44">
        <f t="shared" ref="E72" si="344">E46</f>
        <v>36.799999999999997</v>
      </c>
      <c r="F72" s="43" t="s">
        <v>164</v>
      </c>
      <c r="G72" s="44">
        <f t="shared" ref="G72" si="345">G46</f>
        <v>36.799999999999997</v>
      </c>
      <c r="H72" s="43" t="s">
        <v>164</v>
      </c>
      <c r="I72" s="44">
        <f t="shared" ref="I72" si="346">I46</f>
        <v>36.799999999999997</v>
      </c>
      <c r="J72" s="43" t="s">
        <v>164</v>
      </c>
      <c r="K72" s="44">
        <f t="shared" ref="K72" si="347">K46</f>
        <v>36.799999999999997</v>
      </c>
      <c r="L72" s="43" t="s">
        <v>164</v>
      </c>
      <c r="M72" s="44">
        <f t="shared" ref="M72" si="348">M46</f>
        <v>36.799999999999997</v>
      </c>
      <c r="N72" s="43" t="s">
        <v>164</v>
      </c>
      <c r="O72" s="44">
        <f t="shared" ref="O72" si="349">O46</f>
        <v>36.799999999999997</v>
      </c>
      <c r="P72" s="43" t="s">
        <v>164</v>
      </c>
      <c r="Q72" s="44">
        <f t="shared" ref="Q72" si="350">Q46</f>
        <v>36.799999999999997</v>
      </c>
      <c r="R72" s="43" t="s">
        <v>164</v>
      </c>
      <c r="S72" s="44">
        <f t="shared" ref="S72" si="351">S46</f>
        <v>36.799999999999997</v>
      </c>
    </row>
    <row r="73" spans="1:19" x14ac:dyDescent="0.2">
      <c r="A73" s="41"/>
      <c r="B73" s="43" t="s">
        <v>165</v>
      </c>
      <c r="C73" s="44">
        <f>SUM(C70:C72)</f>
        <v>763.12</v>
      </c>
      <c r="D73" s="43" t="s">
        <v>165</v>
      </c>
      <c r="E73" s="44">
        <f t="shared" ref="E73" si="352">SUM(E70:E72)</f>
        <v>727.28</v>
      </c>
      <c r="F73" s="43" t="s">
        <v>165</v>
      </c>
      <c r="G73" s="44">
        <f t="shared" ref="G73" si="353">SUM(G70:G72)</f>
        <v>741.84</v>
      </c>
      <c r="H73" s="43" t="s">
        <v>165</v>
      </c>
      <c r="I73" s="44">
        <f t="shared" ref="I73" si="354">SUM(I70:I72)</f>
        <v>535.55999999999995</v>
      </c>
      <c r="J73" s="43" t="s">
        <v>165</v>
      </c>
      <c r="K73" s="44">
        <f t="shared" ref="K73" si="355">SUM(K70:K72)</f>
        <v>842.07999999999993</v>
      </c>
      <c r="L73" s="43" t="s">
        <v>165</v>
      </c>
      <c r="M73" s="44">
        <f t="shared" ref="M73" si="356">SUM(M70:M72)</f>
        <v>347.04</v>
      </c>
      <c r="N73" s="43" t="s">
        <v>165</v>
      </c>
      <c r="O73" s="44">
        <f t="shared" ref="O73" si="357">SUM(O70:O72)</f>
        <v>468.56</v>
      </c>
      <c r="P73" s="43" t="s">
        <v>165</v>
      </c>
      <c r="Q73" s="44">
        <f t="shared" ref="Q73" si="358">SUM(Q70:Q72)</f>
        <v>581.59999999999991</v>
      </c>
      <c r="R73" s="43" t="s">
        <v>165</v>
      </c>
      <c r="S73" s="44">
        <f t="shared" ref="S73" si="359">SUM(S70:S72)</f>
        <v>660.31999999999994</v>
      </c>
    </row>
    <row r="74" spans="1:19" x14ac:dyDescent="0.2">
      <c r="A74" s="42" t="s">
        <v>160</v>
      </c>
      <c r="B74" s="43" t="s">
        <v>162</v>
      </c>
      <c r="C74" s="44">
        <f>C52</f>
        <v>15272</v>
      </c>
      <c r="D74" s="43" t="s">
        <v>162</v>
      </c>
      <c r="E74" s="44">
        <f t="shared" ref="E74" si="360">E52</f>
        <v>15272</v>
      </c>
      <c r="F74" s="43" t="s">
        <v>162</v>
      </c>
      <c r="G74" s="44">
        <f t="shared" ref="G74" si="361">G52</f>
        <v>16192</v>
      </c>
      <c r="H74" s="43" t="s">
        <v>162</v>
      </c>
      <c r="I74" s="44">
        <f t="shared" ref="I74" si="362">I52</f>
        <v>15272</v>
      </c>
      <c r="J74" s="43" t="s">
        <v>162</v>
      </c>
      <c r="K74" s="44">
        <f t="shared" ref="K74" si="363">K52</f>
        <v>15272</v>
      </c>
      <c r="L74" s="43" t="s">
        <v>162</v>
      </c>
      <c r="M74" s="44">
        <f t="shared" ref="M74" si="364">M52</f>
        <v>15272</v>
      </c>
      <c r="N74" s="43" t="s">
        <v>162</v>
      </c>
      <c r="O74" s="44">
        <f t="shared" ref="O74" si="365">O52</f>
        <v>15272</v>
      </c>
      <c r="P74" s="43" t="s">
        <v>162</v>
      </c>
      <c r="Q74" s="44">
        <f t="shared" ref="Q74" si="366">Q52</f>
        <v>15272</v>
      </c>
      <c r="R74" s="43" t="s">
        <v>162</v>
      </c>
      <c r="S74" s="44">
        <f t="shared" ref="S74" si="367">S52</f>
        <v>15272</v>
      </c>
    </row>
    <row r="75" spans="1:19" x14ac:dyDescent="0.2">
      <c r="A75" s="40">
        <f>SUM(B77:S77)</f>
        <v>155927.12</v>
      </c>
      <c r="B75" s="43" t="s">
        <v>163</v>
      </c>
      <c r="C75" s="44">
        <f>C60</f>
        <v>618.24</v>
      </c>
      <c r="D75" s="43" t="s">
        <v>163</v>
      </c>
      <c r="E75" s="44">
        <f t="shared" ref="E75" si="368">E60</f>
        <v>728.64</v>
      </c>
      <c r="F75" s="43" t="s">
        <v>163</v>
      </c>
      <c r="G75" s="44">
        <f t="shared" ref="G75" si="369">G60</f>
        <v>874</v>
      </c>
      <c r="H75" s="43" t="s">
        <v>163</v>
      </c>
      <c r="I75" s="44">
        <f t="shared" ref="I75" si="370">I60</f>
        <v>949.44</v>
      </c>
      <c r="J75" s="43" t="s">
        <v>163</v>
      </c>
      <c r="K75" s="44">
        <f t="shared" ref="K75" si="371">K60</f>
        <v>1059.8399999999999</v>
      </c>
      <c r="L75" s="43" t="s">
        <v>163</v>
      </c>
      <c r="M75" s="44">
        <f t="shared" ref="M75" si="372">M60</f>
        <v>1170.24</v>
      </c>
      <c r="N75" s="43" t="s">
        <v>163</v>
      </c>
      <c r="O75" s="44">
        <f t="shared" ref="O75" si="373">O60</f>
        <v>1280.6399999999999</v>
      </c>
      <c r="P75" s="43" t="s">
        <v>163</v>
      </c>
      <c r="Q75" s="44">
        <f t="shared" ref="Q75" si="374">Q60</f>
        <v>1391.04</v>
      </c>
      <c r="R75" s="43" t="s">
        <v>163</v>
      </c>
      <c r="S75" s="44">
        <f t="shared" ref="S75" si="375">S60</f>
        <v>1501.44</v>
      </c>
    </row>
    <row r="76" spans="1:19" x14ac:dyDescent="0.2">
      <c r="A76" s="39"/>
      <c r="B76" s="43" t="s">
        <v>164</v>
      </c>
      <c r="C76" s="44">
        <f>C67</f>
        <v>883.19999999999993</v>
      </c>
      <c r="D76" s="43" t="s">
        <v>164</v>
      </c>
      <c r="E76" s="44">
        <f t="shared" ref="E76" si="376">E67</f>
        <v>883.19999999999993</v>
      </c>
      <c r="F76" s="43" t="s">
        <v>164</v>
      </c>
      <c r="G76" s="44">
        <f t="shared" ref="G76" si="377">G67</f>
        <v>919.99999999999989</v>
      </c>
      <c r="H76" s="43" t="s">
        <v>164</v>
      </c>
      <c r="I76" s="44">
        <f t="shared" ref="I76" si="378">I67</f>
        <v>883.19999999999993</v>
      </c>
      <c r="J76" s="43" t="s">
        <v>164</v>
      </c>
      <c r="K76" s="44">
        <f t="shared" ref="K76" si="379">K67</f>
        <v>883.19999999999993</v>
      </c>
      <c r="L76" s="43" t="s">
        <v>164</v>
      </c>
      <c r="M76" s="44">
        <f t="shared" ref="M76" si="380">M67</f>
        <v>883.19999999999993</v>
      </c>
      <c r="N76" s="43" t="s">
        <v>164</v>
      </c>
      <c r="O76" s="44">
        <f t="shared" ref="O76" si="381">O67</f>
        <v>883.19999999999993</v>
      </c>
      <c r="P76" s="43" t="s">
        <v>164</v>
      </c>
      <c r="Q76" s="44">
        <f t="shared" ref="Q76" si="382">Q67</f>
        <v>883.19999999999993</v>
      </c>
      <c r="R76" s="43" t="s">
        <v>164</v>
      </c>
      <c r="S76" s="44">
        <f t="shared" ref="S76" si="383">S67</f>
        <v>883.19999999999993</v>
      </c>
    </row>
    <row r="77" spans="1:19" x14ac:dyDescent="0.2">
      <c r="A77" s="41"/>
      <c r="B77" s="43" t="s">
        <v>165</v>
      </c>
      <c r="C77" s="44">
        <f>SUM(C74:C76)</f>
        <v>16773.439999999999</v>
      </c>
      <c r="D77" s="43" t="s">
        <v>165</v>
      </c>
      <c r="E77" s="44">
        <f t="shared" ref="E77" si="384">SUM(E74:E76)</f>
        <v>16883.84</v>
      </c>
      <c r="F77" s="43" t="s">
        <v>165</v>
      </c>
      <c r="G77" s="44">
        <f t="shared" ref="G77" si="385">SUM(G74:G76)</f>
        <v>17986</v>
      </c>
      <c r="H77" s="43" t="s">
        <v>165</v>
      </c>
      <c r="I77" s="44">
        <f t="shared" ref="I77" si="386">SUM(I74:I76)</f>
        <v>17104.64</v>
      </c>
      <c r="J77" s="43" t="s">
        <v>165</v>
      </c>
      <c r="K77" s="44">
        <f t="shared" ref="K77" si="387">SUM(K74:K76)</f>
        <v>17215.04</v>
      </c>
      <c r="L77" s="43" t="s">
        <v>165</v>
      </c>
      <c r="M77" s="44">
        <f t="shared" ref="M77" si="388">SUM(M74:M76)</f>
        <v>17325.440000000002</v>
      </c>
      <c r="N77" s="43" t="s">
        <v>165</v>
      </c>
      <c r="O77" s="44">
        <f t="shared" ref="O77" si="389">SUM(O74:O76)</f>
        <v>17435.84</v>
      </c>
      <c r="P77" s="43" t="s">
        <v>165</v>
      </c>
      <c r="Q77" s="44">
        <f t="shared" ref="Q77" si="390">SUM(Q74:Q76)</f>
        <v>17546.240000000002</v>
      </c>
      <c r="R77" s="43" t="s">
        <v>165</v>
      </c>
      <c r="S77" s="44">
        <f t="shared" ref="S77" si="391">SUM(S74:S76)</f>
        <v>17656.64</v>
      </c>
    </row>
  </sheetData>
  <mergeCells count="36">
    <mergeCell ref="N15:O15"/>
    <mergeCell ref="P15:Q15"/>
    <mergeCell ref="R15:S15"/>
    <mergeCell ref="B27:C27"/>
    <mergeCell ref="D27:E27"/>
    <mergeCell ref="F27:G27"/>
    <mergeCell ref="H27:I27"/>
    <mergeCell ref="J27:K27"/>
    <mergeCell ref="L27:M27"/>
    <mergeCell ref="N27:O27"/>
    <mergeCell ref="B15:C15"/>
    <mergeCell ref="D15:E15"/>
    <mergeCell ref="F15:G15"/>
    <mergeCell ref="H15:I15"/>
    <mergeCell ref="J15:K15"/>
    <mergeCell ref="L15:M15"/>
    <mergeCell ref="P27:Q27"/>
    <mergeCell ref="R27:S27"/>
    <mergeCell ref="B48:C48"/>
    <mergeCell ref="D48:E48"/>
    <mergeCell ref="F48:G48"/>
    <mergeCell ref="H48:I48"/>
    <mergeCell ref="J48:K48"/>
    <mergeCell ref="L48:M48"/>
    <mergeCell ref="N48:O48"/>
    <mergeCell ref="P48:Q48"/>
    <mergeCell ref="R48:S48"/>
    <mergeCell ref="B69:C69"/>
    <mergeCell ref="D69:E69"/>
    <mergeCell ref="F69:G69"/>
    <mergeCell ref="H69:I69"/>
    <mergeCell ref="J69:K69"/>
    <mergeCell ref="L69:M69"/>
    <mergeCell ref="N69:O69"/>
    <mergeCell ref="P69:Q69"/>
    <mergeCell ref="R69:S69"/>
  </mergeCells>
  <pageMargins left="0.511811024" right="0.511811024" top="0.99020833333333336" bottom="0.78740157499999996" header="0.31496062000000002" footer="0.31496062000000002"/>
  <pageSetup paperSize="9" scale="75" fitToHeight="4" orientation="landscape" r:id="rId1"/>
  <headerFooter>
    <oddHeader>&amp;C&amp;G</oddHeader>
    <oddFooter>&amp;L&amp;"-,Negrito"Documento elaborado em &amp;D</oddFooter>
  </headerFooter>
  <rowBreaks count="3" manualBreakCount="3">
    <brk id="25" max="16383" man="1"/>
    <brk id="46" max="16383" man="1"/>
    <brk id="67" max="16383" man="1"/>
  </row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zoomScaleNormal="100" zoomScaleSheetLayoutView="100" workbookViewId="0">
      <selection activeCell="E41" sqref="E41"/>
    </sheetView>
  </sheetViews>
  <sheetFormatPr defaultRowHeight="12.75" x14ac:dyDescent="0.2"/>
  <cols>
    <col min="1" max="1" width="26.140625" style="1" customWidth="1"/>
    <col min="2" max="2" width="9.140625" style="1"/>
    <col min="3" max="3" width="9.140625" style="49"/>
    <col min="4" max="16384" width="9.140625" style="1"/>
  </cols>
  <sheetData>
    <row r="1" spans="1:3" x14ac:dyDescent="0.2">
      <c r="A1" s="53" t="s">
        <v>168</v>
      </c>
    </row>
    <row r="3" spans="1:3" x14ac:dyDescent="0.2">
      <c r="A3" s="43" t="s">
        <v>152</v>
      </c>
      <c r="B3" s="50"/>
      <c r="C3" s="51">
        <v>180</v>
      </c>
    </row>
    <row r="4" spans="1:3" x14ac:dyDescent="0.2">
      <c r="A4" s="43" t="s">
        <v>169</v>
      </c>
      <c r="B4" s="50"/>
      <c r="C4" s="51">
        <f>-5.6*2</f>
        <v>-11.2</v>
      </c>
    </row>
    <row r="5" spans="1:3" x14ac:dyDescent="0.2">
      <c r="A5" s="43" t="s">
        <v>170</v>
      </c>
      <c r="B5" s="50"/>
      <c r="C5" s="51">
        <f>SUM(C3:C4)</f>
        <v>168.8</v>
      </c>
    </row>
    <row r="6" spans="1:3" x14ac:dyDescent="0.2">
      <c r="A6" s="43" t="s">
        <v>171</v>
      </c>
      <c r="B6" s="52">
        <f>auxtecop!C137</f>
        <v>0.15008210180623971</v>
      </c>
      <c r="C6" s="51">
        <f>ROUND(C5*B6,2)</f>
        <v>25.33</v>
      </c>
    </row>
    <row r="7" spans="1:3" x14ac:dyDescent="0.2">
      <c r="A7" s="43" t="s">
        <v>172</v>
      </c>
      <c r="B7" s="50"/>
      <c r="C7" s="51">
        <f>SUM(C5:C6)</f>
        <v>194.13</v>
      </c>
    </row>
    <row r="8" spans="1:3" x14ac:dyDescent="0.2">
      <c r="A8" s="43" t="s">
        <v>173</v>
      </c>
      <c r="B8" s="50">
        <v>40</v>
      </c>
      <c r="C8" s="51">
        <f>C7*B8</f>
        <v>7765.2</v>
      </c>
    </row>
    <row r="9" spans="1:3" x14ac:dyDescent="0.2">
      <c r="A9" s="43" t="s">
        <v>174</v>
      </c>
      <c r="B9" s="50">
        <v>80</v>
      </c>
      <c r="C9" s="51">
        <f>C7*B9</f>
        <v>15530.4</v>
      </c>
    </row>
  </sheetData>
  <pageMargins left="0.511811024" right="0.511811024" top="0.99020833333333336" bottom="0.78740157499999996" header="0.31496062000000002" footer="0.31496062000000002"/>
  <pageSetup paperSize="9" scale="97" orientation="portrait" r:id="rId1"/>
  <headerFooter>
    <oddHeader>&amp;C&amp;G</oddHeader>
    <oddFooter>&amp;L&amp;"-,Negrito"Documento elaborado em &amp;D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zoomScaleNormal="100" zoomScaleSheetLayoutView="100" workbookViewId="0">
      <selection activeCell="E41" sqref="E41"/>
    </sheetView>
  </sheetViews>
  <sheetFormatPr defaultRowHeight="12.75" x14ac:dyDescent="0.25"/>
  <cols>
    <col min="1" max="1" width="5.7109375" style="54" customWidth="1"/>
    <col min="2" max="2" width="25.7109375" style="54" customWidth="1"/>
    <col min="3" max="3" width="15.7109375" style="54" customWidth="1"/>
    <col min="4" max="4" width="10.7109375" style="54" customWidth="1"/>
    <col min="5" max="6" width="15.7109375" style="54" customWidth="1"/>
    <col min="7" max="16384" width="9.140625" style="54"/>
  </cols>
  <sheetData>
    <row r="1" spans="1:6" x14ac:dyDescent="0.25">
      <c r="A1" s="57" t="s">
        <v>175</v>
      </c>
    </row>
    <row r="3" spans="1:6" x14ac:dyDescent="0.25">
      <c r="A3" s="57" t="s">
        <v>176</v>
      </c>
    </row>
    <row r="4" spans="1:6" s="55" customFormat="1" ht="25.5" x14ac:dyDescent="0.25">
      <c r="A4" s="58" t="s">
        <v>177</v>
      </c>
      <c r="B4" s="58" t="s">
        <v>178</v>
      </c>
      <c r="C4" s="58" t="s">
        <v>179</v>
      </c>
      <c r="D4" s="58" t="s">
        <v>180</v>
      </c>
      <c r="E4" s="58" t="s">
        <v>181</v>
      </c>
      <c r="F4" s="58" t="s">
        <v>182</v>
      </c>
    </row>
    <row r="5" spans="1:6" x14ac:dyDescent="0.25">
      <c r="A5" s="59">
        <v>1</v>
      </c>
      <c r="B5" s="61" t="str">
        <f>auxtecop!A6</f>
        <v>Auxiliar Técnico Operacional</v>
      </c>
      <c r="C5" s="60">
        <f>auxtecop!D150</f>
        <v>5566.93</v>
      </c>
      <c r="D5" s="59">
        <f>auxtecop!D6</f>
        <v>2</v>
      </c>
      <c r="E5" s="60">
        <f>C5*D5</f>
        <v>11133.86</v>
      </c>
      <c r="F5" s="60">
        <f>E5*12</f>
        <v>133606.32</v>
      </c>
    </row>
    <row r="6" spans="1:6" ht="25.5" x14ac:dyDescent="0.25">
      <c r="A6" s="59">
        <v>2</v>
      </c>
      <c r="B6" s="61" t="str">
        <f>coordadm!A6</f>
        <v>Coordenador(a) Administrativo(a)</v>
      </c>
      <c r="C6" s="60">
        <f>coordadm!D150</f>
        <v>5333.87</v>
      </c>
      <c r="D6" s="59">
        <f>coordadm!D6</f>
        <v>1</v>
      </c>
      <c r="E6" s="60">
        <f t="shared" ref="E6:E13" si="0">C6*D6</f>
        <v>5333.87</v>
      </c>
      <c r="F6" s="60">
        <f t="shared" ref="F6:F13" si="1">E6*12</f>
        <v>64006.44</v>
      </c>
    </row>
    <row r="7" spans="1:6" x14ac:dyDescent="0.25">
      <c r="A7" s="59">
        <v>3</v>
      </c>
      <c r="B7" s="61" t="str">
        <f>copeiro!A6</f>
        <v>Copeiro(a)</v>
      </c>
      <c r="C7" s="60">
        <f>copeiro!D150</f>
        <v>4048.68</v>
      </c>
      <c r="D7" s="59">
        <f>copeiro!D6</f>
        <v>3</v>
      </c>
      <c r="E7" s="60">
        <f t="shared" si="0"/>
        <v>12146.039999999999</v>
      </c>
      <c r="F7" s="60">
        <f t="shared" si="1"/>
        <v>145752.47999999998</v>
      </c>
    </row>
    <row r="8" spans="1:6" x14ac:dyDescent="0.25">
      <c r="A8" s="59">
        <v>4</v>
      </c>
      <c r="B8" s="61" t="str">
        <f>garcom!A6</f>
        <v>Garçom/garçonete</v>
      </c>
      <c r="C8" s="60">
        <f>garcom!D150</f>
        <v>4547.57</v>
      </c>
      <c r="D8" s="59">
        <f>garcom!D6</f>
        <v>3</v>
      </c>
      <c r="E8" s="60">
        <f t="shared" si="0"/>
        <v>13642.71</v>
      </c>
      <c r="F8" s="60">
        <f t="shared" si="1"/>
        <v>163712.51999999999</v>
      </c>
    </row>
    <row r="9" spans="1:6" x14ac:dyDescent="0.25">
      <c r="A9" s="59">
        <v>5</v>
      </c>
      <c r="B9" s="61" t="str">
        <f>maitre!A6</f>
        <v>Maître</v>
      </c>
      <c r="C9" s="60">
        <f>maitre!D150</f>
        <v>6090</v>
      </c>
      <c r="D9" s="59">
        <f>maitre!D6</f>
        <v>1</v>
      </c>
      <c r="E9" s="60">
        <f t="shared" si="0"/>
        <v>6090</v>
      </c>
      <c r="F9" s="60">
        <f t="shared" si="1"/>
        <v>73080</v>
      </c>
    </row>
    <row r="10" spans="1:6" x14ac:dyDescent="0.25">
      <c r="A10" s="59">
        <v>6</v>
      </c>
      <c r="B10" s="61" t="str">
        <f>mensag!A6</f>
        <v>Mensageiro(a)</v>
      </c>
      <c r="C10" s="60">
        <f>mensag!D150</f>
        <v>4153.0600000000004</v>
      </c>
      <c r="D10" s="59">
        <f>mensag!D6</f>
        <v>2</v>
      </c>
      <c r="E10" s="60">
        <f t="shared" si="0"/>
        <v>8306.1200000000008</v>
      </c>
      <c r="F10" s="60">
        <f t="shared" si="1"/>
        <v>99673.44</v>
      </c>
    </row>
    <row r="11" spans="1:6" x14ac:dyDescent="0.25">
      <c r="A11" s="59">
        <v>7</v>
      </c>
      <c r="B11" s="61" t="str">
        <f>recep1!A6</f>
        <v>Recepcionista I</v>
      </c>
      <c r="C11" s="60">
        <f>recep1!D150</f>
        <v>4059.84</v>
      </c>
      <c r="D11" s="59">
        <f>recep1!D6</f>
        <v>6</v>
      </c>
      <c r="E11" s="60">
        <f t="shared" si="0"/>
        <v>24359.040000000001</v>
      </c>
      <c r="F11" s="60">
        <f t="shared" si="1"/>
        <v>292308.47999999998</v>
      </c>
    </row>
    <row r="12" spans="1:6" x14ac:dyDescent="0.25">
      <c r="A12" s="59">
        <v>8</v>
      </c>
      <c r="B12" s="61" t="str">
        <f>recep3!A6</f>
        <v>Recepcionista III</v>
      </c>
      <c r="C12" s="60">
        <f>recep3!D150</f>
        <v>4409.2700000000004</v>
      </c>
      <c r="D12" s="59">
        <f>recep3!D6</f>
        <v>3</v>
      </c>
      <c r="E12" s="60">
        <f t="shared" si="0"/>
        <v>13227.810000000001</v>
      </c>
      <c r="F12" s="60">
        <f t="shared" si="1"/>
        <v>158733.72000000003</v>
      </c>
    </row>
    <row r="13" spans="1:6" x14ac:dyDescent="0.25">
      <c r="A13" s="59">
        <v>9</v>
      </c>
      <c r="B13" s="61" t="str">
        <f>recep4!A6</f>
        <v>Recepcionista IV</v>
      </c>
      <c r="C13" s="60">
        <f>recep4!D150</f>
        <v>4911.6099999999997</v>
      </c>
      <c r="D13" s="59">
        <f>recep4!D6</f>
        <v>7</v>
      </c>
      <c r="E13" s="60">
        <f t="shared" si="0"/>
        <v>34381.269999999997</v>
      </c>
      <c r="F13" s="60">
        <f t="shared" si="1"/>
        <v>412575.24</v>
      </c>
    </row>
    <row r="14" spans="1:6" x14ac:dyDescent="0.25">
      <c r="F14" s="60">
        <f>SUM(F5:F13)</f>
        <v>1543448.64</v>
      </c>
    </row>
    <row r="16" spans="1:6" x14ac:dyDescent="0.25">
      <c r="A16" s="57" t="s">
        <v>183</v>
      </c>
    </row>
    <row r="17" spans="1:6" s="56" customFormat="1" ht="25.5" x14ac:dyDescent="0.25">
      <c r="A17" s="58" t="s">
        <v>177</v>
      </c>
      <c r="B17" s="58" t="s">
        <v>178</v>
      </c>
      <c r="C17" s="58" t="s">
        <v>179</v>
      </c>
      <c r="D17" s="58" t="s">
        <v>180</v>
      </c>
      <c r="E17" s="58" t="s">
        <v>181</v>
      </c>
      <c r="F17" s="58" t="s">
        <v>184</v>
      </c>
    </row>
    <row r="18" spans="1:6" ht="25.5" x14ac:dyDescent="0.25">
      <c r="A18" s="59">
        <v>10</v>
      </c>
      <c r="B18" s="61" t="str">
        <f>copeiroad!A6</f>
        <v>Copeiro(a) - acréscimo em ano eleitoral</v>
      </c>
      <c r="C18" s="60">
        <f>copeiroad!D150</f>
        <v>4074.41</v>
      </c>
      <c r="D18" s="59">
        <f>copeiroad!D6</f>
        <v>2</v>
      </c>
      <c r="E18" s="60">
        <f>C18*D18</f>
        <v>8148.82</v>
      </c>
      <c r="F18" s="60">
        <f>E18*4</f>
        <v>32595.279999999999</v>
      </c>
    </row>
    <row r="19" spans="1:6" ht="25.5" x14ac:dyDescent="0.25">
      <c r="A19" s="59">
        <v>11</v>
      </c>
      <c r="B19" s="61" t="str">
        <f>garcomad!A6</f>
        <v>Garçom/garçonete - acréscimo em ano eleitoral</v>
      </c>
      <c r="C19" s="60">
        <f>garcomad!D150</f>
        <v>4548.0200000000004</v>
      </c>
      <c r="D19" s="59">
        <f>garcomad!D6</f>
        <v>2</v>
      </c>
      <c r="E19" s="60">
        <f t="shared" ref="E19:E22" si="2">C19*D19</f>
        <v>9096.0400000000009</v>
      </c>
      <c r="F19" s="60">
        <f t="shared" ref="F19:F22" si="3">E19*4</f>
        <v>36384.160000000003</v>
      </c>
    </row>
    <row r="20" spans="1:6" ht="25.5" x14ac:dyDescent="0.25">
      <c r="A20" s="59">
        <v>12</v>
      </c>
      <c r="B20" s="61" t="str">
        <f>mensagad!A6</f>
        <v>Mensageiro(a) - acréscimo em ano eleitoral</v>
      </c>
      <c r="C20" s="60">
        <f>mensagad!D150</f>
        <v>4164.76</v>
      </c>
      <c r="D20" s="59">
        <f>mensagad!D6</f>
        <v>1</v>
      </c>
      <c r="E20" s="60">
        <f t="shared" si="2"/>
        <v>4164.76</v>
      </c>
      <c r="F20" s="60">
        <f t="shared" si="3"/>
        <v>16659.04</v>
      </c>
    </row>
    <row r="21" spans="1:6" ht="25.5" x14ac:dyDescent="0.25">
      <c r="A21" s="59">
        <v>13</v>
      </c>
      <c r="B21" s="61" t="str">
        <f>recep1ad!A6</f>
        <v>Recepcionista I - acréscimo em ano eleitoral</v>
      </c>
      <c r="C21" s="60">
        <f>recep1ad!D150</f>
        <v>4076.26</v>
      </c>
      <c r="D21" s="59">
        <f>recep1ad!D6</f>
        <v>2</v>
      </c>
      <c r="E21" s="60">
        <f t="shared" si="2"/>
        <v>8152.52</v>
      </c>
      <c r="F21" s="60">
        <f t="shared" si="3"/>
        <v>32610.080000000002</v>
      </c>
    </row>
    <row r="22" spans="1:6" ht="25.5" x14ac:dyDescent="0.25">
      <c r="A22" s="59">
        <v>14</v>
      </c>
      <c r="B22" s="61" t="str">
        <f>recep3ad!A6</f>
        <v>Recepcionista III - acréscimo em ano eleitoral</v>
      </c>
      <c r="C22" s="60">
        <f>recep3ad!D150</f>
        <v>4407.9799999999996</v>
      </c>
      <c r="D22" s="59">
        <f>recep3ad!D6</f>
        <v>2</v>
      </c>
      <c r="E22" s="60">
        <f t="shared" si="2"/>
        <v>8815.9599999999991</v>
      </c>
      <c r="F22" s="60">
        <f t="shared" si="3"/>
        <v>35263.839999999997</v>
      </c>
    </row>
    <row r="23" spans="1:6" x14ac:dyDescent="0.25">
      <c r="F23" s="60">
        <f>SUM(F18:F22)</f>
        <v>153512.40000000002</v>
      </c>
    </row>
    <row r="25" spans="1:6" x14ac:dyDescent="0.25">
      <c r="A25" s="57" t="s">
        <v>185</v>
      </c>
    </row>
    <row r="26" spans="1:6" x14ac:dyDescent="0.25">
      <c r="A26" s="57" t="s">
        <v>173</v>
      </c>
      <c r="D26" s="57" t="s">
        <v>174</v>
      </c>
    </row>
    <row r="27" spans="1:6" x14ac:dyDescent="0.25">
      <c r="A27" s="62" t="s">
        <v>186</v>
      </c>
      <c r="B27" s="63"/>
      <c r="C27" s="60">
        <f>F14</f>
        <v>1543448.64</v>
      </c>
      <c r="D27" s="62" t="s">
        <v>186</v>
      </c>
      <c r="E27" s="63"/>
      <c r="F27" s="60">
        <f>F14</f>
        <v>1543448.64</v>
      </c>
    </row>
    <row r="28" spans="1:6" x14ac:dyDescent="0.25">
      <c r="A28" s="62" t="s">
        <v>187</v>
      </c>
      <c r="B28" s="63"/>
      <c r="C28" s="60">
        <v>0</v>
      </c>
      <c r="D28" s="62" t="s">
        <v>187</v>
      </c>
      <c r="E28" s="63"/>
      <c r="F28" s="60">
        <f>F23</f>
        <v>153512.40000000002</v>
      </c>
    </row>
    <row r="29" spans="1:6" x14ac:dyDescent="0.25">
      <c r="A29" s="62" t="s">
        <v>188</v>
      </c>
      <c r="B29" s="63"/>
      <c r="C29" s="60">
        <f>horaextra!A71</f>
        <v>5667.4</v>
      </c>
      <c r="D29" s="62" t="s">
        <v>188</v>
      </c>
      <c r="E29" s="63"/>
      <c r="F29" s="60">
        <f>horaextra!A75</f>
        <v>155927.12</v>
      </c>
    </row>
    <row r="30" spans="1:6" x14ac:dyDescent="0.25">
      <c r="A30" s="62" t="s">
        <v>189</v>
      </c>
      <c r="B30" s="63"/>
      <c r="C30" s="60">
        <f>diarias!C8</f>
        <v>7765.2</v>
      </c>
      <c r="D30" s="62" t="s">
        <v>189</v>
      </c>
      <c r="E30" s="63"/>
      <c r="F30" s="60">
        <f>diarias!C9</f>
        <v>15530.4</v>
      </c>
    </row>
    <row r="31" spans="1:6" x14ac:dyDescent="0.25">
      <c r="A31" s="62" t="s">
        <v>190</v>
      </c>
      <c r="B31" s="63"/>
      <c r="C31" s="60">
        <f>SUM(C27:C30)</f>
        <v>1556881.2399999998</v>
      </c>
      <c r="D31" s="62" t="s">
        <v>191</v>
      </c>
      <c r="E31" s="63"/>
      <c r="F31" s="60">
        <f>SUM(F27:F30)</f>
        <v>1868418.56</v>
      </c>
    </row>
    <row r="32" spans="1:6" x14ac:dyDescent="0.25">
      <c r="A32" s="64" t="s">
        <v>193</v>
      </c>
      <c r="B32" s="65"/>
      <c r="C32" s="65"/>
      <c r="D32" s="66"/>
      <c r="E32" s="67" t="s">
        <v>192</v>
      </c>
      <c r="F32" s="68">
        <f>C31+F31</f>
        <v>3425299.8</v>
      </c>
    </row>
  </sheetData>
  <pageMargins left="0.511811024" right="0.511811024" top="0.99020833333333336" bottom="0.78740157499999996" header="0.31496062000000002" footer="0.31496062000000002"/>
  <pageSetup paperSize="9" scale="97" orientation="portrait" r:id="rId1"/>
  <headerFooter>
    <oddHeader>&amp;C&amp;G</oddHeader>
    <oddFooter>&amp;L&amp;"-,Negrito"Documento elaborado em &amp;D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0"/>
  <sheetViews>
    <sheetView view="pageBreakPreview" zoomScaleNormal="115" zoomScaleSheetLayoutView="100" workbookViewId="0">
      <selection activeCell="C130" sqref="C130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74" t="s">
        <v>0</v>
      </c>
      <c r="B1" s="74"/>
      <c r="C1" s="74"/>
      <c r="D1" s="74"/>
    </row>
    <row r="2" spans="1:4" ht="15.75" x14ac:dyDescent="0.25">
      <c r="A2" s="26"/>
      <c r="B2" s="26"/>
      <c r="C2" s="26"/>
      <c r="D2" s="26"/>
    </row>
    <row r="3" spans="1:4" x14ac:dyDescent="0.2">
      <c r="A3" s="76" t="s">
        <v>88</v>
      </c>
      <c r="B3" s="76"/>
      <c r="C3" s="76"/>
      <c r="D3" s="76"/>
    </row>
    <row r="4" spans="1:4" x14ac:dyDescent="0.2">
      <c r="A4" s="2"/>
      <c r="B4" s="2"/>
      <c r="C4" s="2"/>
      <c r="D4" s="2"/>
    </row>
    <row r="5" spans="1:4" ht="38.25" x14ac:dyDescent="0.2">
      <c r="A5" s="83" t="s">
        <v>89</v>
      </c>
      <c r="B5" s="83"/>
      <c r="C5" s="32" t="s">
        <v>90</v>
      </c>
      <c r="D5" s="27" t="s">
        <v>91</v>
      </c>
    </row>
    <row r="6" spans="1:4" x14ac:dyDescent="0.2">
      <c r="A6" s="84" t="s">
        <v>106</v>
      </c>
      <c r="B6" s="84"/>
      <c r="C6" s="33" t="s">
        <v>101</v>
      </c>
      <c r="D6" s="33">
        <v>1</v>
      </c>
    </row>
    <row r="8" spans="1:4" x14ac:dyDescent="0.2">
      <c r="A8" s="76" t="s">
        <v>72</v>
      </c>
      <c r="B8" s="76"/>
      <c r="C8" s="76"/>
      <c r="D8" s="76"/>
    </row>
    <row r="9" spans="1:4" x14ac:dyDescent="0.2">
      <c r="A9" s="2"/>
      <c r="B9" s="2"/>
      <c r="C9" s="2"/>
      <c r="D9" s="2"/>
    </row>
    <row r="10" spans="1:4" x14ac:dyDescent="0.2">
      <c r="A10" s="5">
        <v>1</v>
      </c>
      <c r="B10" s="5" t="s">
        <v>73</v>
      </c>
      <c r="C10" s="85" t="s">
        <v>106</v>
      </c>
      <c r="D10" s="86"/>
    </row>
    <row r="11" spans="1:4" x14ac:dyDescent="0.2">
      <c r="A11" s="5">
        <v>2</v>
      </c>
      <c r="B11" s="5" t="s">
        <v>92</v>
      </c>
      <c r="C11" s="85" t="s">
        <v>107</v>
      </c>
      <c r="D11" s="86"/>
    </row>
    <row r="12" spans="1:4" x14ac:dyDescent="0.2">
      <c r="A12" s="5">
        <v>3</v>
      </c>
      <c r="B12" s="5" t="s">
        <v>74</v>
      </c>
      <c r="C12" s="87">
        <v>2209.06</v>
      </c>
      <c r="D12" s="86"/>
    </row>
    <row r="13" spans="1:4" x14ac:dyDescent="0.2">
      <c r="A13" s="5">
        <v>4</v>
      </c>
      <c r="B13" s="5" t="s">
        <v>75</v>
      </c>
      <c r="C13" s="85"/>
      <c r="D13" s="86"/>
    </row>
    <row r="14" spans="1:4" x14ac:dyDescent="0.2">
      <c r="A14" s="5">
        <v>5</v>
      </c>
      <c r="B14" s="5" t="s">
        <v>76</v>
      </c>
      <c r="C14" s="85"/>
      <c r="D14" s="86"/>
    </row>
    <row r="16" spans="1:4" x14ac:dyDescent="0.2">
      <c r="A16" s="76" t="s">
        <v>1</v>
      </c>
      <c r="B16" s="76"/>
      <c r="C16" s="76"/>
      <c r="D16" s="76"/>
    </row>
    <row r="18" spans="1:4" x14ac:dyDescent="0.2">
      <c r="A18" s="30">
        <v>1</v>
      </c>
      <c r="B18" s="70" t="s">
        <v>2</v>
      </c>
      <c r="C18" s="70"/>
      <c r="D18" s="30" t="s">
        <v>3</v>
      </c>
    </row>
    <row r="19" spans="1:4" x14ac:dyDescent="0.2">
      <c r="A19" s="32" t="s">
        <v>4</v>
      </c>
      <c r="B19" s="69" t="s">
        <v>5</v>
      </c>
      <c r="C19" s="69"/>
      <c r="D19" s="13">
        <v>2209.06</v>
      </c>
    </row>
    <row r="20" spans="1:4" x14ac:dyDescent="0.2">
      <c r="A20" s="32" t="s">
        <v>6</v>
      </c>
      <c r="B20" s="69" t="s">
        <v>7</v>
      </c>
      <c r="C20" s="69"/>
      <c r="D20" s="13"/>
    </row>
    <row r="21" spans="1:4" x14ac:dyDescent="0.2">
      <c r="A21" s="32" t="s">
        <v>8</v>
      </c>
      <c r="B21" s="69" t="s">
        <v>9</v>
      </c>
      <c r="C21" s="69"/>
      <c r="D21" s="13"/>
    </row>
    <row r="22" spans="1:4" x14ac:dyDescent="0.2">
      <c r="A22" s="32" t="s">
        <v>10</v>
      </c>
      <c r="B22" s="69" t="s">
        <v>11</v>
      </c>
      <c r="C22" s="69"/>
      <c r="D22" s="13"/>
    </row>
    <row r="23" spans="1:4" x14ac:dyDescent="0.2">
      <c r="A23" s="32" t="s">
        <v>12</v>
      </c>
      <c r="B23" s="69" t="s">
        <v>13</v>
      </c>
      <c r="C23" s="69"/>
      <c r="D23" s="13"/>
    </row>
    <row r="24" spans="1:4" x14ac:dyDescent="0.2">
      <c r="A24" s="32"/>
      <c r="B24" s="69"/>
      <c r="C24" s="69"/>
      <c r="D24" s="13"/>
    </row>
    <row r="25" spans="1:4" x14ac:dyDescent="0.2">
      <c r="A25" s="32" t="s">
        <v>14</v>
      </c>
      <c r="B25" s="69" t="s">
        <v>15</v>
      </c>
      <c r="C25" s="69"/>
      <c r="D25" s="13"/>
    </row>
    <row r="26" spans="1:4" x14ac:dyDescent="0.2">
      <c r="A26" s="70" t="s">
        <v>16</v>
      </c>
      <c r="B26" s="70"/>
      <c r="C26" s="70"/>
      <c r="D26" s="20">
        <f>SUM(D19:D25)</f>
        <v>2209.06</v>
      </c>
    </row>
    <row r="29" spans="1:4" x14ac:dyDescent="0.2">
      <c r="A29" s="73" t="s">
        <v>17</v>
      </c>
      <c r="B29" s="73"/>
      <c r="C29" s="73"/>
      <c r="D29" s="73"/>
    </row>
    <row r="30" spans="1:4" x14ac:dyDescent="0.2">
      <c r="A30" s="3"/>
    </row>
    <row r="31" spans="1:4" x14ac:dyDescent="0.2">
      <c r="A31" s="71" t="s">
        <v>18</v>
      </c>
      <c r="B31" s="71"/>
      <c r="C31" s="71"/>
      <c r="D31" s="71"/>
    </row>
    <row r="33" spans="1:4" x14ac:dyDescent="0.2">
      <c r="A33" s="30" t="s">
        <v>19</v>
      </c>
      <c r="B33" s="70" t="s">
        <v>20</v>
      </c>
      <c r="C33" s="70"/>
      <c r="D33" s="30" t="s">
        <v>3</v>
      </c>
    </row>
    <row r="34" spans="1:4" x14ac:dyDescent="0.2">
      <c r="A34" s="32" t="s">
        <v>4</v>
      </c>
      <c r="B34" s="29" t="s">
        <v>21</v>
      </c>
      <c r="C34" s="12">
        <f>TRUNC(1/12,4)</f>
        <v>8.3299999999999999E-2</v>
      </c>
      <c r="D34" s="13">
        <f>TRUNC($D$26*C34,2)</f>
        <v>184.01</v>
      </c>
    </row>
    <row r="35" spans="1:4" x14ac:dyDescent="0.2">
      <c r="A35" s="32" t="s">
        <v>6</v>
      </c>
      <c r="B35" s="29" t="s">
        <v>22</v>
      </c>
      <c r="C35" s="12">
        <f>TRUNC(((1+1/3)/12),4)</f>
        <v>0.1111</v>
      </c>
      <c r="D35" s="13">
        <f>TRUNC($D$26*C35,2)</f>
        <v>245.42</v>
      </c>
    </row>
    <row r="36" spans="1:4" x14ac:dyDescent="0.2">
      <c r="A36" s="70" t="s">
        <v>16</v>
      </c>
      <c r="B36" s="70"/>
      <c r="C36" s="28">
        <f>SUM(C34:C35)</f>
        <v>0.19440000000000002</v>
      </c>
      <c r="D36" s="19">
        <f>SUM(D34:D35)</f>
        <v>429.42999999999995</v>
      </c>
    </row>
    <row r="39" spans="1:4" x14ac:dyDescent="0.2">
      <c r="A39" s="75" t="s">
        <v>23</v>
      </c>
      <c r="B39" s="75"/>
      <c r="C39" s="75"/>
      <c r="D39" s="75"/>
    </row>
    <row r="41" spans="1:4" x14ac:dyDescent="0.2">
      <c r="A41" s="30" t="s">
        <v>24</v>
      </c>
      <c r="B41" s="30" t="s">
        <v>25</v>
      </c>
      <c r="C41" s="30" t="s">
        <v>26</v>
      </c>
      <c r="D41" s="30" t="s">
        <v>3</v>
      </c>
    </row>
    <row r="42" spans="1:4" x14ac:dyDescent="0.2">
      <c r="A42" s="32" t="s">
        <v>4</v>
      </c>
      <c r="B42" s="29" t="s">
        <v>27</v>
      </c>
      <c r="C42" s="9">
        <v>0.2</v>
      </c>
      <c r="D42" s="13">
        <f>TRUNC(($D$26+$D$36)*C42,2)</f>
        <v>527.69000000000005</v>
      </c>
    </row>
    <row r="43" spans="1:4" x14ac:dyDescent="0.2">
      <c r="A43" s="32" t="s">
        <v>6</v>
      </c>
      <c r="B43" s="29" t="s">
        <v>28</v>
      </c>
      <c r="C43" s="9">
        <v>2.5000000000000001E-2</v>
      </c>
      <c r="D43" s="13">
        <f t="shared" ref="D43:D49" si="0">TRUNC(($D$26+$D$36)*C43,2)</f>
        <v>65.959999999999994</v>
      </c>
    </row>
    <row r="44" spans="1:4" x14ac:dyDescent="0.2">
      <c r="A44" s="32" t="s">
        <v>8</v>
      </c>
      <c r="B44" s="29" t="s">
        <v>29</v>
      </c>
      <c r="C44" s="16">
        <v>0.03</v>
      </c>
      <c r="D44" s="13">
        <f t="shared" si="0"/>
        <v>79.150000000000006</v>
      </c>
    </row>
    <row r="45" spans="1:4" x14ac:dyDescent="0.2">
      <c r="A45" s="32" t="s">
        <v>10</v>
      </c>
      <c r="B45" s="29" t="s">
        <v>30</v>
      </c>
      <c r="C45" s="9">
        <v>1.4999999999999999E-2</v>
      </c>
      <c r="D45" s="13">
        <f t="shared" si="0"/>
        <v>39.57</v>
      </c>
    </row>
    <row r="46" spans="1:4" x14ac:dyDescent="0.2">
      <c r="A46" s="32" t="s">
        <v>12</v>
      </c>
      <c r="B46" s="29" t="s">
        <v>31</v>
      </c>
      <c r="C46" s="9">
        <v>0.01</v>
      </c>
      <c r="D46" s="13">
        <f t="shared" si="0"/>
        <v>26.38</v>
      </c>
    </row>
    <row r="47" spans="1:4" x14ac:dyDescent="0.2">
      <c r="A47" s="32" t="s">
        <v>32</v>
      </c>
      <c r="B47" s="29" t="s">
        <v>33</v>
      </c>
      <c r="C47" s="9">
        <v>6.0000000000000001E-3</v>
      </c>
      <c r="D47" s="13">
        <f t="shared" si="0"/>
        <v>15.83</v>
      </c>
    </row>
    <row r="48" spans="1:4" x14ac:dyDescent="0.2">
      <c r="A48" s="32" t="s">
        <v>14</v>
      </c>
      <c r="B48" s="29" t="s">
        <v>34</v>
      </c>
      <c r="C48" s="9">
        <v>2E-3</v>
      </c>
      <c r="D48" s="13">
        <f t="shared" si="0"/>
        <v>5.27</v>
      </c>
    </row>
    <row r="49" spans="1:4" x14ac:dyDescent="0.2">
      <c r="A49" s="32" t="s">
        <v>35</v>
      </c>
      <c r="B49" s="29" t="s">
        <v>36</v>
      </c>
      <c r="C49" s="9">
        <v>0.08</v>
      </c>
      <c r="D49" s="13">
        <f t="shared" si="0"/>
        <v>211.07</v>
      </c>
    </row>
    <row r="50" spans="1:4" x14ac:dyDescent="0.2">
      <c r="A50" s="70" t="s">
        <v>37</v>
      </c>
      <c r="B50" s="70"/>
      <c r="C50" s="15">
        <f>SUM(C42:C49)</f>
        <v>0.36800000000000005</v>
      </c>
      <c r="D50" s="19">
        <f>SUM(D42:D49)</f>
        <v>970.92000000000007</v>
      </c>
    </row>
    <row r="53" spans="1:4" x14ac:dyDescent="0.2">
      <c r="A53" s="71" t="s">
        <v>38</v>
      </c>
      <c r="B53" s="71"/>
      <c r="C53" s="71"/>
      <c r="D53" s="71"/>
    </row>
    <row r="55" spans="1:4" x14ac:dyDescent="0.2">
      <c r="A55" s="30" t="s">
        <v>39</v>
      </c>
      <c r="B55" s="72" t="s">
        <v>40</v>
      </c>
      <c r="C55" s="72"/>
      <c r="D55" s="30" t="s">
        <v>3</v>
      </c>
    </row>
    <row r="56" spans="1:4" x14ac:dyDescent="0.2">
      <c r="A56" s="32" t="s">
        <v>4</v>
      </c>
      <c r="B56" s="69" t="s">
        <v>41</v>
      </c>
      <c r="C56" s="69"/>
      <c r="D56" s="13">
        <f>IF((22*2*5.6)-(D19*0.06)&gt;0,(22*2*5.6)-(D19*0.06),0)</f>
        <v>113.85639999999998</v>
      </c>
    </row>
    <row r="57" spans="1:4" x14ac:dyDescent="0.2">
      <c r="A57" s="32" t="s">
        <v>6</v>
      </c>
      <c r="B57" s="69" t="s">
        <v>42</v>
      </c>
      <c r="C57" s="69"/>
      <c r="D57" s="13">
        <f>20*0.8*22</f>
        <v>352</v>
      </c>
    </row>
    <row r="58" spans="1:4" x14ac:dyDescent="0.2">
      <c r="A58" s="32" t="s">
        <v>8</v>
      </c>
      <c r="B58" s="69" t="s">
        <v>103</v>
      </c>
      <c r="C58" s="69"/>
      <c r="D58" s="13">
        <v>280</v>
      </c>
    </row>
    <row r="59" spans="1:4" x14ac:dyDescent="0.2">
      <c r="A59" s="32" t="s">
        <v>10</v>
      </c>
      <c r="B59" s="69" t="s">
        <v>104</v>
      </c>
      <c r="C59" s="69"/>
      <c r="D59" s="13">
        <v>23</v>
      </c>
    </row>
    <row r="60" spans="1:4" x14ac:dyDescent="0.2">
      <c r="A60" s="32" t="s">
        <v>12</v>
      </c>
      <c r="B60" s="69" t="s">
        <v>105</v>
      </c>
      <c r="C60" s="69"/>
      <c r="D60" s="13">
        <v>4.8</v>
      </c>
    </row>
    <row r="61" spans="1:4" x14ac:dyDescent="0.2">
      <c r="A61" s="70" t="s">
        <v>16</v>
      </c>
      <c r="B61" s="70"/>
      <c r="C61" s="70"/>
      <c r="D61" s="19">
        <f>SUM(D56:D60)</f>
        <v>773.65639999999996</v>
      </c>
    </row>
    <row r="64" spans="1:4" x14ac:dyDescent="0.2">
      <c r="A64" s="71" t="s">
        <v>43</v>
      </c>
      <c r="B64" s="71"/>
      <c r="C64" s="71"/>
      <c r="D64" s="71"/>
    </row>
    <row r="66" spans="1:5" x14ac:dyDescent="0.2">
      <c r="A66" s="30">
        <v>2</v>
      </c>
      <c r="B66" s="72" t="s">
        <v>44</v>
      </c>
      <c r="C66" s="72"/>
      <c r="D66" s="30" t="s">
        <v>3</v>
      </c>
    </row>
    <row r="67" spans="1:5" x14ac:dyDescent="0.2">
      <c r="A67" s="32" t="s">
        <v>19</v>
      </c>
      <c r="B67" s="69" t="s">
        <v>20</v>
      </c>
      <c r="C67" s="69"/>
      <c r="D67" s="14">
        <f>D36</f>
        <v>429.42999999999995</v>
      </c>
    </row>
    <row r="68" spans="1:5" x14ac:dyDescent="0.2">
      <c r="A68" s="32" t="s">
        <v>24</v>
      </c>
      <c r="B68" s="69" t="s">
        <v>25</v>
      </c>
      <c r="C68" s="69"/>
      <c r="D68" s="14">
        <f>D50</f>
        <v>970.92000000000007</v>
      </c>
    </row>
    <row r="69" spans="1:5" x14ac:dyDescent="0.2">
      <c r="A69" s="32" t="s">
        <v>39</v>
      </c>
      <c r="B69" s="69" t="s">
        <v>40</v>
      </c>
      <c r="C69" s="69"/>
      <c r="D69" s="14">
        <f>D61</f>
        <v>773.65639999999996</v>
      </c>
    </row>
    <row r="70" spans="1:5" x14ac:dyDescent="0.2">
      <c r="A70" s="70" t="s">
        <v>16</v>
      </c>
      <c r="B70" s="70"/>
      <c r="C70" s="70"/>
      <c r="D70" s="19">
        <f>SUM(D67:D69)</f>
        <v>2174.0063999999998</v>
      </c>
    </row>
    <row r="71" spans="1:5" x14ac:dyDescent="0.2">
      <c r="A71" s="4"/>
      <c r="E71" s="18"/>
    </row>
    <row r="73" spans="1:5" x14ac:dyDescent="0.2">
      <c r="A73" s="73" t="s">
        <v>45</v>
      </c>
      <c r="B73" s="73"/>
      <c r="C73" s="73"/>
      <c r="D73" s="73"/>
      <c r="E73" s="17"/>
    </row>
    <row r="74" spans="1:5" ht="12.75" customHeight="1" x14ac:dyDescent="0.2">
      <c r="E74" s="18"/>
    </row>
    <row r="75" spans="1:5" x14ac:dyDescent="0.2">
      <c r="A75" s="30">
        <v>3</v>
      </c>
      <c r="B75" s="72" t="s">
        <v>46</v>
      </c>
      <c r="C75" s="72"/>
      <c r="D75" s="30" t="s">
        <v>3</v>
      </c>
    </row>
    <row r="76" spans="1:5" x14ac:dyDescent="0.2">
      <c r="A76" s="32" t="s">
        <v>4</v>
      </c>
      <c r="B76" s="10" t="s">
        <v>47</v>
      </c>
      <c r="C76" s="9">
        <f>TRUNC(((1/12)*5%),4)</f>
        <v>4.1000000000000003E-3</v>
      </c>
      <c r="D76" s="13">
        <f>TRUNC($D$26*C76,2)</f>
        <v>9.0500000000000007</v>
      </c>
    </row>
    <row r="77" spans="1:5" x14ac:dyDescent="0.2">
      <c r="A77" s="32" t="s">
        <v>6</v>
      </c>
      <c r="B77" s="10" t="s">
        <v>48</v>
      </c>
      <c r="C77" s="9">
        <v>0.08</v>
      </c>
      <c r="D77" s="13">
        <f>TRUNC(D76*C77,2)</f>
        <v>0.72</v>
      </c>
    </row>
    <row r="78" spans="1:5" x14ac:dyDescent="0.2">
      <c r="A78" s="32" t="s">
        <v>8</v>
      </c>
      <c r="B78" s="10" t="s">
        <v>98</v>
      </c>
      <c r="C78" s="9">
        <f>TRUNC(8%*5%*40%,4)</f>
        <v>1.6000000000000001E-3</v>
      </c>
      <c r="D78" s="13">
        <f>TRUNC($D$26*C78,2)</f>
        <v>3.53</v>
      </c>
    </row>
    <row r="79" spans="1:5" x14ac:dyDescent="0.2">
      <c r="A79" s="32" t="s">
        <v>10</v>
      </c>
      <c r="B79" s="10" t="s">
        <v>49</v>
      </c>
      <c r="C79" s="9">
        <f>TRUNC(((7/30)/12)*95%,4)</f>
        <v>1.84E-2</v>
      </c>
      <c r="D79" s="13">
        <f>TRUNC($D$26*C79,2)</f>
        <v>40.64</v>
      </c>
    </row>
    <row r="80" spans="1:5" ht="25.5" x14ac:dyDescent="0.2">
      <c r="A80" s="32" t="s">
        <v>12</v>
      </c>
      <c r="B80" s="10" t="s">
        <v>93</v>
      </c>
      <c r="C80" s="9">
        <f>C50</f>
        <v>0.36800000000000005</v>
      </c>
      <c r="D80" s="13">
        <f>TRUNC(D79*C80,2)</f>
        <v>14.95</v>
      </c>
    </row>
    <row r="81" spans="1:4" x14ac:dyDescent="0.2">
      <c r="A81" s="32" t="s">
        <v>32</v>
      </c>
      <c r="B81" s="10" t="s">
        <v>99</v>
      </c>
      <c r="C81" s="9">
        <f>TRUNC(8%*95%*40%,4)</f>
        <v>3.04E-2</v>
      </c>
      <c r="D81" s="13">
        <f t="shared" ref="D81" si="1">TRUNC($D$26*C81,2)</f>
        <v>67.150000000000006</v>
      </c>
    </row>
    <row r="82" spans="1:4" x14ac:dyDescent="0.2">
      <c r="A82" s="77" t="s">
        <v>16</v>
      </c>
      <c r="B82" s="78"/>
      <c r="C82" s="79"/>
      <c r="D82" s="19">
        <f>SUM(D76:D81)</f>
        <v>136.04000000000002</v>
      </c>
    </row>
    <row r="85" spans="1:4" x14ac:dyDescent="0.2">
      <c r="A85" s="73" t="s">
        <v>50</v>
      </c>
      <c r="B85" s="73"/>
      <c r="C85" s="73"/>
      <c r="D85" s="73"/>
    </row>
    <row r="88" spans="1:4" x14ac:dyDescent="0.2">
      <c r="A88" s="71" t="s">
        <v>77</v>
      </c>
      <c r="B88" s="71"/>
      <c r="C88" s="71"/>
      <c r="D88" s="71"/>
    </row>
    <row r="89" spans="1:4" x14ac:dyDescent="0.2">
      <c r="A89" s="3"/>
    </row>
    <row r="90" spans="1:4" x14ac:dyDescent="0.2">
      <c r="A90" s="30" t="s">
        <v>51</v>
      </c>
      <c r="B90" s="72" t="s">
        <v>78</v>
      </c>
      <c r="C90" s="72"/>
      <c r="D90" s="30" t="s">
        <v>3</v>
      </c>
    </row>
    <row r="91" spans="1:4" x14ac:dyDescent="0.2">
      <c r="A91" s="32" t="s">
        <v>4</v>
      </c>
      <c r="B91" s="29" t="s">
        <v>79</v>
      </c>
      <c r="C91" s="9">
        <f>TRUNC(((1+1/3)/12)/12,4)</f>
        <v>9.1999999999999998E-3</v>
      </c>
      <c r="D91" s="13">
        <f>TRUNC(($D$26+$D$70+$D$82)*C91,2)</f>
        <v>41.57</v>
      </c>
    </row>
    <row r="92" spans="1:4" x14ac:dyDescent="0.2">
      <c r="A92" s="32" t="s">
        <v>6</v>
      </c>
      <c r="B92" s="29" t="s">
        <v>80</v>
      </c>
      <c r="C92" s="9">
        <f>TRUNC(((2/30)/12),4)</f>
        <v>5.4999999999999997E-3</v>
      </c>
      <c r="D92" s="13">
        <f t="shared" ref="D92:D96" si="2">TRUNC(($D$26+$D$70+$D$82)*C92,2)</f>
        <v>24.85</v>
      </c>
    </row>
    <row r="93" spans="1:4" x14ac:dyDescent="0.2">
      <c r="A93" s="32" t="s">
        <v>8</v>
      </c>
      <c r="B93" s="29" t="s">
        <v>81</v>
      </c>
      <c r="C93" s="9">
        <f>TRUNC(((5/30)/12)*2%,4)</f>
        <v>2.0000000000000001E-4</v>
      </c>
      <c r="D93" s="13">
        <f t="shared" si="2"/>
        <v>0.9</v>
      </c>
    </row>
    <row r="94" spans="1:4" x14ac:dyDescent="0.2">
      <c r="A94" s="32" t="s">
        <v>10</v>
      </c>
      <c r="B94" s="29" t="s">
        <v>82</v>
      </c>
      <c r="C94" s="9">
        <f>TRUNC(((15/30)/12)*8%,4)</f>
        <v>3.3E-3</v>
      </c>
      <c r="D94" s="13">
        <f t="shared" si="2"/>
        <v>14.91</v>
      </c>
    </row>
    <row r="95" spans="1:4" x14ac:dyDescent="0.2">
      <c r="A95" s="32" t="s">
        <v>12</v>
      </c>
      <c r="B95" s="29" t="s">
        <v>83</v>
      </c>
      <c r="C95" s="9">
        <f>((1+1/3)/12)*3%*(4/12)</f>
        <v>1.1111111111111109E-3</v>
      </c>
      <c r="D95" s="13">
        <f t="shared" si="2"/>
        <v>5.0199999999999996</v>
      </c>
    </row>
    <row r="96" spans="1:4" x14ac:dyDescent="0.2">
      <c r="A96" s="32" t="s">
        <v>32</v>
      </c>
      <c r="B96" s="29" t="s">
        <v>84</v>
      </c>
      <c r="C96" s="9"/>
      <c r="D96" s="13">
        <f t="shared" si="2"/>
        <v>0</v>
      </c>
    </row>
    <row r="97" spans="1:6" x14ac:dyDescent="0.2">
      <c r="A97" s="70" t="s">
        <v>37</v>
      </c>
      <c r="B97" s="70"/>
      <c r="C97" s="70"/>
      <c r="D97" s="19">
        <f>SUM(D91:D96)</f>
        <v>87.25</v>
      </c>
      <c r="E97" s="17"/>
      <c r="F97" s="17"/>
    </row>
    <row r="100" spans="1:6" x14ac:dyDescent="0.2">
      <c r="A100" s="71" t="s">
        <v>85</v>
      </c>
      <c r="B100" s="71"/>
      <c r="C100" s="71"/>
      <c r="D100" s="71"/>
    </row>
    <row r="101" spans="1:6" x14ac:dyDescent="0.2">
      <c r="A101" s="3"/>
    </row>
    <row r="102" spans="1:6" x14ac:dyDescent="0.2">
      <c r="A102" s="30" t="s">
        <v>52</v>
      </c>
      <c r="B102" s="72" t="s">
        <v>86</v>
      </c>
      <c r="C102" s="72"/>
      <c r="D102" s="30" t="s">
        <v>3</v>
      </c>
    </row>
    <row r="103" spans="1:6" x14ac:dyDescent="0.2">
      <c r="A103" s="32" t="s">
        <v>4</v>
      </c>
      <c r="B103" s="80" t="s">
        <v>87</v>
      </c>
      <c r="C103" s="81"/>
      <c r="D103" s="13">
        <f>((D26+D70+D82)/220)*22*0</f>
        <v>0</v>
      </c>
    </row>
    <row r="104" spans="1:6" x14ac:dyDescent="0.2">
      <c r="A104" s="70" t="s">
        <v>16</v>
      </c>
      <c r="B104" s="70"/>
      <c r="C104" s="70"/>
      <c r="D104" s="19">
        <f>SUM(D103)</f>
        <v>0</v>
      </c>
    </row>
    <row r="107" spans="1:6" x14ac:dyDescent="0.2">
      <c r="A107" s="71" t="s">
        <v>53</v>
      </c>
      <c r="B107" s="71"/>
      <c r="C107" s="71"/>
      <c r="D107" s="71"/>
    </row>
    <row r="108" spans="1:6" x14ac:dyDescent="0.2">
      <c r="A108" s="3"/>
    </row>
    <row r="109" spans="1:6" x14ac:dyDescent="0.2">
      <c r="A109" s="30">
        <v>4</v>
      </c>
      <c r="B109" s="70" t="s">
        <v>54</v>
      </c>
      <c r="C109" s="70"/>
      <c r="D109" s="30" t="s">
        <v>3</v>
      </c>
    </row>
    <row r="110" spans="1:6" x14ac:dyDescent="0.2">
      <c r="A110" s="32" t="s">
        <v>51</v>
      </c>
      <c r="B110" s="69" t="s">
        <v>78</v>
      </c>
      <c r="C110" s="69"/>
      <c r="D110" s="14">
        <f>D97</f>
        <v>87.25</v>
      </c>
    </row>
    <row r="111" spans="1:6" x14ac:dyDescent="0.2">
      <c r="A111" s="32" t="s">
        <v>52</v>
      </c>
      <c r="B111" s="69" t="s">
        <v>86</v>
      </c>
      <c r="C111" s="69"/>
      <c r="D111" s="14">
        <f>D104</f>
        <v>0</v>
      </c>
    </row>
    <row r="112" spans="1:6" x14ac:dyDescent="0.2">
      <c r="A112" s="70" t="s">
        <v>16</v>
      </c>
      <c r="B112" s="70"/>
      <c r="C112" s="70"/>
      <c r="D112" s="19">
        <f>SUM(D110:D111)</f>
        <v>87.25</v>
      </c>
    </row>
    <row r="115" spans="1:4" x14ac:dyDescent="0.2">
      <c r="A115" s="73" t="s">
        <v>55</v>
      </c>
      <c r="B115" s="73"/>
      <c r="C115" s="73"/>
      <c r="D115" s="73"/>
    </row>
    <row r="117" spans="1:4" x14ac:dyDescent="0.2">
      <c r="A117" s="30">
        <v>5</v>
      </c>
      <c r="B117" s="82" t="s">
        <v>56</v>
      </c>
      <c r="C117" s="82"/>
      <c r="D117" s="30" t="s">
        <v>3</v>
      </c>
    </row>
    <row r="118" spans="1:4" x14ac:dyDescent="0.2">
      <c r="A118" s="32" t="s">
        <v>4</v>
      </c>
      <c r="B118" s="29" t="s">
        <v>57</v>
      </c>
      <c r="C118" s="29"/>
      <c r="D118" s="13">
        <v>31.46</v>
      </c>
    </row>
    <row r="119" spans="1:4" x14ac:dyDescent="0.2">
      <c r="A119" s="32" t="s">
        <v>6</v>
      </c>
      <c r="B119" s="29" t="s">
        <v>58</v>
      </c>
      <c r="C119" s="29"/>
      <c r="D119" s="13"/>
    </row>
    <row r="120" spans="1:4" x14ac:dyDescent="0.2">
      <c r="A120" s="32" t="s">
        <v>8</v>
      </c>
      <c r="B120" s="29" t="s">
        <v>59</v>
      </c>
      <c r="C120" s="29"/>
      <c r="D120" s="13"/>
    </row>
    <row r="121" spans="1:4" x14ac:dyDescent="0.2">
      <c r="A121" s="32" t="s">
        <v>10</v>
      </c>
      <c r="B121" s="29" t="s">
        <v>15</v>
      </c>
      <c r="C121" s="29"/>
      <c r="D121" s="13"/>
    </row>
    <row r="122" spans="1:4" x14ac:dyDescent="0.2">
      <c r="A122" s="70" t="s">
        <v>37</v>
      </c>
      <c r="B122" s="70"/>
      <c r="C122" s="70"/>
      <c r="D122" s="20">
        <f>SUM(D118:D121)</f>
        <v>31.46</v>
      </c>
    </row>
    <row r="125" spans="1:4" x14ac:dyDescent="0.2">
      <c r="A125" s="73" t="s">
        <v>60</v>
      </c>
      <c r="B125" s="73"/>
      <c r="C125" s="73"/>
      <c r="D125" s="73"/>
    </row>
    <row r="127" spans="1:4" x14ac:dyDescent="0.2">
      <c r="A127" s="30">
        <v>6</v>
      </c>
      <c r="B127" s="31" t="s">
        <v>61</v>
      </c>
      <c r="C127" s="30" t="s">
        <v>26</v>
      </c>
      <c r="D127" s="30" t="s">
        <v>3</v>
      </c>
    </row>
    <row r="128" spans="1:4" x14ac:dyDescent="0.2">
      <c r="A128" s="32" t="s">
        <v>4</v>
      </c>
      <c r="B128" s="29" t="s">
        <v>62</v>
      </c>
      <c r="C128" s="9">
        <v>0.02</v>
      </c>
      <c r="D128" s="14">
        <f>D148*C128</f>
        <v>92.756327999999996</v>
      </c>
    </row>
    <row r="129" spans="1:4" x14ac:dyDescent="0.2">
      <c r="A129" s="32" t="s">
        <v>6</v>
      </c>
      <c r="B129" s="29" t="s">
        <v>63</v>
      </c>
      <c r="C129" s="9">
        <v>0.03</v>
      </c>
      <c r="D129" s="13">
        <f>(D148+D128)*C129</f>
        <v>141.91718183999998</v>
      </c>
    </row>
    <row r="130" spans="1:4" x14ac:dyDescent="0.2">
      <c r="A130" s="32" t="s">
        <v>8</v>
      </c>
      <c r="B130" s="29" t="s">
        <v>64</v>
      </c>
      <c r="C130" s="12">
        <f>SUM(C131:C136)</f>
        <v>8.6499999999999994E-2</v>
      </c>
      <c r="D130" s="13">
        <f>(D148+D128+D129)*C130/(1-C130)</f>
        <v>461.37972326344828</v>
      </c>
    </row>
    <row r="131" spans="1:4" x14ac:dyDescent="0.2">
      <c r="A131" s="32"/>
      <c r="B131" s="29" t="s">
        <v>65</v>
      </c>
      <c r="C131" s="9"/>
      <c r="D131" s="14">
        <f>$D$150*C131</f>
        <v>0</v>
      </c>
    </row>
    <row r="132" spans="1:4" x14ac:dyDescent="0.2">
      <c r="A132" s="32"/>
      <c r="B132" s="29" t="s">
        <v>95</v>
      </c>
      <c r="C132" s="9">
        <v>6.4999999999999997E-3</v>
      </c>
      <c r="D132" s="14">
        <f t="shared" ref="D132:D136" si="3">$D$150*C132</f>
        <v>34.670155000000001</v>
      </c>
    </row>
    <row r="133" spans="1:4" x14ac:dyDescent="0.2">
      <c r="A133" s="32"/>
      <c r="B133" s="29" t="s">
        <v>96</v>
      </c>
      <c r="C133" s="9">
        <v>0.03</v>
      </c>
      <c r="D133" s="14">
        <f t="shared" si="3"/>
        <v>160.01609999999999</v>
      </c>
    </row>
    <row r="134" spans="1:4" x14ac:dyDescent="0.2">
      <c r="A134" s="32"/>
      <c r="B134" s="29" t="s">
        <v>66</v>
      </c>
      <c r="C134" s="32"/>
      <c r="D134" s="14">
        <f t="shared" si="3"/>
        <v>0</v>
      </c>
    </row>
    <row r="135" spans="1:4" x14ac:dyDescent="0.2">
      <c r="A135" s="32"/>
      <c r="B135" s="29" t="s">
        <v>67</v>
      </c>
      <c r="C135" s="9"/>
      <c r="D135" s="14">
        <f t="shared" si="3"/>
        <v>0</v>
      </c>
    </row>
    <row r="136" spans="1:4" x14ac:dyDescent="0.2">
      <c r="A136" s="32"/>
      <c r="B136" s="29" t="s">
        <v>97</v>
      </c>
      <c r="C136" s="9">
        <v>0.05</v>
      </c>
      <c r="D136" s="14">
        <f t="shared" si="3"/>
        <v>266.69350000000003</v>
      </c>
    </row>
    <row r="137" spans="1:4" ht="13.5" x14ac:dyDescent="0.2">
      <c r="A137" s="77" t="s">
        <v>37</v>
      </c>
      <c r="B137" s="78"/>
      <c r="C137" s="21">
        <f>(1+C129)*(1+C128)/(1-C130)-1</f>
        <v>0.15008210180623971</v>
      </c>
      <c r="D137" s="19">
        <f>SUM(D128:D130)</f>
        <v>696.05323310344829</v>
      </c>
    </row>
    <row r="140" spans="1:4" x14ac:dyDescent="0.2">
      <c r="A140" s="73" t="s">
        <v>68</v>
      </c>
      <c r="B140" s="73"/>
      <c r="C140" s="73"/>
      <c r="D140" s="73"/>
    </row>
    <row r="142" spans="1:4" x14ac:dyDescent="0.2">
      <c r="A142" s="30"/>
      <c r="B142" s="70" t="s">
        <v>69</v>
      </c>
      <c r="C142" s="70"/>
      <c r="D142" s="30" t="s">
        <v>3</v>
      </c>
    </row>
    <row r="143" spans="1:4" x14ac:dyDescent="0.2">
      <c r="A143" s="30" t="s">
        <v>4</v>
      </c>
      <c r="B143" s="69" t="s">
        <v>1</v>
      </c>
      <c r="C143" s="69"/>
      <c r="D143" s="22">
        <f>D26</f>
        <v>2209.06</v>
      </c>
    </row>
    <row r="144" spans="1:4" x14ac:dyDescent="0.2">
      <c r="A144" s="30" t="s">
        <v>6</v>
      </c>
      <c r="B144" s="69" t="s">
        <v>17</v>
      </c>
      <c r="C144" s="69"/>
      <c r="D144" s="22">
        <f>D70</f>
        <v>2174.0063999999998</v>
      </c>
    </row>
    <row r="145" spans="1:4" x14ac:dyDescent="0.2">
      <c r="A145" s="30" t="s">
        <v>8</v>
      </c>
      <c r="B145" s="69" t="s">
        <v>45</v>
      </c>
      <c r="C145" s="69"/>
      <c r="D145" s="22">
        <f>D82</f>
        <v>136.04000000000002</v>
      </c>
    </row>
    <row r="146" spans="1:4" x14ac:dyDescent="0.2">
      <c r="A146" s="30" t="s">
        <v>10</v>
      </c>
      <c r="B146" s="69" t="s">
        <v>50</v>
      </c>
      <c r="C146" s="69"/>
      <c r="D146" s="22">
        <f>D112</f>
        <v>87.25</v>
      </c>
    </row>
    <row r="147" spans="1:4" x14ac:dyDescent="0.2">
      <c r="A147" s="30" t="s">
        <v>12</v>
      </c>
      <c r="B147" s="69" t="s">
        <v>55</v>
      </c>
      <c r="C147" s="69"/>
      <c r="D147" s="22">
        <f>D122</f>
        <v>31.46</v>
      </c>
    </row>
    <row r="148" spans="1:4" x14ac:dyDescent="0.2">
      <c r="A148" s="70" t="s">
        <v>94</v>
      </c>
      <c r="B148" s="70"/>
      <c r="C148" s="70"/>
      <c r="D148" s="23">
        <f>SUM(D143:D147)</f>
        <v>4637.8163999999997</v>
      </c>
    </row>
    <row r="149" spans="1:4" x14ac:dyDescent="0.2">
      <c r="A149" s="30" t="s">
        <v>32</v>
      </c>
      <c r="B149" s="69" t="s">
        <v>70</v>
      </c>
      <c r="C149" s="69"/>
      <c r="D149" s="24">
        <f>D137</f>
        <v>696.05323310344829</v>
      </c>
    </row>
    <row r="150" spans="1:4" x14ac:dyDescent="0.2">
      <c r="A150" s="70" t="s">
        <v>71</v>
      </c>
      <c r="B150" s="70"/>
      <c r="C150" s="70"/>
      <c r="D150" s="23">
        <f>ROUND(SUM(D148:D149),2)</f>
        <v>5333.87</v>
      </c>
    </row>
  </sheetData>
  <mergeCells count="71">
    <mergeCell ref="C10:D10"/>
    <mergeCell ref="A1:D1"/>
    <mergeCell ref="A3:D3"/>
    <mergeCell ref="A5:B5"/>
    <mergeCell ref="A6:B6"/>
    <mergeCell ref="A8:D8"/>
    <mergeCell ref="B24:C24"/>
    <mergeCell ref="C11:D11"/>
    <mergeCell ref="C12:D12"/>
    <mergeCell ref="C13:D13"/>
    <mergeCell ref="C14:D14"/>
    <mergeCell ref="A16:D16"/>
    <mergeCell ref="B18:C18"/>
    <mergeCell ref="B19:C19"/>
    <mergeCell ref="B20:C20"/>
    <mergeCell ref="B21:C21"/>
    <mergeCell ref="B22:C22"/>
    <mergeCell ref="B23:C23"/>
    <mergeCell ref="B57:C57"/>
    <mergeCell ref="B25:C25"/>
    <mergeCell ref="A26:C26"/>
    <mergeCell ref="A29:D29"/>
    <mergeCell ref="A31:D31"/>
    <mergeCell ref="B33:C33"/>
    <mergeCell ref="A36:B36"/>
    <mergeCell ref="A39:D39"/>
    <mergeCell ref="A50:B50"/>
    <mergeCell ref="A53:D53"/>
    <mergeCell ref="B55:C55"/>
    <mergeCell ref="B56:C56"/>
    <mergeCell ref="B75:C75"/>
    <mergeCell ref="B58:C58"/>
    <mergeCell ref="B59:C59"/>
    <mergeCell ref="B60:C60"/>
    <mergeCell ref="A61:C61"/>
    <mergeCell ref="A64:D64"/>
    <mergeCell ref="B66:C66"/>
    <mergeCell ref="B67:C67"/>
    <mergeCell ref="B68:C68"/>
    <mergeCell ref="B69:C69"/>
    <mergeCell ref="A70:C70"/>
    <mergeCell ref="A73:D73"/>
    <mergeCell ref="B110:C110"/>
    <mergeCell ref="A82:C82"/>
    <mergeCell ref="A85:D85"/>
    <mergeCell ref="A88:D88"/>
    <mergeCell ref="B90:C90"/>
    <mergeCell ref="A97:C97"/>
    <mergeCell ref="A100:D100"/>
    <mergeCell ref="B102:C102"/>
    <mergeCell ref="B103:C103"/>
    <mergeCell ref="A104:C104"/>
    <mergeCell ref="A107:D107"/>
    <mergeCell ref="B109:C109"/>
    <mergeCell ref="B145:C145"/>
    <mergeCell ref="B111:C111"/>
    <mergeCell ref="A112:C112"/>
    <mergeCell ref="A115:D115"/>
    <mergeCell ref="B117:C117"/>
    <mergeCell ref="A122:C122"/>
    <mergeCell ref="A125:D125"/>
    <mergeCell ref="A137:B137"/>
    <mergeCell ref="A140:D140"/>
    <mergeCell ref="B142:C142"/>
    <mergeCell ref="B143:C143"/>
    <mergeCell ref="B144:C144"/>
    <mergeCell ref="B146:C146"/>
    <mergeCell ref="B147:C147"/>
    <mergeCell ref="A148:C148"/>
    <mergeCell ref="B149:C149"/>
    <mergeCell ref="A150:C150"/>
  </mergeCells>
  <pageMargins left="0.51181102362204722" right="0.51181102362204722" top="0.98425196850393704" bottom="0.78740157480314965" header="0.31496062992125984" footer="0.31496062992125984"/>
  <pageSetup paperSize="9" scale="84" fitToHeight="0" orientation="portrait" r:id="rId1"/>
  <headerFooter>
    <oddHeader>&amp;C&amp;G</oddHeader>
    <oddFooter>&amp;L&amp;"-,Negrito"Documento elaborado em &amp;D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0"/>
  <sheetViews>
    <sheetView view="pageBreakPreview" zoomScaleNormal="115" zoomScaleSheetLayoutView="100" workbookViewId="0">
      <selection activeCell="C130" sqref="C130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74" t="s">
        <v>0</v>
      </c>
      <c r="B1" s="74"/>
      <c r="C1" s="74"/>
      <c r="D1" s="74"/>
    </row>
    <row r="2" spans="1:4" ht="15.75" x14ac:dyDescent="0.25">
      <c r="A2" s="26"/>
      <c r="B2" s="26"/>
      <c r="C2" s="26"/>
      <c r="D2" s="26"/>
    </row>
    <row r="3" spans="1:4" x14ac:dyDescent="0.2">
      <c r="A3" s="76" t="s">
        <v>88</v>
      </c>
      <c r="B3" s="76"/>
      <c r="C3" s="76"/>
      <c r="D3" s="76"/>
    </row>
    <row r="4" spans="1:4" x14ac:dyDescent="0.2">
      <c r="A4" s="2"/>
      <c r="B4" s="2"/>
      <c r="C4" s="2"/>
      <c r="D4" s="2"/>
    </row>
    <row r="5" spans="1:4" ht="38.25" x14ac:dyDescent="0.2">
      <c r="A5" s="83" t="s">
        <v>89</v>
      </c>
      <c r="B5" s="83"/>
      <c r="C5" s="32" t="s">
        <v>90</v>
      </c>
      <c r="D5" s="27" t="s">
        <v>91</v>
      </c>
    </row>
    <row r="6" spans="1:4" x14ac:dyDescent="0.2">
      <c r="A6" s="84" t="s">
        <v>108</v>
      </c>
      <c r="B6" s="84"/>
      <c r="C6" s="33" t="s">
        <v>101</v>
      </c>
      <c r="D6" s="33">
        <v>3</v>
      </c>
    </row>
    <row r="8" spans="1:4" x14ac:dyDescent="0.2">
      <c r="A8" s="76" t="s">
        <v>72</v>
      </c>
      <c r="B8" s="76"/>
      <c r="C8" s="76"/>
      <c r="D8" s="76"/>
    </row>
    <row r="9" spans="1:4" x14ac:dyDescent="0.2">
      <c r="A9" s="2"/>
      <c r="B9" s="2"/>
      <c r="C9" s="2"/>
      <c r="D9" s="2"/>
    </row>
    <row r="10" spans="1:4" x14ac:dyDescent="0.2">
      <c r="A10" s="5">
        <v>1</v>
      </c>
      <c r="B10" s="5" t="s">
        <v>73</v>
      </c>
      <c r="C10" s="85" t="s">
        <v>108</v>
      </c>
      <c r="D10" s="86"/>
    </row>
    <row r="11" spans="1:4" x14ac:dyDescent="0.2">
      <c r="A11" s="5">
        <v>2</v>
      </c>
      <c r="B11" s="5" t="s">
        <v>92</v>
      </c>
      <c r="C11" s="85" t="s">
        <v>109</v>
      </c>
      <c r="D11" s="86"/>
    </row>
    <row r="12" spans="1:4" x14ac:dyDescent="0.2">
      <c r="A12" s="5">
        <v>3</v>
      </c>
      <c r="B12" s="5" t="s">
        <v>74</v>
      </c>
      <c r="C12" s="87">
        <v>1537.83</v>
      </c>
      <c r="D12" s="86"/>
    </row>
    <row r="13" spans="1:4" x14ac:dyDescent="0.2">
      <c r="A13" s="5">
        <v>4</v>
      </c>
      <c r="B13" s="5" t="s">
        <v>75</v>
      </c>
      <c r="C13" s="85"/>
      <c r="D13" s="86"/>
    </row>
    <row r="14" spans="1:4" x14ac:dyDescent="0.2">
      <c r="A14" s="5">
        <v>5</v>
      </c>
      <c r="B14" s="5" t="s">
        <v>76</v>
      </c>
      <c r="C14" s="85"/>
      <c r="D14" s="86"/>
    </row>
    <row r="16" spans="1:4" x14ac:dyDescent="0.2">
      <c r="A16" s="76" t="s">
        <v>1</v>
      </c>
      <c r="B16" s="76"/>
      <c r="C16" s="76"/>
      <c r="D16" s="76"/>
    </row>
    <row r="18" spans="1:4" x14ac:dyDescent="0.2">
      <c r="A18" s="30">
        <v>1</v>
      </c>
      <c r="B18" s="70" t="s">
        <v>2</v>
      </c>
      <c r="C18" s="70"/>
      <c r="D18" s="30" t="s">
        <v>3</v>
      </c>
    </row>
    <row r="19" spans="1:4" x14ac:dyDescent="0.2">
      <c r="A19" s="32" t="s">
        <v>4</v>
      </c>
      <c r="B19" s="69" t="s">
        <v>5</v>
      </c>
      <c r="C19" s="69"/>
      <c r="D19" s="13">
        <v>1537.83</v>
      </c>
    </row>
    <row r="20" spans="1:4" x14ac:dyDescent="0.2">
      <c r="A20" s="32" t="s">
        <v>6</v>
      </c>
      <c r="B20" s="69" t="s">
        <v>7</v>
      </c>
      <c r="C20" s="69"/>
      <c r="D20" s="13"/>
    </row>
    <row r="21" spans="1:4" x14ac:dyDescent="0.2">
      <c r="A21" s="32" t="s">
        <v>8</v>
      </c>
      <c r="B21" s="69" t="s">
        <v>9</v>
      </c>
      <c r="C21" s="69"/>
      <c r="D21" s="13"/>
    </row>
    <row r="22" spans="1:4" x14ac:dyDescent="0.2">
      <c r="A22" s="32" t="s">
        <v>10</v>
      </c>
      <c r="B22" s="69" t="s">
        <v>11</v>
      </c>
      <c r="C22" s="69"/>
      <c r="D22" s="13"/>
    </row>
    <row r="23" spans="1:4" x14ac:dyDescent="0.2">
      <c r="A23" s="32" t="s">
        <v>12</v>
      </c>
      <c r="B23" s="69" t="s">
        <v>13</v>
      </c>
      <c r="C23" s="69"/>
      <c r="D23" s="13"/>
    </row>
    <row r="24" spans="1:4" x14ac:dyDescent="0.2">
      <c r="A24" s="32"/>
      <c r="B24" s="69"/>
      <c r="C24" s="69"/>
      <c r="D24" s="13"/>
    </row>
    <row r="25" spans="1:4" x14ac:dyDescent="0.2">
      <c r="A25" s="32" t="s">
        <v>14</v>
      </c>
      <c r="B25" s="69" t="s">
        <v>15</v>
      </c>
      <c r="C25" s="69"/>
      <c r="D25" s="13"/>
    </row>
    <row r="26" spans="1:4" x14ac:dyDescent="0.2">
      <c r="A26" s="70" t="s">
        <v>16</v>
      </c>
      <c r="B26" s="70"/>
      <c r="C26" s="70"/>
      <c r="D26" s="20">
        <f>SUM(D19:D25)</f>
        <v>1537.83</v>
      </c>
    </row>
    <row r="29" spans="1:4" x14ac:dyDescent="0.2">
      <c r="A29" s="73" t="s">
        <v>17</v>
      </c>
      <c r="B29" s="73"/>
      <c r="C29" s="73"/>
      <c r="D29" s="73"/>
    </row>
    <row r="30" spans="1:4" x14ac:dyDescent="0.2">
      <c r="A30" s="3"/>
    </row>
    <row r="31" spans="1:4" x14ac:dyDescent="0.2">
      <c r="A31" s="71" t="s">
        <v>18</v>
      </c>
      <c r="B31" s="71"/>
      <c r="C31" s="71"/>
      <c r="D31" s="71"/>
    </row>
    <row r="33" spans="1:4" x14ac:dyDescent="0.2">
      <c r="A33" s="30" t="s">
        <v>19</v>
      </c>
      <c r="B33" s="70" t="s">
        <v>20</v>
      </c>
      <c r="C33" s="70"/>
      <c r="D33" s="30" t="s">
        <v>3</v>
      </c>
    </row>
    <row r="34" spans="1:4" x14ac:dyDescent="0.2">
      <c r="A34" s="32" t="s">
        <v>4</v>
      </c>
      <c r="B34" s="29" t="s">
        <v>21</v>
      </c>
      <c r="C34" s="12">
        <f>TRUNC(1/12,4)</f>
        <v>8.3299999999999999E-2</v>
      </c>
      <c r="D34" s="13">
        <f>TRUNC($D$26*C34,2)</f>
        <v>128.1</v>
      </c>
    </row>
    <row r="35" spans="1:4" x14ac:dyDescent="0.2">
      <c r="A35" s="32" t="s">
        <v>6</v>
      </c>
      <c r="B35" s="29" t="s">
        <v>22</v>
      </c>
      <c r="C35" s="12">
        <f>TRUNC(((1+1/3)/12),4)</f>
        <v>0.1111</v>
      </c>
      <c r="D35" s="13">
        <f>TRUNC($D$26*C35,2)</f>
        <v>170.85</v>
      </c>
    </row>
    <row r="36" spans="1:4" x14ac:dyDescent="0.2">
      <c r="A36" s="70" t="s">
        <v>16</v>
      </c>
      <c r="B36" s="70"/>
      <c r="C36" s="28">
        <f>SUM(C34:C35)</f>
        <v>0.19440000000000002</v>
      </c>
      <c r="D36" s="19">
        <f>SUM(D34:D35)</f>
        <v>298.95</v>
      </c>
    </row>
    <row r="39" spans="1:4" x14ac:dyDescent="0.2">
      <c r="A39" s="75" t="s">
        <v>23</v>
      </c>
      <c r="B39" s="75"/>
      <c r="C39" s="75"/>
      <c r="D39" s="75"/>
    </row>
    <row r="41" spans="1:4" x14ac:dyDescent="0.2">
      <c r="A41" s="30" t="s">
        <v>24</v>
      </c>
      <c r="B41" s="30" t="s">
        <v>25</v>
      </c>
      <c r="C41" s="30" t="s">
        <v>26</v>
      </c>
      <c r="D41" s="30" t="s">
        <v>3</v>
      </c>
    </row>
    <row r="42" spans="1:4" x14ac:dyDescent="0.2">
      <c r="A42" s="32" t="s">
        <v>4</v>
      </c>
      <c r="B42" s="29" t="s">
        <v>27</v>
      </c>
      <c r="C42" s="9">
        <v>0.2</v>
      </c>
      <c r="D42" s="13">
        <f>TRUNC(($D$26+$D$36)*C42,2)</f>
        <v>367.35</v>
      </c>
    </row>
    <row r="43" spans="1:4" x14ac:dyDescent="0.2">
      <c r="A43" s="32" t="s">
        <v>6</v>
      </c>
      <c r="B43" s="29" t="s">
        <v>28</v>
      </c>
      <c r="C43" s="9">
        <v>2.5000000000000001E-2</v>
      </c>
      <c r="D43" s="13">
        <f t="shared" ref="D43:D49" si="0">TRUNC(($D$26+$D$36)*C43,2)</f>
        <v>45.91</v>
      </c>
    </row>
    <row r="44" spans="1:4" x14ac:dyDescent="0.2">
      <c r="A44" s="32" t="s">
        <v>8</v>
      </c>
      <c r="B44" s="29" t="s">
        <v>29</v>
      </c>
      <c r="C44" s="16">
        <v>0.03</v>
      </c>
      <c r="D44" s="13">
        <f t="shared" si="0"/>
        <v>55.1</v>
      </c>
    </row>
    <row r="45" spans="1:4" x14ac:dyDescent="0.2">
      <c r="A45" s="32" t="s">
        <v>10</v>
      </c>
      <c r="B45" s="29" t="s">
        <v>30</v>
      </c>
      <c r="C45" s="9">
        <v>1.4999999999999999E-2</v>
      </c>
      <c r="D45" s="13">
        <f t="shared" si="0"/>
        <v>27.55</v>
      </c>
    </row>
    <row r="46" spans="1:4" x14ac:dyDescent="0.2">
      <c r="A46" s="32" t="s">
        <v>12</v>
      </c>
      <c r="B46" s="29" t="s">
        <v>31</v>
      </c>
      <c r="C46" s="9">
        <v>0.01</v>
      </c>
      <c r="D46" s="13">
        <f t="shared" si="0"/>
        <v>18.36</v>
      </c>
    </row>
    <row r="47" spans="1:4" x14ac:dyDescent="0.2">
      <c r="A47" s="32" t="s">
        <v>32</v>
      </c>
      <c r="B47" s="29" t="s">
        <v>33</v>
      </c>
      <c r="C47" s="9">
        <v>6.0000000000000001E-3</v>
      </c>
      <c r="D47" s="13">
        <f t="shared" si="0"/>
        <v>11.02</v>
      </c>
    </row>
    <row r="48" spans="1:4" x14ac:dyDescent="0.2">
      <c r="A48" s="32" t="s">
        <v>14</v>
      </c>
      <c r="B48" s="29" t="s">
        <v>34</v>
      </c>
      <c r="C48" s="9">
        <v>2E-3</v>
      </c>
      <c r="D48" s="13">
        <f t="shared" si="0"/>
        <v>3.67</v>
      </c>
    </row>
    <row r="49" spans="1:4" x14ac:dyDescent="0.2">
      <c r="A49" s="32" t="s">
        <v>35</v>
      </c>
      <c r="B49" s="29" t="s">
        <v>36</v>
      </c>
      <c r="C49" s="9">
        <v>0.08</v>
      </c>
      <c r="D49" s="13">
        <f t="shared" si="0"/>
        <v>146.94</v>
      </c>
    </row>
    <row r="50" spans="1:4" x14ac:dyDescent="0.2">
      <c r="A50" s="70" t="s">
        <v>37</v>
      </c>
      <c r="B50" s="70"/>
      <c r="C50" s="15">
        <f>SUM(C42:C49)</f>
        <v>0.36800000000000005</v>
      </c>
      <c r="D50" s="19">
        <f>SUM(D42:D49)</f>
        <v>675.89999999999986</v>
      </c>
    </row>
    <row r="53" spans="1:4" x14ac:dyDescent="0.2">
      <c r="A53" s="71" t="s">
        <v>38</v>
      </c>
      <c r="B53" s="71"/>
      <c r="C53" s="71"/>
      <c r="D53" s="71"/>
    </row>
    <row r="55" spans="1:4" x14ac:dyDescent="0.2">
      <c r="A55" s="30" t="s">
        <v>39</v>
      </c>
      <c r="B55" s="72" t="s">
        <v>40</v>
      </c>
      <c r="C55" s="72"/>
      <c r="D55" s="30" t="s">
        <v>3</v>
      </c>
    </row>
    <row r="56" spans="1:4" x14ac:dyDescent="0.2">
      <c r="A56" s="32" t="s">
        <v>4</v>
      </c>
      <c r="B56" s="69" t="s">
        <v>41</v>
      </c>
      <c r="C56" s="69"/>
      <c r="D56" s="13">
        <f>IF((22*2*5.6)-(D19*0.06)&gt;0,(22*2*5.6)-(D19*0.06),0)</f>
        <v>154.1302</v>
      </c>
    </row>
    <row r="57" spans="1:4" x14ac:dyDescent="0.2">
      <c r="A57" s="32" t="s">
        <v>6</v>
      </c>
      <c r="B57" s="69" t="s">
        <v>42</v>
      </c>
      <c r="C57" s="69"/>
      <c r="D57" s="13">
        <f>20*0.8*22</f>
        <v>352</v>
      </c>
    </row>
    <row r="58" spans="1:4" x14ac:dyDescent="0.2">
      <c r="A58" s="32" t="s">
        <v>8</v>
      </c>
      <c r="B58" s="69" t="s">
        <v>103</v>
      </c>
      <c r="C58" s="69"/>
      <c r="D58" s="13">
        <v>280</v>
      </c>
    </row>
    <row r="59" spans="1:4" x14ac:dyDescent="0.2">
      <c r="A59" s="32" t="s">
        <v>10</v>
      </c>
      <c r="B59" s="69" t="s">
        <v>104</v>
      </c>
      <c r="C59" s="69"/>
      <c r="D59" s="13">
        <v>23</v>
      </c>
    </row>
    <row r="60" spans="1:4" x14ac:dyDescent="0.2">
      <c r="A60" s="32" t="s">
        <v>12</v>
      </c>
      <c r="B60" s="69" t="s">
        <v>105</v>
      </c>
      <c r="C60" s="69"/>
      <c r="D60" s="13">
        <v>4.8</v>
      </c>
    </row>
    <row r="61" spans="1:4" x14ac:dyDescent="0.2">
      <c r="A61" s="70" t="s">
        <v>16</v>
      </c>
      <c r="B61" s="70"/>
      <c r="C61" s="70"/>
      <c r="D61" s="19">
        <f>SUM(D56:D60)</f>
        <v>813.93020000000001</v>
      </c>
    </row>
    <row r="64" spans="1:4" x14ac:dyDescent="0.2">
      <c r="A64" s="71" t="s">
        <v>43</v>
      </c>
      <c r="B64" s="71"/>
      <c r="C64" s="71"/>
      <c r="D64" s="71"/>
    </row>
    <row r="66" spans="1:5" x14ac:dyDescent="0.2">
      <c r="A66" s="30">
        <v>2</v>
      </c>
      <c r="B66" s="72" t="s">
        <v>44</v>
      </c>
      <c r="C66" s="72"/>
      <c r="D66" s="30" t="s">
        <v>3</v>
      </c>
    </row>
    <row r="67" spans="1:5" x14ac:dyDescent="0.2">
      <c r="A67" s="32" t="s">
        <v>19</v>
      </c>
      <c r="B67" s="69" t="s">
        <v>20</v>
      </c>
      <c r="C67" s="69"/>
      <c r="D67" s="14">
        <f>D36</f>
        <v>298.95</v>
      </c>
    </row>
    <row r="68" spans="1:5" x14ac:dyDescent="0.2">
      <c r="A68" s="32" t="s">
        <v>24</v>
      </c>
      <c r="B68" s="69" t="s">
        <v>25</v>
      </c>
      <c r="C68" s="69"/>
      <c r="D68" s="14">
        <f>D50</f>
        <v>675.89999999999986</v>
      </c>
    </row>
    <row r="69" spans="1:5" x14ac:dyDescent="0.2">
      <c r="A69" s="32" t="s">
        <v>39</v>
      </c>
      <c r="B69" s="69" t="s">
        <v>40</v>
      </c>
      <c r="C69" s="69"/>
      <c r="D69" s="14">
        <f>D61</f>
        <v>813.93020000000001</v>
      </c>
    </row>
    <row r="70" spans="1:5" x14ac:dyDescent="0.2">
      <c r="A70" s="70" t="s">
        <v>16</v>
      </c>
      <c r="B70" s="70"/>
      <c r="C70" s="70"/>
      <c r="D70" s="19">
        <f>SUM(D67:D69)</f>
        <v>1788.7801999999999</v>
      </c>
    </row>
    <row r="71" spans="1:5" x14ac:dyDescent="0.2">
      <c r="A71" s="4"/>
      <c r="E71" s="18"/>
    </row>
    <row r="73" spans="1:5" x14ac:dyDescent="0.2">
      <c r="A73" s="73" t="s">
        <v>45</v>
      </c>
      <c r="B73" s="73"/>
      <c r="C73" s="73"/>
      <c r="D73" s="73"/>
      <c r="E73" s="17"/>
    </row>
    <row r="74" spans="1:5" ht="12.75" customHeight="1" x14ac:dyDescent="0.2">
      <c r="E74" s="18"/>
    </row>
    <row r="75" spans="1:5" x14ac:dyDescent="0.2">
      <c r="A75" s="30">
        <v>3</v>
      </c>
      <c r="B75" s="72" t="s">
        <v>46</v>
      </c>
      <c r="C75" s="72"/>
      <c r="D75" s="30" t="s">
        <v>3</v>
      </c>
    </row>
    <row r="76" spans="1:5" x14ac:dyDescent="0.2">
      <c r="A76" s="32" t="s">
        <v>4</v>
      </c>
      <c r="B76" s="10" t="s">
        <v>47</v>
      </c>
      <c r="C76" s="9">
        <f>TRUNC(((1/12)*5%),4)</f>
        <v>4.1000000000000003E-3</v>
      </c>
      <c r="D76" s="13">
        <f>TRUNC($D$26*C76,2)</f>
        <v>6.3</v>
      </c>
    </row>
    <row r="77" spans="1:5" x14ac:dyDescent="0.2">
      <c r="A77" s="32" t="s">
        <v>6</v>
      </c>
      <c r="B77" s="10" t="s">
        <v>48</v>
      </c>
      <c r="C77" s="9">
        <v>0.08</v>
      </c>
      <c r="D77" s="13">
        <f>TRUNC(D76*C77,2)</f>
        <v>0.5</v>
      </c>
    </row>
    <row r="78" spans="1:5" x14ac:dyDescent="0.2">
      <c r="A78" s="32" t="s">
        <v>8</v>
      </c>
      <c r="B78" s="10" t="s">
        <v>98</v>
      </c>
      <c r="C78" s="9">
        <f>TRUNC(8%*5%*40%,4)</f>
        <v>1.6000000000000001E-3</v>
      </c>
      <c r="D78" s="13">
        <f>TRUNC($D$26*C78,2)</f>
        <v>2.46</v>
      </c>
    </row>
    <row r="79" spans="1:5" x14ac:dyDescent="0.2">
      <c r="A79" s="32" t="s">
        <v>10</v>
      </c>
      <c r="B79" s="10" t="s">
        <v>49</v>
      </c>
      <c r="C79" s="9">
        <f>TRUNC(((7/30)/12)*95%,4)</f>
        <v>1.84E-2</v>
      </c>
      <c r="D79" s="13">
        <f>TRUNC($D$26*C79,2)</f>
        <v>28.29</v>
      </c>
    </row>
    <row r="80" spans="1:5" ht="25.5" x14ac:dyDescent="0.2">
      <c r="A80" s="32" t="s">
        <v>12</v>
      </c>
      <c r="B80" s="10" t="s">
        <v>93</v>
      </c>
      <c r="C80" s="9">
        <f>C50</f>
        <v>0.36800000000000005</v>
      </c>
      <c r="D80" s="13">
        <f>TRUNC(D79*C80,2)</f>
        <v>10.41</v>
      </c>
    </row>
    <row r="81" spans="1:4" x14ac:dyDescent="0.2">
      <c r="A81" s="32" t="s">
        <v>32</v>
      </c>
      <c r="B81" s="10" t="s">
        <v>99</v>
      </c>
      <c r="C81" s="9">
        <f>TRUNC(8%*95%*40%,4)</f>
        <v>3.04E-2</v>
      </c>
      <c r="D81" s="13">
        <f t="shared" ref="D81" si="1">TRUNC($D$26*C81,2)</f>
        <v>46.75</v>
      </c>
    </row>
    <row r="82" spans="1:4" x14ac:dyDescent="0.2">
      <c r="A82" s="77" t="s">
        <v>16</v>
      </c>
      <c r="B82" s="78"/>
      <c r="C82" s="79"/>
      <c r="D82" s="19">
        <f>SUM(D76:D81)</f>
        <v>94.71</v>
      </c>
    </row>
    <row r="85" spans="1:4" x14ac:dyDescent="0.2">
      <c r="A85" s="73" t="s">
        <v>50</v>
      </c>
      <c r="B85" s="73"/>
      <c r="C85" s="73"/>
      <c r="D85" s="73"/>
    </row>
    <row r="88" spans="1:4" x14ac:dyDescent="0.2">
      <c r="A88" s="71" t="s">
        <v>77</v>
      </c>
      <c r="B88" s="71"/>
      <c r="C88" s="71"/>
      <c r="D88" s="71"/>
    </row>
    <row r="89" spans="1:4" x14ac:dyDescent="0.2">
      <c r="A89" s="3"/>
    </row>
    <row r="90" spans="1:4" x14ac:dyDescent="0.2">
      <c r="A90" s="30" t="s">
        <v>51</v>
      </c>
      <c r="B90" s="72" t="s">
        <v>78</v>
      </c>
      <c r="C90" s="72"/>
      <c r="D90" s="30" t="s">
        <v>3</v>
      </c>
    </row>
    <row r="91" spans="1:4" x14ac:dyDescent="0.2">
      <c r="A91" s="32" t="s">
        <v>4</v>
      </c>
      <c r="B91" s="29" t="s">
        <v>79</v>
      </c>
      <c r="C91" s="9">
        <f>TRUNC(((1+1/3)/12)/12,4)</f>
        <v>9.1999999999999998E-3</v>
      </c>
      <c r="D91" s="13">
        <f>TRUNC(($D$26+$D$70+$D$82)*C91,2)</f>
        <v>31.47</v>
      </c>
    </row>
    <row r="92" spans="1:4" x14ac:dyDescent="0.2">
      <c r="A92" s="32" t="s">
        <v>6</v>
      </c>
      <c r="B92" s="29" t="s">
        <v>80</v>
      </c>
      <c r="C92" s="9">
        <f>TRUNC(((2/30)/12),4)</f>
        <v>5.4999999999999997E-3</v>
      </c>
      <c r="D92" s="13">
        <f t="shared" ref="D92:D96" si="2">TRUNC(($D$26+$D$70+$D$82)*C92,2)</f>
        <v>18.809999999999999</v>
      </c>
    </row>
    <row r="93" spans="1:4" x14ac:dyDescent="0.2">
      <c r="A93" s="32" t="s">
        <v>8</v>
      </c>
      <c r="B93" s="29" t="s">
        <v>81</v>
      </c>
      <c r="C93" s="9">
        <f>TRUNC(((5/30)/12)*2%,4)</f>
        <v>2.0000000000000001E-4</v>
      </c>
      <c r="D93" s="13">
        <f t="shared" si="2"/>
        <v>0.68</v>
      </c>
    </row>
    <row r="94" spans="1:4" x14ac:dyDescent="0.2">
      <c r="A94" s="32" t="s">
        <v>10</v>
      </c>
      <c r="B94" s="29" t="s">
        <v>82</v>
      </c>
      <c r="C94" s="9">
        <f>TRUNC(((15/30)/12)*8%,4)</f>
        <v>3.3E-3</v>
      </c>
      <c r="D94" s="13">
        <f t="shared" si="2"/>
        <v>11.29</v>
      </c>
    </row>
    <row r="95" spans="1:4" x14ac:dyDescent="0.2">
      <c r="A95" s="32" t="s">
        <v>12</v>
      </c>
      <c r="B95" s="29" t="s">
        <v>83</v>
      </c>
      <c r="C95" s="9">
        <f>((1+1/3)/12)*3%*(4/12)</f>
        <v>1.1111111111111109E-3</v>
      </c>
      <c r="D95" s="13">
        <f t="shared" si="2"/>
        <v>3.8</v>
      </c>
    </row>
    <row r="96" spans="1:4" x14ac:dyDescent="0.2">
      <c r="A96" s="32" t="s">
        <v>32</v>
      </c>
      <c r="B96" s="29" t="s">
        <v>84</v>
      </c>
      <c r="C96" s="9"/>
      <c r="D96" s="13">
        <f t="shared" si="2"/>
        <v>0</v>
      </c>
    </row>
    <row r="97" spans="1:6" x14ac:dyDescent="0.2">
      <c r="A97" s="70" t="s">
        <v>37</v>
      </c>
      <c r="B97" s="70"/>
      <c r="C97" s="70"/>
      <c r="D97" s="19">
        <f>SUM(D91:D96)</f>
        <v>66.05</v>
      </c>
      <c r="E97" s="17"/>
      <c r="F97" s="17"/>
    </row>
    <row r="100" spans="1:6" x14ac:dyDescent="0.2">
      <c r="A100" s="71" t="s">
        <v>85</v>
      </c>
      <c r="B100" s="71"/>
      <c r="C100" s="71"/>
      <c r="D100" s="71"/>
    </row>
    <row r="101" spans="1:6" x14ac:dyDescent="0.2">
      <c r="A101" s="3"/>
    </row>
    <row r="102" spans="1:6" x14ac:dyDescent="0.2">
      <c r="A102" s="30" t="s">
        <v>52</v>
      </c>
      <c r="B102" s="72" t="s">
        <v>86</v>
      </c>
      <c r="C102" s="72"/>
      <c r="D102" s="30" t="s">
        <v>3</v>
      </c>
    </row>
    <row r="103" spans="1:6" x14ac:dyDescent="0.2">
      <c r="A103" s="32" t="s">
        <v>4</v>
      </c>
      <c r="B103" s="80" t="s">
        <v>87</v>
      </c>
      <c r="C103" s="81"/>
      <c r="D103" s="13">
        <f>((D26+D70+D82)/220)*22*0</f>
        <v>0</v>
      </c>
    </row>
    <row r="104" spans="1:6" x14ac:dyDescent="0.2">
      <c r="A104" s="70" t="s">
        <v>16</v>
      </c>
      <c r="B104" s="70"/>
      <c r="C104" s="70"/>
      <c r="D104" s="19">
        <f>SUM(D103)</f>
        <v>0</v>
      </c>
    </row>
    <row r="107" spans="1:6" x14ac:dyDescent="0.2">
      <c r="A107" s="71" t="s">
        <v>53</v>
      </c>
      <c r="B107" s="71"/>
      <c r="C107" s="71"/>
      <c r="D107" s="71"/>
    </row>
    <row r="108" spans="1:6" x14ac:dyDescent="0.2">
      <c r="A108" s="3"/>
    </row>
    <row r="109" spans="1:6" x14ac:dyDescent="0.2">
      <c r="A109" s="30">
        <v>4</v>
      </c>
      <c r="B109" s="70" t="s">
        <v>54</v>
      </c>
      <c r="C109" s="70"/>
      <c r="D109" s="30" t="s">
        <v>3</v>
      </c>
    </row>
    <row r="110" spans="1:6" x14ac:dyDescent="0.2">
      <c r="A110" s="32" t="s">
        <v>51</v>
      </c>
      <c r="B110" s="69" t="s">
        <v>78</v>
      </c>
      <c r="C110" s="69"/>
      <c r="D110" s="14">
        <f>D97</f>
        <v>66.05</v>
      </c>
    </row>
    <row r="111" spans="1:6" x14ac:dyDescent="0.2">
      <c r="A111" s="32" t="s">
        <v>52</v>
      </c>
      <c r="B111" s="69" t="s">
        <v>86</v>
      </c>
      <c r="C111" s="69"/>
      <c r="D111" s="14">
        <f>D104</f>
        <v>0</v>
      </c>
    </row>
    <row r="112" spans="1:6" x14ac:dyDescent="0.2">
      <c r="A112" s="70" t="s">
        <v>16</v>
      </c>
      <c r="B112" s="70"/>
      <c r="C112" s="70"/>
      <c r="D112" s="19">
        <f>SUM(D110:D111)</f>
        <v>66.05</v>
      </c>
    </row>
    <row r="115" spans="1:4" x14ac:dyDescent="0.2">
      <c r="A115" s="73" t="s">
        <v>55</v>
      </c>
      <c r="B115" s="73"/>
      <c r="C115" s="73"/>
      <c r="D115" s="73"/>
    </row>
    <row r="117" spans="1:4" x14ac:dyDescent="0.2">
      <c r="A117" s="30">
        <v>5</v>
      </c>
      <c r="B117" s="82" t="s">
        <v>56</v>
      </c>
      <c r="C117" s="82"/>
      <c r="D117" s="30" t="s">
        <v>3</v>
      </c>
    </row>
    <row r="118" spans="1:4" x14ac:dyDescent="0.2">
      <c r="A118" s="32" t="s">
        <v>4</v>
      </c>
      <c r="B118" s="29" t="s">
        <v>57</v>
      </c>
      <c r="C118" s="29"/>
      <c r="D118" s="13">
        <v>32.97</v>
      </c>
    </row>
    <row r="119" spans="1:4" x14ac:dyDescent="0.2">
      <c r="A119" s="32" t="s">
        <v>6</v>
      </c>
      <c r="B119" s="29" t="s">
        <v>58</v>
      </c>
      <c r="C119" s="29"/>
      <c r="D119" s="13"/>
    </row>
    <row r="120" spans="1:4" x14ac:dyDescent="0.2">
      <c r="A120" s="32" t="s">
        <v>8</v>
      </c>
      <c r="B120" s="29" t="s">
        <v>59</v>
      </c>
      <c r="C120" s="29"/>
      <c r="D120" s="13"/>
    </row>
    <row r="121" spans="1:4" x14ac:dyDescent="0.2">
      <c r="A121" s="32" t="s">
        <v>10</v>
      </c>
      <c r="B121" s="29" t="s">
        <v>15</v>
      </c>
      <c r="C121" s="29"/>
      <c r="D121" s="13"/>
    </row>
    <row r="122" spans="1:4" x14ac:dyDescent="0.2">
      <c r="A122" s="70" t="s">
        <v>37</v>
      </c>
      <c r="B122" s="70"/>
      <c r="C122" s="70"/>
      <c r="D122" s="20">
        <f>SUM(D118:D121)</f>
        <v>32.97</v>
      </c>
    </row>
    <row r="125" spans="1:4" x14ac:dyDescent="0.2">
      <c r="A125" s="73" t="s">
        <v>60</v>
      </c>
      <c r="B125" s="73"/>
      <c r="C125" s="73"/>
      <c r="D125" s="73"/>
    </row>
    <row r="127" spans="1:4" x14ac:dyDescent="0.2">
      <c r="A127" s="30">
        <v>6</v>
      </c>
      <c r="B127" s="31" t="s">
        <v>61</v>
      </c>
      <c r="C127" s="30" t="s">
        <v>26</v>
      </c>
      <c r="D127" s="30" t="s">
        <v>3</v>
      </c>
    </row>
    <row r="128" spans="1:4" x14ac:dyDescent="0.2">
      <c r="A128" s="32" t="s">
        <v>4</v>
      </c>
      <c r="B128" s="29" t="s">
        <v>62</v>
      </c>
      <c r="C128" s="9">
        <v>0.02</v>
      </c>
      <c r="D128" s="14">
        <f>D148*C128</f>
        <v>70.406804000000008</v>
      </c>
    </row>
    <row r="129" spans="1:4" x14ac:dyDescent="0.2">
      <c r="A129" s="32" t="s">
        <v>6</v>
      </c>
      <c r="B129" s="29" t="s">
        <v>63</v>
      </c>
      <c r="C129" s="9">
        <v>0.03</v>
      </c>
      <c r="D129" s="13">
        <f>(D148+D128)*C129</f>
        <v>107.72241012000001</v>
      </c>
    </row>
    <row r="130" spans="1:4" x14ac:dyDescent="0.2">
      <c r="A130" s="32" t="s">
        <v>8</v>
      </c>
      <c r="B130" s="29" t="s">
        <v>64</v>
      </c>
      <c r="C130" s="12">
        <f>SUM(C131:C136)</f>
        <v>8.6499999999999994E-2</v>
      </c>
      <c r="D130" s="13">
        <f>(D148+D128+D129)*C130/(1-C130)</f>
        <v>350.21084216899834</v>
      </c>
    </row>
    <row r="131" spans="1:4" x14ac:dyDescent="0.2">
      <c r="A131" s="32"/>
      <c r="B131" s="29" t="s">
        <v>65</v>
      </c>
      <c r="C131" s="9"/>
      <c r="D131" s="14">
        <f>$D$150*C131</f>
        <v>0</v>
      </c>
    </row>
    <row r="132" spans="1:4" x14ac:dyDescent="0.2">
      <c r="A132" s="32"/>
      <c r="B132" s="29" t="s">
        <v>95</v>
      </c>
      <c r="C132" s="9">
        <v>6.4999999999999997E-3</v>
      </c>
      <c r="D132" s="14">
        <f t="shared" ref="D132:D136" si="3">$D$150*C132</f>
        <v>26.316419999999997</v>
      </c>
    </row>
    <row r="133" spans="1:4" x14ac:dyDescent="0.2">
      <c r="A133" s="32"/>
      <c r="B133" s="29" t="s">
        <v>96</v>
      </c>
      <c r="C133" s="9">
        <v>0.03</v>
      </c>
      <c r="D133" s="14">
        <f t="shared" si="3"/>
        <v>121.46039999999999</v>
      </c>
    </row>
    <row r="134" spans="1:4" x14ac:dyDescent="0.2">
      <c r="A134" s="32"/>
      <c r="B134" s="29" t="s">
        <v>66</v>
      </c>
      <c r="C134" s="32"/>
      <c r="D134" s="14">
        <f t="shared" si="3"/>
        <v>0</v>
      </c>
    </row>
    <row r="135" spans="1:4" x14ac:dyDescent="0.2">
      <c r="A135" s="32"/>
      <c r="B135" s="29" t="s">
        <v>67</v>
      </c>
      <c r="C135" s="9"/>
      <c r="D135" s="14">
        <f t="shared" si="3"/>
        <v>0</v>
      </c>
    </row>
    <row r="136" spans="1:4" x14ac:dyDescent="0.2">
      <c r="A136" s="32"/>
      <c r="B136" s="29" t="s">
        <v>97</v>
      </c>
      <c r="C136" s="9">
        <v>0.05</v>
      </c>
      <c r="D136" s="14">
        <f t="shared" si="3"/>
        <v>202.434</v>
      </c>
    </row>
    <row r="137" spans="1:4" ht="13.5" x14ac:dyDescent="0.2">
      <c r="A137" s="77" t="s">
        <v>37</v>
      </c>
      <c r="B137" s="78"/>
      <c r="C137" s="21">
        <f>(1+C129)*(1+C128)/(1-C130)-1</f>
        <v>0.15008210180623971</v>
      </c>
      <c r="D137" s="19">
        <f>SUM(D128:D130)</f>
        <v>528.34005628899831</v>
      </c>
    </row>
    <row r="140" spans="1:4" x14ac:dyDescent="0.2">
      <c r="A140" s="73" t="s">
        <v>68</v>
      </c>
      <c r="B140" s="73"/>
      <c r="C140" s="73"/>
      <c r="D140" s="73"/>
    </row>
    <row r="142" spans="1:4" x14ac:dyDescent="0.2">
      <c r="A142" s="30"/>
      <c r="B142" s="70" t="s">
        <v>69</v>
      </c>
      <c r="C142" s="70"/>
      <c r="D142" s="30" t="s">
        <v>3</v>
      </c>
    </row>
    <row r="143" spans="1:4" x14ac:dyDescent="0.2">
      <c r="A143" s="30" t="s">
        <v>4</v>
      </c>
      <c r="B143" s="69" t="s">
        <v>1</v>
      </c>
      <c r="C143" s="69"/>
      <c r="D143" s="22">
        <f>D26</f>
        <v>1537.83</v>
      </c>
    </row>
    <row r="144" spans="1:4" x14ac:dyDescent="0.2">
      <c r="A144" s="30" t="s">
        <v>6</v>
      </c>
      <c r="B144" s="69" t="s">
        <v>17</v>
      </c>
      <c r="C144" s="69"/>
      <c r="D144" s="22">
        <f>D70</f>
        <v>1788.7801999999999</v>
      </c>
    </row>
    <row r="145" spans="1:4" x14ac:dyDescent="0.2">
      <c r="A145" s="30" t="s">
        <v>8</v>
      </c>
      <c r="B145" s="69" t="s">
        <v>45</v>
      </c>
      <c r="C145" s="69"/>
      <c r="D145" s="22">
        <f>D82</f>
        <v>94.71</v>
      </c>
    </row>
    <row r="146" spans="1:4" x14ac:dyDescent="0.2">
      <c r="A146" s="30" t="s">
        <v>10</v>
      </c>
      <c r="B146" s="69" t="s">
        <v>50</v>
      </c>
      <c r="C146" s="69"/>
      <c r="D146" s="22">
        <f>D112</f>
        <v>66.05</v>
      </c>
    </row>
    <row r="147" spans="1:4" x14ac:dyDescent="0.2">
      <c r="A147" s="30" t="s">
        <v>12</v>
      </c>
      <c r="B147" s="69" t="s">
        <v>55</v>
      </c>
      <c r="C147" s="69"/>
      <c r="D147" s="22">
        <f>D122</f>
        <v>32.97</v>
      </c>
    </row>
    <row r="148" spans="1:4" x14ac:dyDescent="0.2">
      <c r="A148" s="70" t="s">
        <v>94</v>
      </c>
      <c r="B148" s="70"/>
      <c r="C148" s="70"/>
      <c r="D148" s="23">
        <f>SUM(D143:D147)</f>
        <v>3520.3402000000001</v>
      </c>
    </row>
    <row r="149" spans="1:4" x14ac:dyDescent="0.2">
      <c r="A149" s="30" t="s">
        <v>32</v>
      </c>
      <c r="B149" s="69" t="s">
        <v>70</v>
      </c>
      <c r="C149" s="69"/>
      <c r="D149" s="24">
        <f>D137</f>
        <v>528.34005628899831</v>
      </c>
    </row>
    <row r="150" spans="1:4" x14ac:dyDescent="0.2">
      <c r="A150" s="70" t="s">
        <v>71</v>
      </c>
      <c r="B150" s="70"/>
      <c r="C150" s="70"/>
      <c r="D150" s="23">
        <f>ROUND(SUM(D148:D149),2)</f>
        <v>4048.68</v>
      </c>
    </row>
  </sheetData>
  <mergeCells count="71">
    <mergeCell ref="C10:D10"/>
    <mergeCell ref="A1:D1"/>
    <mergeCell ref="A3:D3"/>
    <mergeCell ref="A5:B5"/>
    <mergeCell ref="A6:B6"/>
    <mergeCell ref="A8:D8"/>
    <mergeCell ref="B24:C24"/>
    <mergeCell ref="C11:D11"/>
    <mergeCell ref="C12:D12"/>
    <mergeCell ref="C13:D13"/>
    <mergeCell ref="C14:D14"/>
    <mergeCell ref="A16:D16"/>
    <mergeCell ref="B18:C18"/>
    <mergeCell ref="B19:C19"/>
    <mergeCell ref="B20:C20"/>
    <mergeCell ref="B21:C21"/>
    <mergeCell ref="B22:C22"/>
    <mergeCell ref="B23:C23"/>
    <mergeCell ref="B57:C57"/>
    <mergeCell ref="B25:C25"/>
    <mergeCell ref="A26:C26"/>
    <mergeCell ref="A29:D29"/>
    <mergeCell ref="A31:D31"/>
    <mergeCell ref="B33:C33"/>
    <mergeCell ref="A36:B36"/>
    <mergeCell ref="A39:D39"/>
    <mergeCell ref="A50:B50"/>
    <mergeCell ref="A53:D53"/>
    <mergeCell ref="B55:C55"/>
    <mergeCell ref="B56:C56"/>
    <mergeCell ref="B75:C75"/>
    <mergeCell ref="B58:C58"/>
    <mergeCell ref="B59:C59"/>
    <mergeCell ref="B60:C60"/>
    <mergeCell ref="A61:C61"/>
    <mergeCell ref="A64:D64"/>
    <mergeCell ref="B66:C66"/>
    <mergeCell ref="B67:C67"/>
    <mergeCell ref="B68:C68"/>
    <mergeCell ref="B69:C69"/>
    <mergeCell ref="A70:C70"/>
    <mergeCell ref="A73:D73"/>
    <mergeCell ref="B110:C110"/>
    <mergeCell ref="A82:C82"/>
    <mergeCell ref="A85:D85"/>
    <mergeCell ref="A88:D88"/>
    <mergeCell ref="B90:C90"/>
    <mergeCell ref="A97:C97"/>
    <mergeCell ref="A100:D100"/>
    <mergeCell ref="B102:C102"/>
    <mergeCell ref="B103:C103"/>
    <mergeCell ref="A104:C104"/>
    <mergeCell ref="A107:D107"/>
    <mergeCell ref="B109:C109"/>
    <mergeCell ref="B145:C145"/>
    <mergeCell ref="B111:C111"/>
    <mergeCell ref="A112:C112"/>
    <mergeCell ref="A115:D115"/>
    <mergeCell ref="B117:C117"/>
    <mergeCell ref="A122:C122"/>
    <mergeCell ref="A125:D125"/>
    <mergeCell ref="A137:B137"/>
    <mergeCell ref="A140:D140"/>
    <mergeCell ref="B142:C142"/>
    <mergeCell ref="B143:C143"/>
    <mergeCell ref="B144:C144"/>
    <mergeCell ref="B146:C146"/>
    <mergeCell ref="B147:C147"/>
    <mergeCell ref="A148:C148"/>
    <mergeCell ref="B149:C149"/>
    <mergeCell ref="A150:C150"/>
  </mergeCells>
  <pageMargins left="0.51181102362204722" right="0.51181102362204722" top="0.98425196850393704" bottom="0.78740157480314965" header="0.31496062992125984" footer="0.31496062992125984"/>
  <pageSetup paperSize="9" scale="84" fitToHeight="0" orientation="portrait" r:id="rId1"/>
  <headerFooter>
    <oddHeader>&amp;C&amp;G</oddHeader>
    <oddFooter>&amp;L&amp;"-,Negrito"Documento elaborado em &amp;D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0"/>
  <sheetViews>
    <sheetView view="pageBreakPreview" zoomScaleNormal="115" zoomScaleSheetLayoutView="100" workbookViewId="0">
      <selection activeCell="C130" sqref="C130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74" t="s">
        <v>0</v>
      </c>
      <c r="B1" s="74"/>
      <c r="C1" s="74"/>
      <c r="D1" s="74"/>
    </row>
    <row r="2" spans="1:4" ht="15.75" x14ac:dyDescent="0.25">
      <c r="A2" s="26"/>
      <c r="B2" s="26"/>
      <c r="C2" s="26"/>
      <c r="D2" s="26"/>
    </row>
    <row r="3" spans="1:4" x14ac:dyDescent="0.2">
      <c r="A3" s="76" t="s">
        <v>88</v>
      </c>
      <c r="B3" s="76"/>
      <c r="C3" s="76"/>
      <c r="D3" s="76"/>
    </row>
    <row r="4" spans="1:4" x14ac:dyDescent="0.2">
      <c r="A4" s="2"/>
      <c r="B4" s="2"/>
      <c r="C4" s="2"/>
      <c r="D4" s="2"/>
    </row>
    <row r="5" spans="1:4" ht="38.25" x14ac:dyDescent="0.2">
      <c r="A5" s="83" t="s">
        <v>89</v>
      </c>
      <c r="B5" s="83"/>
      <c r="C5" s="32" t="s">
        <v>90</v>
      </c>
      <c r="D5" s="27" t="s">
        <v>91</v>
      </c>
    </row>
    <row r="6" spans="1:4" x14ac:dyDescent="0.2">
      <c r="A6" s="84" t="s">
        <v>110</v>
      </c>
      <c r="B6" s="84"/>
      <c r="C6" s="33" t="s">
        <v>101</v>
      </c>
      <c r="D6" s="33">
        <v>3</v>
      </c>
    </row>
    <row r="8" spans="1:4" x14ac:dyDescent="0.2">
      <c r="A8" s="76" t="s">
        <v>72</v>
      </c>
      <c r="B8" s="76"/>
      <c r="C8" s="76"/>
      <c r="D8" s="76"/>
    </row>
    <row r="9" spans="1:4" x14ac:dyDescent="0.2">
      <c r="A9" s="2"/>
      <c r="B9" s="2"/>
      <c r="C9" s="2"/>
      <c r="D9" s="2"/>
    </row>
    <row r="10" spans="1:4" x14ac:dyDescent="0.2">
      <c r="A10" s="5">
        <v>1</v>
      </c>
      <c r="B10" s="5" t="s">
        <v>73</v>
      </c>
      <c r="C10" s="85" t="s">
        <v>110</v>
      </c>
      <c r="D10" s="86"/>
    </row>
    <row r="11" spans="1:4" x14ac:dyDescent="0.2">
      <c r="A11" s="5">
        <v>2</v>
      </c>
      <c r="B11" s="5" t="s">
        <v>92</v>
      </c>
      <c r="C11" s="85" t="s">
        <v>111</v>
      </c>
      <c r="D11" s="86"/>
    </row>
    <row r="12" spans="1:4" x14ac:dyDescent="0.2">
      <c r="A12" s="5">
        <v>3</v>
      </c>
      <c r="B12" s="5" t="s">
        <v>74</v>
      </c>
      <c r="C12" s="87">
        <v>1798.06</v>
      </c>
      <c r="D12" s="86"/>
    </row>
    <row r="13" spans="1:4" x14ac:dyDescent="0.2">
      <c r="A13" s="5">
        <v>4</v>
      </c>
      <c r="B13" s="5" t="s">
        <v>75</v>
      </c>
      <c r="C13" s="85"/>
      <c r="D13" s="86"/>
    </row>
    <row r="14" spans="1:4" x14ac:dyDescent="0.2">
      <c r="A14" s="5">
        <v>5</v>
      </c>
      <c r="B14" s="5" t="s">
        <v>76</v>
      </c>
      <c r="C14" s="85"/>
      <c r="D14" s="86"/>
    </row>
    <row r="16" spans="1:4" x14ac:dyDescent="0.2">
      <c r="A16" s="76" t="s">
        <v>1</v>
      </c>
      <c r="B16" s="76"/>
      <c r="C16" s="76"/>
      <c r="D16" s="76"/>
    </row>
    <row r="18" spans="1:4" x14ac:dyDescent="0.2">
      <c r="A18" s="30">
        <v>1</v>
      </c>
      <c r="B18" s="70" t="s">
        <v>2</v>
      </c>
      <c r="C18" s="70"/>
      <c r="D18" s="30" t="s">
        <v>3</v>
      </c>
    </row>
    <row r="19" spans="1:4" x14ac:dyDescent="0.2">
      <c r="A19" s="32" t="s">
        <v>4</v>
      </c>
      <c r="B19" s="69" t="s">
        <v>5</v>
      </c>
      <c r="C19" s="69"/>
      <c r="D19" s="13">
        <v>1798.06</v>
      </c>
    </row>
    <row r="20" spans="1:4" x14ac:dyDescent="0.2">
      <c r="A20" s="32" t="s">
        <v>6</v>
      </c>
      <c r="B20" s="69" t="s">
        <v>7</v>
      </c>
      <c r="C20" s="69"/>
      <c r="D20" s="13"/>
    </row>
    <row r="21" spans="1:4" x14ac:dyDescent="0.2">
      <c r="A21" s="32" t="s">
        <v>8</v>
      </c>
      <c r="B21" s="69" t="s">
        <v>9</v>
      </c>
      <c r="C21" s="69"/>
      <c r="D21" s="13"/>
    </row>
    <row r="22" spans="1:4" x14ac:dyDescent="0.2">
      <c r="A22" s="32" t="s">
        <v>10</v>
      </c>
      <c r="B22" s="69" t="s">
        <v>11</v>
      </c>
      <c r="C22" s="69"/>
      <c r="D22" s="13"/>
    </row>
    <row r="23" spans="1:4" x14ac:dyDescent="0.2">
      <c r="A23" s="32" t="s">
        <v>12</v>
      </c>
      <c r="B23" s="69" t="s">
        <v>13</v>
      </c>
      <c r="C23" s="69"/>
      <c r="D23" s="13"/>
    </row>
    <row r="24" spans="1:4" x14ac:dyDescent="0.2">
      <c r="A24" s="32"/>
      <c r="B24" s="69"/>
      <c r="C24" s="69"/>
      <c r="D24" s="13"/>
    </row>
    <row r="25" spans="1:4" x14ac:dyDescent="0.2">
      <c r="A25" s="32" t="s">
        <v>14</v>
      </c>
      <c r="B25" s="69" t="s">
        <v>15</v>
      </c>
      <c r="C25" s="69"/>
      <c r="D25" s="13"/>
    </row>
    <row r="26" spans="1:4" x14ac:dyDescent="0.2">
      <c r="A26" s="70" t="s">
        <v>16</v>
      </c>
      <c r="B26" s="70"/>
      <c r="C26" s="70"/>
      <c r="D26" s="20">
        <f>SUM(D19:D25)</f>
        <v>1798.06</v>
      </c>
    </row>
    <row r="29" spans="1:4" x14ac:dyDescent="0.2">
      <c r="A29" s="73" t="s">
        <v>17</v>
      </c>
      <c r="B29" s="73"/>
      <c r="C29" s="73"/>
      <c r="D29" s="73"/>
    </row>
    <row r="30" spans="1:4" x14ac:dyDescent="0.2">
      <c r="A30" s="3"/>
    </row>
    <row r="31" spans="1:4" x14ac:dyDescent="0.2">
      <c r="A31" s="71" t="s">
        <v>18</v>
      </c>
      <c r="B31" s="71"/>
      <c r="C31" s="71"/>
      <c r="D31" s="71"/>
    </row>
    <row r="33" spans="1:4" x14ac:dyDescent="0.2">
      <c r="A33" s="30" t="s">
        <v>19</v>
      </c>
      <c r="B33" s="70" t="s">
        <v>20</v>
      </c>
      <c r="C33" s="70"/>
      <c r="D33" s="30" t="s">
        <v>3</v>
      </c>
    </row>
    <row r="34" spans="1:4" x14ac:dyDescent="0.2">
      <c r="A34" s="32" t="s">
        <v>4</v>
      </c>
      <c r="B34" s="29" t="s">
        <v>21</v>
      </c>
      <c r="C34" s="12">
        <f>TRUNC(1/12,4)</f>
        <v>8.3299999999999999E-2</v>
      </c>
      <c r="D34" s="13">
        <f>TRUNC($D$26*C34,2)</f>
        <v>149.77000000000001</v>
      </c>
    </row>
    <row r="35" spans="1:4" x14ac:dyDescent="0.2">
      <c r="A35" s="32" t="s">
        <v>6</v>
      </c>
      <c r="B35" s="29" t="s">
        <v>22</v>
      </c>
      <c r="C35" s="12">
        <f>TRUNC(((1+1/3)/12),4)</f>
        <v>0.1111</v>
      </c>
      <c r="D35" s="13">
        <f>TRUNC($D$26*C35,2)</f>
        <v>199.76</v>
      </c>
    </row>
    <row r="36" spans="1:4" x14ac:dyDescent="0.2">
      <c r="A36" s="70" t="s">
        <v>16</v>
      </c>
      <c r="B36" s="70"/>
      <c r="C36" s="28">
        <f>SUM(C34:C35)</f>
        <v>0.19440000000000002</v>
      </c>
      <c r="D36" s="19">
        <f>SUM(D34:D35)</f>
        <v>349.53</v>
      </c>
    </row>
    <row r="39" spans="1:4" x14ac:dyDescent="0.2">
      <c r="A39" s="75" t="s">
        <v>23</v>
      </c>
      <c r="B39" s="75"/>
      <c r="C39" s="75"/>
      <c r="D39" s="75"/>
    </row>
    <row r="41" spans="1:4" x14ac:dyDescent="0.2">
      <c r="A41" s="30" t="s">
        <v>24</v>
      </c>
      <c r="B41" s="30" t="s">
        <v>25</v>
      </c>
      <c r="C41" s="30" t="s">
        <v>26</v>
      </c>
      <c r="D41" s="30" t="s">
        <v>3</v>
      </c>
    </row>
    <row r="42" spans="1:4" x14ac:dyDescent="0.2">
      <c r="A42" s="32" t="s">
        <v>4</v>
      </c>
      <c r="B42" s="29" t="s">
        <v>27</v>
      </c>
      <c r="C42" s="9">
        <v>0.2</v>
      </c>
      <c r="D42" s="13">
        <f>TRUNC(($D$26+$D$36)*C42,2)</f>
        <v>429.51</v>
      </c>
    </row>
    <row r="43" spans="1:4" x14ac:dyDescent="0.2">
      <c r="A43" s="32" t="s">
        <v>6</v>
      </c>
      <c r="B43" s="29" t="s">
        <v>28</v>
      </c>
      <c r="C43" s="9">
        <v>2.5000000000000001E-2</v>
      </c>
      <c r="D43" s="13">
        <f t="shared" ref="D43:D49" si="0">TRUNC(($D$26+$D$36)*C43,2)</f>
        <v>53.68</v>
      </c>
    </row>
    <row r="44" spans="1:4" x14ac:dyDescent="0.2">
      <c r="A44" s="32" t="s">
        <v>8</v>
      </c>
      <c r="B44" s="29" t="s">
        <v>29</v>
      </c>
      <c r="C44" s="16">
        <v>0.03</v>
      </c>
      <c r="D44" s="13">
        <f t="shared" si="0"/>
        <v>64.42</v>
      </c>
    </row>
    <row r="45" spans="1:4" x14ac:dyDescent="0.2">
      <c r="A45" s="32" t="s">
        <v>10</v>
      </c>
      <c r="B45" s="29" t="s">
        <v>30</v>
      </c>
      <c r="C45" s="9">
        <v>1.4999999999999999E-2</v>
      </c>
      <c r="D45" s="13">
        <f t="shared" si="0"/>
        <v>32.21</v>
      </c>
    </row>
    <row r="46" spans="1:4" x14ac:dyDescent="0.2">
      <c r="A46" s="32" t="s">
        <v>12</v>
      </c>
      <c r="B46" s="29" t="s">
        <v>31</v>
      </c>
      <c r="C46" s="9">
        <v>0.01</v>
      </c>
      <c r="D46" s="13">
        <f t="shared" si="0"/>
        <v>21.47</v>
      </c>
    </row>
    <row r="47" spans="1:4" x14ac:dyDescent="0.2">
      <c r="A47" s="32" t="s">
        <v>32</v>
      </c>
      <c r="B47" s="29" t="s">
        <v>33</v>
      </c>
      <c r="C47" s="9">
        <v>6.0000000000000001E-3</v>
      </c>
      <c r="D47" s="13">
        <f t="shared" si="0"/>
        <v>12.88</v>
      </c>
    </row>
    <row r="48" spans="1:4" x14ac:dyDescent="0.2">
      <c r="A48" s="32" t="s">
        <v>14</v>
      </c>
      <c r="B48" s="29" t="s">
        <v>34</v>
      </c>
      <c r="C48" s="9">
        <v>2E-3</v>
      </c>
      <c r="D48" s="13">
        <f t="shared" si="0"/>
        <v>4.29</v>
      </c>
    </row>
    <row r="49" spans="1:4" x14ac:dyDescent="0.2">
      <c r="A49" s="32" t="s">
        <v>35</v>
      </c>
      <c r="B49" s="29" t="s">
        <v>36</v>
      </c>
      <c r="C49" s="9">
        <v>0.08</v>
      </c>
      <c r="D49" s="13">
        <f t="shared" si="0"/>
        <v>171.8</v>
      </c>
    </row>
    <row r="50" spans="1:4" x14ac:dyDescent="0.2">
      <c r="A50" s="70" t="s">
        <v>37</v>
      </c>
      <c r="B50" s="70"/>
      <c r="C50" s="15">
        <f>SUM(C42:C49)</f>
        <v>0.36800000000000005</v>
      </c>
      <c r="D50" s="19">
        <f>SUM(D42:D49)</f>
        <v>790.26</v>
      </c>
    </row>
    <row r="53" spans="1:4" x14ac:dyDescent="0.2">
      <c r="A53" s="71" t="s">
        <v>38</v>
      </c>
      <c r="B53" s="71"/>
      <c r="C53" s="71"/>
      <c r="D53" s="71"/>
    </row>
    <row r="55" spans="1:4" x14ac:dyDescent="0.2">
      <c r="A55" s="30" t="s">
        <v>39</v>
      </c>
      <c r="B55" s="72" t="s">
        <v>40</v>
      </c>
      <c r="C55" s="72"/>
      <c r="D55" s="30" t="s">
        <v>3</v>
      </c>
    </row>
    <row r="56" spans="1:4" x14ac:dyDescent="0.2">
      <c r="A56" s="32" t="s">
        <v>4</v>
      </c>
      <c r="B56" s="69" t="s">
        <v>41</v>
      </c>
      <c r="C56" s="69"/>
      <c r="D56" s="13">
        <f>IF((22*2*5.6)-(D19*0.06)&gt;0,(22*2*5.6)-(D19*0.06),0)</f>
        <v>138.51639999999998</v>
      </c>
    </row>
    <row r="57" spans="1:4" x14ac:dyDescent="0.2">
      <c r="A57" s="32" t="s">
        <v>6</v>
      </c>
      <c r="B57" s="69" t="s">
        <v>42</v>
      </c>
      <c r="C57" s="69"/>
      <c r="D57" s="13">
        <f>20*0.8*22</f>
        <v>352</v>
      </c>
    </row>
    <row r="58" spans="1:4" x14ac:dyDescent="0.2">
      <c r="A58" s="32" t="s">
        <v>8</v>
      </c>
      <c r="B58" s="69" t="s">
        <v>103</v>
      </c>
      <c r="C58" s="69"/>
      <c r="D58" s="13">
        <v>280</v>
      </c>
    </row>
    <row r="59" spans="1:4" x14ac:dyDescent="0.2">
      <c r="A59" s="32" t="s">
        <v>10</v>
      </c>
      <c r="B59" s="69" t="s">
        <v>104</v>
      </c>
      <c r="C59" s="69"/>
      <c r="D59" s="13">
        <v>23</v>
      </c>
    </row>
    <row r="60" spans="1:4" x14ac:dyDescent="0.2">
      <c r="A60" s="32" t="s">
        <v>12</v>
      </c>
      <c r="B60" s="69" t="s">
        <v>105</v>
      </c>
      <c r="C60" s="69"/>
      <c r="D60" s="13">
        <v>4.8</v>
      </c>
    </row>
    <row r="61" spans="1:4" x14ac:dyDescent="0.2">
      <c r="A61" s="70" t="s">
        <v>16</v>
      </c>
      <c r="B61" s="70"/>
      <c r="C61" s="70"/>
      <c r="D61" s="19">
        <f>SUM(D56:D60)</f>
        <v>798.31639999999993</v>
      </c>
    </row>
    <row r="64" spans="1:4" x14ac:dyDescent="0.2">
      <c r="A64" s="71" t="s">
        <v>43</v>
      </c>
      <c r="B64" s="71"/>
      <c r="C64" s="71"/>
      <c r="D64" s="71"/>
    </row>
    <row r="66" spans="1:5" x14ac:dyDescent="0.2">
      <c r="A66" s="30">
        <v>2</v>
      </c>
      <c r="B66" s="72" t="s">
        <v>44</v>
      </c>
      <c r="C66" s="72"/>
      <c r="D66" s="30" t="s">
        <v>3</v>
      </c>
    </row>
    <row r="67" spans="1:5" x14ac:dyDescent="0.2">
      <c r="A67" s="32" t="s">
        <v>19</v>
      </c>
      <c r="B67" s="69" t="s">
        <v>20</v>
      </c>
      <c r="C67" s="69"/>
      <c r="D67" s="14">
        <f>D36</f>
        <v>349.53</v>
      </c>
    </row>
    <row r="68" spans="1:5" x14ac:dyDescent="0.2">
      <c r="A68" s="32" t="s">
        <v>24</v>
      </c>
      <c r="B68" s="69" t="s">
        <v>25</v>
      </c>
      <c r="C68" s="69"/>
      <c r="D68" s="14">
        <f>D50</f>
        <v>790.26</v>
      </c>
    </row>
    <row r="69" spans="1:5" x14ac:dyDescent="0.2">
      <c r="A69" s="32" t="s">
        <v>39</v>
      </c>
      <c r="B69" s="69" t="s">
        <v>40</v>
      </c>
      <c r="C69" s="69"/>
      <c r="D69" s="14">
        <f>D61</f>
        <v>798.31639999999993</v>
      </c>
    </row>
    <row r="70" spans="1:5" x14ac:dyDescent="0.2">
      <c r="A70" s="70" t="s">
        <v>16</v>
      </c>
      <c r="B70" s="70"/>
      <c r="C70" s="70"/>
      <c r="D70" s="19">
        <f>SUM(D67:D69)</f>
        <v>1938.1063999999999</v>
      </c>
    </row>
    <row r="71" spans="1:5" x14ac:dyDescent="0.2">
      <c r="A71" s="4"/>
      <c r="E71" s="18"/>
    </row>
    <row r="73" spans="1:5" x14ac:dyDescent="0.2">
      <c r="A73" s="73" t="s">
        <v>45</v>
      </c>
      <c r="B73" s="73"/>
      <c r="C73" s="73"/>
      <c r="D73" s="73"/>
      <c r="E73" s="17"/>
    </row>
    <row r="74" spans="1:5" ht="12.75" customHeight="1" x14ac:dyDescent="0.2">
      <c r="E74" s="18"/>
    </row>
    <row r="75" spans="1:5" x14ac:dyDescent="0.2">
      <c r="A75" s="30">
        <v>3</v>
      </c>
      <c r="B75" s="72" t="s">
        <v>46</v>
      </c>
      <c r="C75" s="72"/>
      <c r="D75" s="30" t="s">
        <v>3</v>
      </c>
    </row>
    <row r="76" spans="1:5" x14ac:dyDescent="0.2">
      <c r="A76" s="32" t="s">
        <v>4</v>
      </c>
      <c r="B76" s="10" t="s">
        <v>47</v>
      </c>
      <c r="C76" s="9">
        <f>TRUNC(((1/12)*5%),4)</f>
        <v>4.1000000000000003E-3</v>
      </c>
      <c r="D76" s="13">
        <f>TRUNC($D$26*C76,2)</f>
        <v>7.37</v>
      </c>
    </row>
    <row r="77" spans="1:5" x14ac:dyDescent="0.2">
      <c r="A77" s="32" t="s">
        <v>6</v>
      </c>
      <c r="B77" s="10" t="s">
        <v>48</v>
      </c>
      <c r="C77" s="9">
        <v>0.08</v>
      </c>
      <c r="D77" s="13">
        <f>TRUNC(D76*C77,2)</f>
        <v>0.57999999999999996</v>
      </c>
    </row>
    <row r="78" spans="1:5" x14ac:dyDescent="0.2">
      <c r="A78" s="32" t="s">
        <v>8</v>
      </c>
      <c r="B78" s="10" t="s">
        <v>98</v>
      </c>
      <c r="C78" s="9">
        <f>TRUNC(8%*5%*40%,4)</f>
        <v>1.6000000000000001E-3</v>
      </c>
      <c r="D78" s="13">
        <f>TRUNC($D$26*C78,2)</f>
        <v>2.87</v>
      </c>
    </row>
    <row r="79" spans="1:5" x14ac:dyDescent="0.2">
      <c r="A79" s="32" t="s">
        <v>10</v>
      </c>
      <c r="B79" s="10" t="s">
        <v>49</v>
      </c>
      <c r="C79" s="9">
        <f>TRUNC(((7/30)/12)*95%,4)</f>
        <v>1.84E-2</v>
      </c>
      <c r="D79" s="13">
        <f>TRUNC($D$26*C79,2)</f>
        <v>33.08</v>
      </c>
    </row>
    <row r="80" spans="1:5" ht="25.5" x14ac:dyDescent="0.2">
      <c r="A80" s="32" t="s">
        <v>12</v>
      </c>
      <c r="B80" s="10" t="s">
        <v>93</v>
      </c>
      <c r="C80" s="9">
        <f>C50</f>
        <v>0.36800000000000005</v>
      </c>
      <c r="D80" s="13">
        <f>TRUNC(D79*C80,2)</f>
        <v>12.17</v>
      </c>
    </row>
    <row r="81" spans="1:4" x14ac:dyDescent="0.2">
      <c r="A81" s="32" t="s">
        <v>32</v>
      </c>
      <c r="B81" s="10" t="s">
        <v>99</v>
      </c>
      <c r="C81" s="9">
        <f>TRUNC(8%*95%*40%,4)</f>
        <v>3.04E-2</v>
      </c>
      <c r="D81" s="13">
        <f t="shared" ref="D81" si="1">TRUNC($D$26*C81,2)</f>
        <v>54.66</v>
      </c>
    </row>
    <row r="82" spans="1:4" x14ac:dyDescent="0.2">
      <c r="A82" s="77" t="s">
        <v>16</v>
      </c>
      <c r="B82" s="78"/>
      <c r="C82" s="79"/>
      <c r="D82" s="19">
        <f>SUM(D76:D81)</f>
        <v>110.72999999999999</v>
      </c>
    </row>
    <row r="85" spans="1:4" x14ac:dyDescent="0.2">
      <c r="A85" s="73" t="s">
        <v>50</v>
      </c>
      <c r="B85" s="73"/>
      <c r="C85" s="73"/>
      <c r="D85" s="73"/>
    </row>
    <row r="88" spans="1:4" x14ac:dyDescent="0.2">
      <c r="A88" s="71" t="s">
        <v>77</v>
      </c>
      <c r="B88" s="71"/>
      <c r="C88" s="71"/>
      <c r="D88" s="71"/>
    </row>
    <row r="89" spans="1:4" x14ac:dyDescent="0.2">
      <c r="A89" s="3"/>
    </row>
    <row r="90" spans="1:4" x14ac:dyDescent="0.2">
      <c r="A90" s="30" t="s">
        <v>51</v>
      </c>
      <c r="B90" s="72" t="s">
        <v>78</v>
      </c>
      <c r="C90" s="72"/>
      <c r="D90" s="30" t="s">
        <v>3</v>
      </c>
    </row>
    <row r="91" spans="1:4" x14ac:dyDescent="0.2">
      <c r="A91" s="32" t="s">
        <v>4</v>
      </c>
      <c r="B91" s="29" t="s">
        <v>79</v>
      </c>
      <c r="C91" s="9">
        <f>TRUNC(((1+1/3)/12)/12,4)</f>
        <v>9.1999999999999998E-3</v>
      </c>
      <c r="D91" s="13">
        <f>TRUNC(($D$26+$D$70+$D$82)*C91,2)</f>
        <v>35.39</v>
      </c>
    </row>
    <row r="92" spans="1:4" x14ac:dyDescent="0.2">
      <c r="A92" s="32" t="s">
        <v>6</v>
      </c>
      <c r="B92" s="29" t="s">
        <v>80</v>
      </c>
      <c r="C92" s="9">
        <f>TRUNC(((2/30)/12),4)</f>
        <v>5.4999999999999997E-3</v>
      </c>
      <c r="D92" s="13">
        <f t="shared" ref="D92:D96" si="2">TRUNC(($D$26+$D$70+$D$82)*C92,2)</f>
        <v>21.15</v>
      </c>
    </row>
    <row r="93" spans="1:4" x14ac:dyDescent="0.2">
      <c r="A93" s="32" t="s">
        <v>8</v>
      </c>
      <c r="B93" s="29" t="s">
        <v>81</v>
      </c>
      <c r="C93" s="9">
        <f>TRUNC(((5/30)/12)*2%,4)</f>
        <v>2.0000000000000001E-4</v>
      </c>
      <c r="D93" s="13">
        <f t="shared" si="2"/>
        <v>0.76</v>
      </c>
    </row>
    <row r="94" spans="1:4" x14ac:dyDescent="0.2">
      <c r="A94" s="32" t="s">
        <v>10</v>
      </c>
      <c r="B94" s="29" t="s">
        <v>82</v>
      </c>
      <c r="C94" s="9">
        <f>TRUNC(((15/30)/12)*8%,4)</f>
        <v>3.3E-3</v>
      </c>
      <c r="D94" s="13">
        <f t="shared" si="2"/>
        <v>12.69</v>
      </c>
    </row>
    <row r="95" spans="1:4" x14ac:dyDescent="0.2">
      <c r="A95" s="32" t="s">
        <v>12</v>
      </c>
      <c r="B95" s="29" t="s">
        <v>83</v>
      </c>
      <c r="C95" s="9">
        <f>((1+1/3)/12)*3%*(4/12)</f>
        <v>1.1111111111111109E-3</v>
      </c>
      <c r="D95" s="13">
        <f t="shared" si="2"/>
        <v>4.2699999999999996</v>
      </c>
    </row>
    <row r="96" spans="1:4" x14ac:dyDescent="0.2">
      <c r="A96" s="32" t="s">
        <v>32</v>
      </c>
      <c r="B96" s="29" t="s">
        <v>84</v>
      </c>
      <c r="C96" s="9"/>
      <c r="D96" s="13">
        <f t="shared" si="2"/>
        <v>0</v>
      </c>
    </row>
    <row r="97" spans="1:6" x14ac:dyDescent="0.2">
      <c r="A97" s="70" t="s">
        <v>37</v>
      </c>
      <c r="B97" s="70"/>
      <c r="C97" s="70"/>
      <c r="D97" s="19">
        <f>SUM(D91:D96)</f>
        <v>74.259999999999991</v>
      </c>
      <c r="E97" s="17"/>
      <c r="F97" s="17"/>
    </row>
    <row r="100" spans="1:6" x14ac:dyDescent="0.2">
      <c r="A100" s="71" t="s">
        <v>85</v>
      </c>
      <c r="B100" s="71"/>
      <c r="C100" s="71"/>
      <c r="D100" s="71"/>
    </row>
    <row r="101" spans="1:6" x14ac:dyDescent="0.2">
      <c r="A101" s="3"/>
    </row>
    <row r="102" spans="1:6" x14ac:dyDescent="0.2">
      <c r="A102" s="30" t="s">
        <v>52</v>
      </c>
      <c r="B102" s="72" t="s">
        <v>86</v>
      </c>
      <c r="C102" s="72"/>
      <c r="D102" s="30" t="s">
        <v>3</v>
      </c>
    </row>
    <row r="103" spans="1:6" x14ac:dyDescent="0.2">
      <c r="A103" s="32" t="s">
        <v>4</v>
      </c>
      <c r="B103" s="80" t="s">
        <v>87</v>
      </c>
      <c r="C103" s="81"/>
      <c r="D103" s="13">
        <f>((D26+D70+D82)/220)*22*0</f>
        <v>0</v>
      </c>
    </row>
    <row r="104" spans="1:6" x14ac:dyDescent="0.2">
      <c r="A104" s="70" t="s">
        <v>16</v>
      </c>
      <c r="B104" s="70"/>
      <c r="C104" s="70"/>
      <c r="D104" s="19">
        <f>SUM(D103)</f>
        <v>0</v>
      </c>
    </row>
    <row r="107" spans="1:6" x14ac:dyDescent="0.2">
      <c r="A107" s="71" t="s">
        <v>53</v>
      </c>
      <c r="B107" s="71"/>
      <c r="C107" s="71"/>
      <c r="D107" s="71"/>
    </row>
    <row r="108" spans="1:6" x14ac:dyDescent="0.2">
      <c r="A108" s="3"/>
    </row>
    <row r="109" spans="1:6" x14ac:dyDescent="0.2">
      <c r="A109" s="30">
        <v>4</v>
      </c>
      <c r="B109" s="70" t="s">
        <v>54</v>
      </c>
      <c r="C109" s="70"/>
      <c r="D109" s="30" t="s">
        <v>3</v>
      </c>
    </row>
    <row r="110" spans="1:6" x14ac:dyDescent="0.2">
      <c r="A110" s="32" t="s">
        <v>51</v>
      </c>
      <c r="B110" s="69" t="s">
        <v>78</v>
      </c>
      <c r="C110" s="69"/>
      <c r="D110" s="14">
        <f>D97</f>
        <v>74.259999999999991</v>
      </c>
    </row>
    <row r="111" spans="1:6" x14ac:dyDescent="0.2">
      <c r="A111" s="32" t="s">
        <v>52</v>
      </c>
      <c r="B111" s="69" t="s">
        <v>86</v>
      </c>
      <c r="C111" s="69"/>
      <c r="D111" s="14">
        <f>D104</f>
        <v>0</v>
      </c>
    </row>
    <row r="112" spans="1:6" x14ac:dyDescent="0.2">
      <c r="A112" s="70" t="s">
        <v>16</v>
      </c>
      <c r="B112" s="70"/>
      <c r="C112" s="70"/>
      <c r="D112" s="19">
        <f>SUM(D110:D111)</f>
        <v>74.259999999999991</v>
      </c>
    </row>
    <row r="115" spans="1:4" x14ac:dyDescent="0.2">
      <c r="A115" s="73" t="s">
        <v>55</v>
      </c>
      <c r="B115" s="73"/>
      <c r="C115" s="73"/>
      <c r="D115" s="73"/>
    </row>
    <row r="117" spans="1:4" x14ac:dyDescent="0.2">
      <c r="A117" s="30">
        <v>5</v>
      </c>
      <c r="B117" s="82" t="s">
        <v>56</v>
      </c>
      <c r="C117" s="82"/>
      <c r="D117" s="30" t="s">
        <v>3</v>
      </c>
    </row>
    <row r="118" spans="1:4" x14ac:dyDescent="0.2">
      <c r="A118" s="32" t="s">
        <v>4</v>
      </c>
      <c r="B118" s="29" t="s">
        <v>57</v>
      </c>
      <c r="C118" s="29"/>
      <c r="D118" s="13">
        <v>32.97</v>
      </c>
    </row>
    <row r="119" spans="1:4" x14ac:dyDescent="0.2">
      <c r="A119" s="32" t="s">
        <v>6</v>
      </c>
      <c r="B119" s="29" t="s">
        <v>58</v>
      </c>
      <c r="C119" s="29"/>
      <c r="D119" s="13"/>
    </row>
    <row r="120" spans="1:4" x14ac:dyDescent="0.2">
      <c r="A120" s="32" t="s">
        <v>8</v>
      </c>
      <c r="B120" s="29" t="s">
        <v>59</v>
      </c>
      <c r="C120" s="29"/>
      <c r="D120" s="13"/>
    </row>
    <row r="121" spans="1:4" x14ac:dyDescent="0.2">
      <c r="A121" s="32" t="s">
        <v>10</v>
      </c>
      <c r="B121" s="29" t="s">
        <v>15</v>
      </c>
      <c r="C121" s="29"/>
      <c r="D121" s="13"/>
    </row>
    <row r="122" spans="1:4" x14ac:dyDescent="0.2">
      <c r="A122" s="70" t="s">
        <v>37</v>
      </c>
      <c r="B122" s="70"/>
      <c r="C122" s="70"/>
      <c r="D122" s="20">
        <f>SUM(D118:D121)</f>
        <v>32.97</v>
      </c>
    </row>
    <row r="125" spans="1:4" x14ac:dyDescent="0.2">
      <c r="A125" s="73" t="s">
        <v>60</v>
      </c>
      <c r="B125" s="73"/>
      <c r="C125" s="73"/>
      <c r="D125" s="73"/>
    </row>
    <row r="127" spans="1:4" x14ac:dyDescent="0.2">
      <c r="A127" s="30">
        <v>6</v>
      </c>
      <c r="B127" s="31" t="s">
        <v>61</v>
      </c>
      <c r="C127" s="30" t="s">
        <v>26</v>
      </c>
      <c r="D127" s="30" t="s">
        <v>3</v>
      </c>
    </row>
    <row r="128" spans="1:4" x14ac:dyDescent="0.2">
      <c r="A128" s="32" t="s">
        <v>4</v>
      </c>
      <c r="B128" s="29" t="s">
        <v>62</v>
      </c>
      <c r="C128" s="9">
        <v>0.02</v>
      </c>
      <c r="D128" s="14">
        <f>D148*C128</f>
        <v>79.082527999999996</v>
      </c>
    </row>
    <row r="129" spans="1:4" x14ac:dyDescent="0.2">
      <c r="A129" s="32" t="s">
        <v>6</v>
      </c>
      <c r="B129" s="29" t="s">
        <v>63</v>
      </c>
      <c r="C129" s="9">
        <v>0.03</v>
      </c>
      <c r="D129" s="13">
        <f>(D148+D128)*C129</f>
        <v>120.99626783999999</v>
      </c>
    </row>
    <row r="130" spans="1:4" x14ac:dyDescent="0.2">
      <c r="A130" s="32" t="s">
        <v>8</v>
      </c>
      <c r="B130" s="29" t="s">
        <v>64</v>
      </c>
      <c r="C130" s="12">
        <f>SUM(C131:C136)</f>
        <v>8.6499999999999994E-2</v>
      </c>
      <c r="D130" s="13">
        <f>(D148+D128+D129)*C130/(1-C130)</f>
        <v>393.36480507954019</v>
      </c>
    </row>
    <row r="131" spans="1:4" x14ac:dyDescent="0.2">
      <c r="A131" s="32"/>
      <c r="B131" s="29" t="s">
        <v>65</v>
      </c>
      <c r="C131" s="9"/>
      <c r="D131" s="14">
        <f>$D$150*C131</f>
        <v>0</v>
      </c>
    </row>
    <row r="132" spans="1:4" x14ac:dyDescent="0.2">
      <c r="A132" s="32"/>
      <c r="B132" s="29" t="s">
        <v>95</v>
      </c>
      <c r="C132" s="9">
        <v>6.4999999999999997E-3</v>
      </c>
      <c r="D132" s="14">
        <f t="shared" ref="D132:D136" si="3">$D$150*C132</f>
        <v>29.559204999999995</v>
      </c>
    </row>
    <row r="133" spans="1:4" x14ac:dyDescent="0.2">
      <c r="A133" s="32"/>
      <c r="B133" s="29" t="s">
        <v>96</v>
      </c>
      <c r="C133" s="9">
        <v>0.03</v>
      </c>
      <c r="D133" s="14">
        <f t="shared" si="3"/>
        <v>136.4271</v>
      </c>
    </row>
    <row r="134" spans="1:4" x14ac:dyDescent="0.2">
      <c r="A134" s="32"/>
      <c r="B134" s="29" t="s">
        <v>66</v>
      </c>
      <c r="C134" s="32"/>
      <c r="D134" s="14">
        <f t="shared" si="3"/>
        <v>0</v>
      </c>
    </row>
    <row r="135" spans="1:4" x14ac:dyDescent="0.2">
      <c r="A135" s="32"/>
      <c r="B135" s="29" t="s">
        <v>67</v>
      </c>
      <c r="C135" s="9"/>
      <c r="D135" s="14">
        <f t="shared" si="3"/>
        <v>0</v>
      </c>
    </row>
    <row r="136" spans="1:4" x14ac:dyDescent="0.2">
      <c r="A136" s="32"/>
      <c r="B136" s="29" t="s">
        <v>97</v>
      </c>
      <c r="C136" s="9">
        <v>0.05</v>
      </c>
      <c r="D136" s="14">
        <f t="shared" si="3"/>
        <v>227.3785</v>
      </c>
    </row>
    <row r="137" spans="1:4" ht="13.5" x14ac:dyDescent="0.2">
      <c r="A137" s="77" t="s">
        <v>37</v>
      </c>
      <c r="B137" s="78"/>
      <c r="C137" s="21">
        <f>(1+C129)*(1+C128)/(1-C130)-1</f>
        <v>0.15008210180623971</v>
      </c>
      <c r="D137" s="19">
        <f>SUM(D128:D130)</f>
        <v>593.44360091954013</v>
      </c>
    </row>
    <row r="140" spans="1:4" x14ac:dyDescent="0.2">
      <c r="A140" s="73" t="s">
        <v>68</v>
      </c>
      <c r="B140" s="73"/>
      <c r="C140" s="73"/>
      <c r="D140" s="73"/>
    </row>
    <row r="142" spans="1:4" x14ac:dyDescent="0.2">
      <c r="A142" s="30"/>
      <c r="B142" s="70" t="s">
        <v>69</v>
      </c>
      <c r="C142" s="70"/>
      <c r="D142" s="30" t="s">
        <v>3</v>
      </c>
    </row>
    <row r="143" spans="1:4" x14ac:dyDescent="0.2">
      <c r="A143" s="30" t="s">
        <v>4</v>
      </c>
      <c r="B143" s="69" t="s">
        <v>1</v>
      </c>
      <c r="C143" s="69"/>
      <c r="D143" s="22">
        <f>D26</f>
        <v>1798.06</v>
      </c>
    </row>
    <row r="144" spans="1:4" x14ac:dyDescent="0.2">
      <c r="A144" s="30" t="s">
        <v>6</v>
      </c>
      <c r="B144" s="69" t="s">
        <v>17</v>
      </c>
      <c r="C144" s="69"/>
      <c r="D144" s="22">
        <f>D70</f>
        <v>1938.1063999999999</v>
      </c>
    </row>
    <row r="145" spans="1:4" x14ac:dyDescent="0.2">
      <c r="A145" s="30" t="s">
        <v>8</v>
      </c>
      <c r="B145" s="69" t="s">
        <v>45</v>
      </c>
      <c r="C145" s="69"/>
      <c r="D145" s="22">
        <f>D82</f>
        <v>110.72999999999999</v>
      </c>
    </row>
    <row r="146" spans="1:4" x14ac:dyDescent="0.2">
      <c r="A146" s="30" t="s">
        <v>10</v>
      </c>
      <c r="B146" s="69" t="s">
        <v>50</v>
      </c>
      <c r="C146" s="69"/>
      <c r="D146" s="22">
        <f>D112</f>
        <v>74.259999999999991</v>
      </c>
    </row>
    <row r="147" spans="1:4" x14ac:dyDescent="0.2">
      <c r="A147" s="30" t="s">
        <v>12</v>
      </c>
      <c r="B147" s="69" t="s">
        <v>55</v>
      </c>
      <c r="C147" s="69"/>
      <c r="D147" s="22">
        <f>D122</f>
        <v>32.97</v>
      </c>
    </row>
    <row r="148" spans="1:4" x14ac:dyDescent="0.2">
      <c r="A148" s="70" t="s">
        <v>94</v>
      </c>
      <c r="B148" s="70"/>
      <c r="C148" s="70"/>
      <c r="D148" s="23">
        <f>SUM(D143:D147)</f>
        <v>3954.1263999999996</v>
      </c>
    </row>
    <row r="149" spans="1:4" x14ac:dyDescent="0.2">
      <c r="A149" s="30" t="s">
        <v>32</v>
      </c>
      <c r="B149" s="69" t="s">
        <v>70</v>
      </c>
      <c r="C149" s="69"/>
      <c r="D149" s="24">
        <f>D137</f>
        <v>593.44360091954013</v>
      </c>
    </row>
    <row r="150" spans="1:4" x14ac:dyDescent="0.2">
      <c r="A150" s="70" t="s">
        <v>71</v>
      </c>
      <c r="B150" s="70"/>
      <c r="C150" s="70"/>
      <c r="D150" s="23">
        <f>ROUND(SUM(D148:D149),2)</f>
        <v>4547.57</v>
      </c>
    </row>
  </sheetData>
  <mergeCells count="71">
    <mergeCell ref="C10:D10"/>
    <mergeCell ref="A1:D1"/>
    <mergeCell ref="A3:D3"/>
    <mergeCell ref="A5:B5"/>
    <mergeCell ref="A6:B6"/>
    <mergeCell ref="A8:D8"/>
    <mergeCell ref="B24:C24"/>
    <mergeCell ref="C11:D11"/>
    <mergeCell ref="C12:D12"/>
    <mergeCell ref="C13:D13"/>
    <mergeCell ref="C14:D14"/>
    <mergeCell ref="A16:D16"/>
    <mergeCell ref="B18:C18"/>
    <mergeCell ref="B19:C19"/>
    <mergeCell ref="B20:C20"/>
    <mergeCell ref="B21:C21"/>
    <mergeCell ref="B22:C22"/>
    <mergeCell ref="B23:C23"/>
    <mergeCell ref="B57:C57"/>
    <mergeCell ref="B25:C25"/>
    <mergeCell ref="A26:C26"/>
    <mergeCell ref="A29:D29"/>
    <mergeCell ref="A31:D31"/>
    <mergeCell ref="B33:C33"/>
    <mergeCell ref="A36:B36"/>
    <mergeCell ref="A39:D39"/>
    <mergeCell ref="A50:B50"/>
    <mergeCell ref="A53:D53"/>
    <mergeCell ref="B55:C55"/>
    <mergeCell ref="B56:C56"/>
    <mergeCell ref="B75:C75"/>
    <mergeCell ref="B58:C58"/>
    <mergeCell ref="B59:C59"/>
    <mergeCell ref="B60:C60"/>
    <mergeCell ref="A61:C61"/>
    <mergeCell ref="A64:D64"/>
    <mergeCell ref="B66:C66"/>
    <mergeCell ref="B67:C67"/>
    <mergeCell ref="B68:C68"/>
    <mergeCell ref="B69:C69"/>
    <mergeCell ref="A70:C70"/>
    <mergeCell ref="A73:D73"/>
    <mergeCell ref="B110:C110"/>
    <mergeCell ref="A82:C82"/>
    <mergeCell ref="A85:D85"/>
    <mergeCell ref="A88:D88"/>
    <mergeCell ref="B90:C90"/>
    <mergeCell ref="A97:C97"/>
    <mergeCell ref="A100:D100"/>
    <mergeCell ref="B102:C102"/>
    <mergeCell ref="B103:C103"/>
    <mergeCell ref="A104:C104"/>
    <mergeCell ref="A107:D107"/>
    <mergeCell ref="B109:C109"/>
    <mergeCell ref="B145:C145"/>
    <mergeCell ref="B111:C111"/>
    <mergeCell ref="A112:C112"/>
    <mergeCell ref="A115:D115"/>
    <mergeCell ref="B117:C117"/>
    <mergeCell ref="A122:C122"/>
    <mergeCell ref="A125:D125"/>
    <mergeCell ref="A137:B137"/>
    <mergeCell ref="A140:D140"/>
    <mergeCell ref="B142:C142"/>
    <mergeCell ref="B143:C143"/>
    <mergeCell ref="B144:C144"/>
    <mergeCell ref="B146:C146"/>
    <mergeCell ref="B147:C147"/>
    <mergeCell ref="A148:C148"/>
    <mergeCell ref="B149:C149"/>
    <mergeCell ref="A150:C150"/>
  </mergeCells>
  <pageMargins left="0.51181102362204722" right="0.51181102362204722" top="0.98425196850393704" bottom="0.78740157480314965" header="0.31496062992125984" footer="0.31496062992125984"/>
  <pageSetup paperSize="9" scale="84" fitToHeight="0" orientation="portrait" r:id="rId1"/>
  <headerFooter>
    <oddHeader>&amp;C&amp;G</oddHeader>
    <oddFooter>&amp;L&amp;"-,Negrito"Documento elaborado em &amp;D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0"/>
  <sheetViews>
    <sheetView view="pageBreakPreview" zoomScaleNormal="115" zoomScaleSheetLayoutView="100" workbookViewId="0">
      <selection activeCell="C130" sqref="C130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74" t="s">
        <v>0</v>
      </c>
      <c r="B1" s="74"/>
      <c r="C1" s="74"/>
      <c r="D1" s="74"/>
    </row>
    <row r="2" spans="1:4" ht="15.75" x14ac:dyDescent="0.25">
      <c r="A2" s="26"/>
      <c r="B2" s="26"/>
      <c r="C2" s="26"/>
      <c r="D2" s="26"/>
    </row>
    <row r="3" spans="1:4" x14ac:dyDescent="0.2">
      <c r="A3" s="76" t="s">
        <v>88</v>
      </c>
      <c r="B3" s="76"/>
      <c r="C3" s="76"/>
      <c r="D3" s="76"/>
    </row>
    <row r="4" spans="1:4" x14ac:dyDescent="0.2">
      <c r="A4" s="2"/>
      <c r="B4" s="2"/>
      <c r="C4" s="2"/>
      <c r="D4" s="2"/>
    </row>
    <row r="5" spans="1:4" ht="38.25" x14ac:dyDescent="0.2">
      <c r="A5" s="83" t="s">
        <v>89</v>
      </c>
      <c r="B5" s="83"/>
      <c r="C5" s="32" t="s">
        <v>90</v>
      </c>
      <c r="D5" s="27" t="s">
        <v>91</v>
      </c>
    </row>
    <row r="6" spans="1:4" x14ac:dyDescent="0.2">
      <c r="A6" s="88" t="s">
        <v>112</v>
      </c>
      <c r="B6" s="84"/>
      <c r="C6" s="33" t="s">
        <v>101</v>
      </c>
      <c r="D6" s="33">
        <v>1</v>
      </c>
    </row>
    <row r="8" spans="1:4" x14ac:dyDescent="0.2">
      <c r="A8" s="76" t="s">
        <v>72</v>
      </c>
      <c r="B8" s="76"/>
      <c r="C8" s="76"/>
      <c r="D8" s="76"/>
    </row>
    <row r="9" spans="1:4" x14ac:dyDescent="0.2">
      <c r="A9" s="2"/>
      <c r="B9" s="2"/>
      <c r="C9" s="2"/>
      <c r="D9" s="2"/>
    </row>
    <row r="10" spans="1:4" x14ac:dyDescent="0.2">
      <c r="A10" s="5">
        <v>1</v>
      </c>
      <c r="B10" s="5" t="s">
        <v>73</v>
      </c>
      <c r="C10" s="89" t="s">
        <v>112</v>
      </c>
      <c r="D10" s="86"/>
    </row>
    <row r="11" spans="1:4" x14ac:dyDescent="0.2">
      <c r="A11" s="5">
        <v>2</v>
      </c>
      <c r="B11" s="5" t="s">
        <v>92</v>
      </c>
      <c r="C11" s="85" t="s">
        <v>113</v>
      </c>
      <c r="D11" s="86"/>
    </row>
    <row r="12" spans="1:4" x14ac:dyDescent="0.2">
      <c r="A12" s="5">
        <v>3</v>
      </c>
      <c r="B12" s="5" t="s">
        <v>74</v>
      </c>
      <c r="C12" s="87"/>
      <c r="D12" s="86"/>
    </row>
    <row r="13" spans="1:4" x14ac:dyDescent="0.2">
      <c r="A13" s="5">
        <v>4</v>
      </c>
      <c r="B13" s="5" t="s">
        <v>75</v>
      </c>
      <c r="C13" s="85"/>
      <c r="D13" s="86"/>
    </row>
    <row r="14" spans="1:4" x14ac:dyDescent="0.2">
      <c r="A14" s="5">
        <v>5</v>
      </c>
      <c r="B14" s="5" t="s">
        <v>76</v>
      </c>
      <c r="C14" s="85"/>
      <c r="D14" s="86"/>
    </row>
    <row r="16" spans="1:4" x14ac:dyDescent="0.2">
      <c r="A16" s="76" t="s">
        <v>1</v>
      </c>
      <c r="B16" s="76"/>
      <c r="C16" s="76"/>
      <c r="D16" s="76"/>
    </row>
    <row r="18" spans="1:4" x14ac:dyDescent="0.2">
      <c r="A18" s="30">
        <v>1</v>
      </c>
      <c r="B18" s="70" t="s">
        <v>2</v>
      </c>
      <c r="C18" s="70"/>
      <c r="D18" s="30" t="s">
        <v>3</v>
      </c>
    </row>
    <row r="19" spans="1:4" x14ac:dyDescent="0.2">
      <c r="A19" s="32" t="s">
        <v>4</v>
      </c>
      <c r="B19" s="69" t="s">
        <v>5</v>
      </c>
      <c r="C19" s="69"/>
      <c r="D19" s="13">
        <v>2592.29</v>
      </c>
    </row>
    <row r="20" spans="1:4" x14ac:dyDescent="0.2">
      <c r="A20" s="32" t="s">
        <v>6</v>
      </c>
      <c r="B20" s="69" t="s">
        <v>7</v>
      </c>
      <c r="C20" s="69"/>
      <c r="D20" s="13"/>
    </row>
    <row r="21" spans="1:4" x14ac:dyDescent="0.2">
      <c r="A21" s="32" t="s">
        <v>8</v>
      </c>
      <c r="B21" s="69" t="s">
        <v>9</v>
      </c>
      <c r="C21" s="69"/>
      <c r="D21" s="13"/>
    </row>
    <row r="22" spans="1:4" x14ac:dyDescent="0.2">
      <c r="A22" s="32" t="s">
        <v>10</v>
      </c>
      <c r="B22" s="69" t="s">
        <v>11</v>
      </c>
      <c r="C22" s="69"/>
      <c r="D22" s="13"/>
    </row>
    <row r="23" spans="1:4" x14ac:dyDescent="0.2">
      <c r="A23" s="32" t="s">
        <v>12</v>
      </c>
      <c r="B23" s="69" t="s">
        <v>13</v>
      </c>
      <c r="C23" s="69"/>
      <c r="D23" s="13"/>
    </row>
    <row r="24" spans="1:4" x14ac:dyDescent="0.2">
      <c r="A24" s="32"/>
      <c r="B24" s="69"/>
      <c r="C24" s="69"/>
      <c r="D24" s="13"/>
    </row>
    <row r="25" spans="1:4" x14ac:dyDescent="0.2">
      <c r="A25" s="32" t="s">
        <v>14</v>
      </c>
      <c r="B25" s="69" t="s">
        <v>15</v>
      </c>
      <c r="C25" s="69"/>
      <c r="D25" s="13"/>
    </row>
    <row r="26" spans="1:4" x14ac:dyDescent="0.2">
      <c r="A26" s="70" t="s">
        <v>16</v>
      </c>
      <c r="B26" s="70"/>
      <c r="C26" s="70"/>
      <c r="D26" s="20">
        <f>SUM(D19:D25)</f>
        <v>2592.29</v>
      </c>
    </row>
    <row r="29" spans="1:4" x14ac:dyDescent="0.2">
      <c r="A29" s="73" t="s">
        <v>17</v>
      </c>
      <c r="B29" s="73"/>
      <c r="C29" s="73"/>
      <c r="D29" s="73"/>
    </row>
    <row r="30" spans="1:4" x14ac:dyDescent="0.2">
      <c r="A30" s="3"/>
    </row>
    <row r="31" spans="1:4" x14ac:dyDescent="0.2">
      <c r="A31" s="71" t="s">
        <v>18</v>
      </c>
      <c r="B31" s="71"/>
      <c r="C31" s="71"/>
      <c r="D31" s="71"/>
    </row>
    <row r="33" spans="1:4" x14ac:dyDescent="0.2">
      <c r="A33" s="30" t="s">
        <v>19</v>
      </c>
      <c r="B33" s="70" t="s">
        <v>20</v>
      </c>
      <c r="C33" s="70"/>
      <c r="D33" s="30" t="s">
        <v>3</v>
      </c>
    </row>
    <row r="34" spans="1:4" x14ac:dyDescent="0.2">
      <c r="A34" s="32" t="s">
        <v>4</v>
      </c>
      <c r="B34" s="29" t="s">
        <v>21</v>
      </c>
      <c r="C34" s="12">
        <f>TRUNC(1/12,4)</f>
        <v>8.3299999999999999E-2</v>
      </c>
      <c r="D34" s="13">
        <f>TRUNC($D$26*C34,2)</f>
        <v>215.93</v>
      </c>
    </row>
    <row r="35" spans="1:4" x14ac:dyDescent="0.2">
      <c r="A35" s="32" t="s">
        <v>6</v>
      </c>
      <c r="B35" s="29" t="s">
        <v>22</v>
      </c>
      <c r="C35" s="12">
        <f>TRUNC(((1+1/3)/12),4)</f>
        <v>0.1111</v>
      </c>
      <c r="D35" s="13">
        <f>TRUNC($D$26*C35,2)</f>
        <v>288</v>
      </c>
    </row>
    <row r="36" spans="1:4" x14ac:dyDescent="0.2">
      <c r="A36" s="70" t="s">
        <v>16</v>
      </c>
      <c r="B36" s="70"/>
      <c r="C36" s="28">
        <f>SUM(C34:C35)</f>
        <v>0.19440000000000002</v>
      </c>
      <c r="D36" s="19">
        <f>SUM(D34:D35)</f>
        <v>503.93</v>
      </c>
    </row>
    <row r="39" spans="1:4" x14ac:dyDescent="0.2">
      <c r="A39" s="75" t="s">
        <v>23</v>
      </c>
      <c r="B39" s="75"/>
      <c r="C39" s="75"/>
      <c r="D39" s="75"/>
    </row>
    <row r="41" spans="1:4" x14ac:dyDescent="0.2">
      <c r="A41" s="30" t="s">
        <v>24</v>
      </c>
      <c r="B41" s="30" t="s">
        <v>25</v>
      </c>
      <c r="C41" s="30" t="s">
        <v>26</v>
      </c>
      <c r="D41" s="30" t="s">
        <v>3</v>
      </c>
    </row>
    <row r="42" spans="1:4" x14ac:dyDescent="0.2">
      <c r="A42" s="32" t="s">
        <v>4</v>
      </c>
      <c r="B42" s="29" t="s">
        <v>27</v>
      </c>
      <c r="C42" s="9">
        <v>0.2</v>
      </c>
      <c r="D42" s="13">
        <f>TRUNC(($D$26+$D$36)*C42,2)</f>
        <v>619.24</v>
      </c>
    </row>
    <row r="43" spans="1:4" x14ac:dyDescent="0.2">
      <c r="A43" s="32" t="s">
        <v>6</v>
      </c>
      <c r="B43" s="29" t="s">
        <v>28</v>
      </c>
      <c r="C43" s="9">
        <v>2.5000000000000001E-2</v>
      </c>
      <c r="D43" s="13">
        <f t="shared" ref="D43:D49" si="0">TRUNC(($D$26+$D$36)*C43,2)</f>
        <v>77.400000000000006</v>
      </c>
    </row>
    <row r="44" spans="1:4" x14ac:dyDescent="0.2">
      <c r="A44" s="32" t="s">
        <v>8</v>
      </c>
      <c r="B44" s="29" t="s">
        <v>29</v>
      </c>
      <c r="C44" s="16">
        <v>0.03</v>
      </c>
      <c r="D44" s="13">
        <f t="shared" si="0"/>
        <v>92.88</v>
      </c>
    </row>
    <row r="45" spans="1:4" x14ac:dyDescent="0.2">
      <c r="A45" s="32" t="s">
        <v>10</v>
      </c>
      <c r="B45" s="29" t="s">
        <v>30</v>
      </c>
      <c r="C45" s="9">
        <v>1.4999999999999999E-2</v>
      </c>
      <c r="D45" s="13">
        <f t="shared" si="0"/>
        <v>46.44</v>
      </c>
    </row>
    <row r="46" spans="1:4" x14ac:dyDescent="0.2">
      <c r="A46" s="32" t="s">
        <v>12</v>
      </c>
      <c r="B46" s="29" t="s">
        <v>31</v>
      </c>
      <c r="C46" s="9">
        <v>0.01</v>
      </c>
      <c r="D46" s="13">
        <f t="shared" si="0"/>
        <v>30.96</v>
      </c>
    </row>
    <row r="47" spans="1:4" x14ac:dyDescent="0.2">
      <c r="A47" s="32" t="s">
        <v>32</v>
      </c>
      <c r="B47" s="29" t="s">
        <v>33</v>
      </c>
      <c r="C47" s="9">
        <v>6.0000000000000001E-3</v>
      </c>
      <c r="D47" s="13">
        <f t="shared" si="0"/>
        <v>18.57</v>
      </c>
    </row>
    <row r="48" spans="1:4" x14ac:dyDescent="0.2">
      <c r="A48" s="32" t="s">
        <v>14</v>
      </c>
      <c r="B48" s="29" t="s">
        <v>34</v>
      </c>
      <c r="C48" s="9">
        <v>2E-3</v>
      </c>
      <c r="D48" s="13">
        <f t="shared" si="0"/>
        <v>6.19</v>
      </c>
    </row>
    <row r="49" spans="1:4" x14ac:dyDescent="0.2">
      <c r="A49" s="32" t="s">
        <v>35</v>
      </c>
      <c r="B49" s="29" t="s">
        <v>36</v>
      </c>
      <c r="C49" s="9">
        <v>0.08</v>
      </c>
      <c r="D49" s="13">
        <f t="shared" si="0"/>
        <v>247.69</v>
      </c>
    </row>
    <row r="50" spans="1:4" x14ac:dyDescent="0.2">
      <c r="A50" s="70" t="s">
        <v>37</v>
      </c>
      <c r="B50" s="70"/>
      <c r="C50" s="15">
        <f>SUM(C42:C49)</f>
        <v>0.36800000000000005</v>
      </c>
      <c r="D50" s="19">
        <f>SUM(D42:D49)</f>
        <v>1139.3700000000001</v>
      </c>
    </row>
    <row r="53" spans="1:4" x14ac:dyDescent="0.2">
      <c r="A53" s="71" t="s">
        <v>38</v>
      </c>
      <c r="B53" s="71"/>
      <c r="C53" s="71"/>
      <c r="D53" s="71"/>
    </row>
    <row r="55" spans="1:4" x14ac:dyDescent="0.2">
      <c r="A55" s="30" t="s">
        <v>39</v>
      </c>
      <c r="B55" s="72" t="s">
        <v>40</v>
      </c>
      <c r="C55" s="72"/>
      <c r="D55" s="30" t="s">
        <v>3</v>
      </c>
    </row>
    <row r="56" spans="1:4" x14ac:dyDescent="0.2">
      <c r="A56" s="32" t="s">
        <v>4</v>
      </c>
      <c r="B56" s="69" t="s">
        <v>41</v>
      </c>
      <c r="C56" s="69"/>
      <c r="D56" s="13">
        <f>IF((22*2*5.6)-(D19*0.06)&gt;0,(22*2*5.6)-(D19*0.06),0)</f>
        <v>90.862599999999986</v>
      </c>
    </row>
    <row r="57" spans="1:4" x14ac:dyDescent="0.2">
      <c r="A57" s="32" t="s">
        <v>6</v>
      </c>
      <c r="B57" s="69" t="s">
        <v>42</v>
      </c>
      <c r="C57" s="69"/>
      <c r="D57" s="13">
        <f>20*0.8*22</f>
        <v>352</v>
      </c>
    </row>
    <row r="58" spans="1:4" x14ac:dyDescent="0.2">
      <c r="A58" s="32" t="s">
        <v>8</v>
      </c>
      <c r="B58" s="69" t="s">
        <v>103</v>
      </c>
      <c r="C58" s="69"/>
      <c r="D58" s="13">
        <v>280</v>
      </c>
    </row>
    <row r="59" spans="1:4" x14ac:dyDescent="0.2">
      <c r="A59" s="32" t="s">
        <v>10</v>
      </c>
      <c r="B59" s="69" t="s">
        <v>104</v>
      </c>
      <c r="C59" s="69"/>
      <c r="D59" s="13">
        <v>23</v>
      </c>
    </row>
    <row r="60" spans="1:4" x14ac:dyDescent="0.2">
      <c r="A60" s="32" t="s">
        <v>12</v>
      </c>
      <c r="B60" s="69" t="s">
        <v>105</v>
      </c>
      <c r="C60" s="69"/>
      <c r="D60" s="13">
        <v>4.8</v>
      </c>
    </row>
    <row r="61" spans="1:4" x14ac:dyDescent="0.2">
      <c r="A61" s="70" t="s">
        <v>16</v>
      </c>
      <c r="B61" s="70"/>
      <c r="C61" s="70"/>
      <c r="D61" s="19">
        <f>SUM(D56:D60)</f>
        <v>750.66259999999988</v>
      </c>
    </row>
    <row r="64" spans="1:4" x14ac:dyDescent="0.2">
      <c r="A64" s="71" t="s">
        <v>43</v>
      </c>
      <c r="B64" s="71"/>
      <c r="C64" s="71"/>
      <c r="D64" s="71"/>
    </row>
    <row r="66" spans="1:5" x14ac:dyDescent="0.2">
      <c r="A66" s="30">
        <v>2</v>
      </c>
      <c r="B66" s="72" t="s">
        <v>44</v>
      </c>
      <c r="C66" s="72"/>
      <c r="D66" s="30" t="s">
        <v>3</v>
      </c>
    </row>
    <row r="67" spans="1:5" x14ac:dyDescent="0.2">
      <c r="A67" s="32" t="s">
        <v>19</v>
      </c>
      <c r="B67" s="69" t="s">
        <v>20</v>
      </c>
      <c r="C67" s="69"/>
      <c r="D67" s="14">
        <f>D36</f>
        <v>503.93</v>
      </c>
    </row>
    <row r="68" spans="1:5" x14ac:dyDescent="0.2">
      <c r="A68" s="32" t="s">
        <v>24</v>
      </c>
      <c r="B68" s="69" t="s">
        <v>25</v>
      </c>
      <c r="C68" s="69"/>
      <c r="D68" s="14">
        <f>D50</f>
        <v>1139.3700000000001</v>
      </c>
    </row>
    <row r="69" spans="1:5" x14ac:dyDescent="0.2">
      <c r="A69" s="32" t="s">
        <v>39</v>
      </c>
      <c r="B69" s="69" t="s">
        <v>40</v>
      </c>
      <c r="C69" s="69"/>
      <c r="D69" s="14">
        <f>D61</f>
        <v>750.66259999999988</v>
      </c>
    </row>
    <row r="70" spans="1:5" x14ac:dyDescent="0.2">
      <c r="A70" s="70" t="s">
        <v>16</v>
      </c>
      <c r="B70" s="70"/>
      <c r="C70" s="70"/>
      <c r="D70" s="19">
        <f>SUM(D67:D69)</f>
        <v>2393.9625999999998</v>
      </c>
    </row>
    <row r="71" spans="1:5" x14ac:dyDescent="0.2">
      <c r="A71" s="4"/>
      <c r="E71" s="18"/>
    </row>
    <row r="73" spans="1:5" x14ac:dyDescent="0.2">
      <c r="A73" s="73" t="s">
        <v>45</v>
      </c>
      <c r="B73" s="73"/>
      <c r="C73" s="73"/>
      <c r="D73" s="73"/>
      <c r="E73" s="17"/>
    </row>
    <row r="74" spans="1:5" ht="12.75" customHeight="1" x14ac:dyDescent="0.2">
      <c r="E74" s="18"/>
    </row>
    <row r="75" spans="1:5" x14ac:dyDescent="0.2">
      <c r="A75" s="30">
        <v>3</v>
      </c>
      <c r="B75" s="72" t="s">
        <v>46</v>
      </c>
      <c r="C75" s="72"/>
      <c r="D75" s="30" t="s">
        <v>3</v>
      </c>
    </row>
    <row r="76" spans="1:5" x14ac:dyDescent="0.2">
      <c r="A76" s="32" t="s">
        <v>4</v>
      </c>
      <c r="B76" s="10" t="s">
        <v>47</v>
      </c>
      <c r="C76" s="9">
        <f>TRUNC(((1/12)*5%),4)</f>
        <v>4.1000000000000003E-3</v>
      </c>
      <c r="D76" s="13">
        <f>TRUNC($D$26*C76,2)</f>
        <v>10.62</v>
      </c>
    </row>
    <row r="77" spans="1:5" x14ac:dyDescent="0.2">
      <c r="A77" s="32" t="s">
        <v>6</v>
      </c>
      <c r="B77" s="10" t="s">
        <v>48</v>
      </c>
      <c r="C77" s="9">
        <v>0.08</v>
      </c>
      <c r="D77" s="13">
        <f>TRUNC(D76*C77,2)</f>
        <v>0.84</v>
      </c>
    </row>
    <row r="78" spans="1:5" x14ac:dyDescent="0.2">
      <c r="A78" s="32" t="s">
        <v>8</v>
      </c>
      <c r="B78" s="10" t="s">
        <v>98</v>
      </c>
      <c r="C78" s="9">
        <f>TRUNC(8%*5%*40%,4)</f>
        <v>1.6000000000000001E-3</v>
      </c>
      <c r="D78" s="13">
        <f>TRUNC($D$26*C78,2)</f>
        <v>4.1399999999999997</v>
      </c>
    </row>
    <row r="79" spans="1:5" x14ac:dyDescent="0.2">
      <c r="A79" s="32" t="s">
        <v>10</v>
      </c>
      <c r="B79" s="10" t="s">
        <v>49</v>
      </c>
      <c r="C79" s="9">
        <f>TRUNC(((7/30)/12)*95%,4)</f>
        <v>1.84E-2</v>
      </c>
      <c r="D79" s="13">
        <f>TRUNC($D$26*C79,2)</f>
        <v>47.69</v>
      </c>
    </row>
    <row r="80" spans="1:5" ht="25.5" x14ac:dyDescent="0.2">
      <c r="A80" s="32" t="s">
        <v>12</v>
      </c>
      <c r="B80" s="10" t="s">
        <v>93</v>
      </c>
      <c r="C80" s="9">
        <f>C50</f>
        <v>0.36800000000000005</v>
      </c>
      <c r="D80" s="13">
        <f>TRUNC(D79*C80,2)</f>
        <v>17.54</v>
      </c>
    </row>
    <row r="81" spans="1:4" x14ac:dyDescent="0.2">
      <c r="A81" s="32" t="s">
        <v>32</v>
      </c>
      <c r="B81" s="10" t="s">
        <v>99</v>
      </c>
      <c r="C81" s="9">
        <f>TRUNC(8%*95%*40%,4)</f>
        <v>3.04E-2</v>
      </c>
      <c r="D81" s="13">
        <f t="shared" ref="D81" si="1">TRUNC($D$26*C81,2)</f>
        <v>78.8</v>
      </c>
    </row>
    <row r="82" spans="1:4" x14ac:dyDescent="0.2">
      <c r="A82" s="77" t="s">
        <v>16</v>
      </c>
      <c r="B82" s="78"/>
      <c r="C82" s="79"/>
      <c r="D82" s="19">
        <f>SUM(D76:D81)</f>
        <v>159.63</v>
      </c>
    </row>
    <row r="85" spans="1:4" x14ac:dyDescent="0.2">
      <c r="A85" s="73" t="s">
        <v>50</v>
      </c>
      <c r="B85" s="73"/>
      <c r="C85" s="73"/>
      <c r="D85" s="73"/>
    </row>
    <row r="88" spans="1:4" x14ac:dyDescent="0.2">
      <c r="A88" s="71" t="s">
        <v>77</v>
      </c>
      <c r="B88" s="71"/>
      <c r="C88" s="71"/>
      <c r="D88" s="71"/>
    </row>
    <row r="89" spans="1:4" x14ac:dyDescent="0.2">
      <c r="A89" s="3"/>
    </row>
    <row r="90" spans="1:4" x14ac:dyDescent="0.2">
      <c r="A90" s="30" t="s">
        <v>51</v>
      </c>
      <c r="B90" s="72" t="s">
        <v>78</v>
      </c>
      <c r="C90" s="72"/>
      <c r="D90" s="30" t="s">
        <v>3</v>
      </c>
    </row>
    <row r="91" spans="1:4" x14ac:dyDescent="0.2">
      <c r="A91" s="32" t="s">
        <v>4</v>
      </c>
      <c r="B91" s="29" t="s">
        <v>79</v>
      </c>
      <c r="C91" s="9">
        <f>TRUNC(((1+1/3)/12)/12,4)</f>
        <v>9.1999999999999998E-3</v>
      </c>
      <c r="D91" s="13">
        <f>TRUNC(($D$26+$D$70+$D$82)*C91,2)</f>
        <v>47.34</v>
      </c>
    </row>
    <row r="92" spans="1:4" x14ac:dyDescent="0.2">
      <c r="A92" s="32" t="s">
        <v>6</v>
      </c>
      <c r="B92" s="29" t="s">
        <v>80</v>
      </c>
      <c r="C92" s="9">
        <f>TRUNC(((2/30)/12),4)</f>
        <v>5.4999999999999997E-3</v>
      </c>
      <c r="D92" s="13">
        <f t="shared" ref="D92:D96" si="2">TRUNC(($D$26+$D$70+$D$82)*C92,2)</f>
        <v>28.3</v>
      </c>
    </row>
    <row r="93" spans="1:4" x14ac:dyDescent="0.2">
      <c r="A93" s="32" t="s">
        <v>8</v>
      </c>
      <c r="B93" s="29" t="s">
        <v>81</v>
      </c>
      <c r="C93" s="9">
        <f>TRUNC(((5/30)/12)*2%,4)</f>
        <v>2.0000000000000001E-4</v>
      </c>
      <c r="D93" s="13">
        <f t="shared" si="2"/>
        <v>1.02</v>
      </c>
    </row>
    <row r="94" spans="1:4" x14ac:dyDescent="0.2">
      <c r="A94" s="32" t="s">
        <v>10</v>
      </c>
      <c r="B94" s="29" t="s">
        <v>82</v>
      </c>
      <c r="C94" s="9">
        <f>TRUNC(((15/30)/12)*8%,4)</f>
        <v>3.3E-3</v>
      </c>
      <c r="D94" s="13">
        <f t="shared" si="2"/>
        <v>16.98</v>
      </c>
    </row>
    <row r="95" spans="1:4" x14ac:dyDescent="0.2">
      <c r="A95" s="32" t="s">
        <v>12</v>
      </c>
      <c r="B95" s="29" t="s">
        <v>83</v>
      </c>
      <c r="C95" s="9">
        <f>((1+1/3)/12)*3%*(4/12)</f>
        <v>1.1111111111111109E-3</v>
      </c>
      <c r="D95" s="13">
        <f t="shared" si="2"/>
        <v>5.71</v>
      </c>
    </row>
    <row r="96" spans="1:4" x14ac:dyDescent="0.2">
      <c r="A96" s="32" t="s">
        <v>32</v>
      </c>
      <c r="B96" s="29" t="s">
        <v>84</v>
      </c>
      <c r="C96" s="9"/>
      <c r="D96" s="13">
        <f t="shared" si="2"/>
        <v>0</v>
      </c>
    </row>
    <row r="97" spans="1:6" x14ac:dyDescent="0.2">
      <c r="A97" s="70" t="s">
        <v>37</v>
      </c>
      <c r="B97" s="70"/>
      <c r="C97" s="70"/>
      <c r="D97" s="19">
        <f>SUM(D91:D96)</f>
        <v>99.35</v>
      </c>
      <c r="E97" s="17"/>
      <c r="F97" s="17"/>
    </row>
    <row r="100" spans="1:6" x14ac:dyDescent="0.2">
      <c r="A100" s="71" t="s">
        <v>85</v>
      </c>
      <c r="B100" s="71"/>
      <c r="C100" s="71"/>
      <c r="D100" s="71"/>
    </row>
    <row r="101" spans="1:6" x14ac:dyDescent="0.2">
      <c r="A101" s="3"/>
    </row>
    <row r="102" spans="1:6" x14ac:dyDescent="0.2">
      <c r="A102" s="30" t="s">
        <v>52</v>
      </c>
      <c r="B102" s="72" t="s">
        <v>86</v>
      </c>
      <c r="C102" s="72"/>
      <c r="D102" s="30" t="s">
        <v>3</v>
      </c>
    </row>
    <row r="103" spans="1:6" x14ac:dyDescent="0.2">
      <c r="A103" s="32" t="s">
        <v>4</v>
      </c>
      <c r="B103" s="80" t="s">
        <v>87</v>
      </c>
      <c r="C103" s="81"/>
      <c r="D103" s="13">
        <f>((D26+D70+D82)/220)*22*0</f>
        <v>0</v>
      </c>
    </row>
    <row r="104" spans="1:6" x14ac:dyDescent="0.2">
      <c r="A104" s="70" t="s">
        <v>16</v>
      </c>
      <c r="B104" s="70"/>
      <c r="C104" s="70"/>
      <c r="D104" s="19">
        <f>SUM(D103)</f>
        <v>0</v>
      </c>
    </row>
    <row r="107" spans="1:6" x14ac:dyDescent="0.2">
      <c r="A107" s="71" t="s">
        <v>53</v>
      </c>
      <c r="B107" s="71"/>
      <c r="C107" s="71"/>
      <c r="D107" s="71"/>
    </row>
    <row r="108" spans="1:6" x14ac:dyDescent="0.2">
      <c r="A108" s="3"/>
    </row>
    <row r="109" spans="1:6" x14ac:dyDescent="0.2">
      <c r="A109" s="30">
        <v>4</v>
      </c>
      <c r="B109" s="70" t="s">
        <v>54</v>
      </c>
      <c r="C109" s="70"/>
      <c r="D109" s="30" t="s">
        <v>3</v>
      </c>
    </row>
    <row r="110" spans="1:6" x14ac:dyDescent="0.2">
      <c r="A110" s="32" t="s">
        <v>51</v>
      </c>
      <c r="B110" s="69" t="s">
        <v>78</v>
      </c>
      <c r="C110" s="69"/>
      <c r="D110" s="14">
        <f>D97</f>
        <v>99.35</v>
      </c>
    </row>
    <row r="111" spans="1:6" x14ac:dyDescent="0.2">
      <c r="A111" s="32" t="s">
        <v>52</v>
      </c>
      <c r="B111" s="69" t="s">
        <v>86</v>
      </c>
      <c r="C111" s="69"/>
      <c r="D111" s="14">
        <f>D104</f>
        <v>0</v>
      </c>
    </row>
    <row r="112" spans="1:6" x14ac:dyDescent="0.2">
      <c r="A112" s="70" t="s">
        <v>16</v>
      </c>
      <c r="B112" s="70"/>
      <c r="C112" s="70"/>
      <c r="D112" s="19">
        <f>SUM(D110:D111)</f>
        <v>99.35</v>
      </c>
    </row>
    <row r="115" spans="1:4" x14ac:dyDescent="0.2">
      <c r="A115" s="73" t="s">
        <v>55</v>
      </c>
      <c r="B115" s="73"/>
      <c r="C115" s="73"/>
      <c r="D115" s="73"/>
    </row>
    <row r="117" spans="1:4" x14ac:dyDescent="0.2">
      <c r="A117" s="30">
        <v>5</v>
      </c>
      <c r="B117" s="82" t="s">
        <v>56</v>
      </c>
      <c r="C117" s="82"/>
      <c r="D117" s="30" t="s">
        <v>3</v>
      </c>
    </row>
    <row r="118" spans="1:4" x14ac:dyDescent="0.2">
      <c r="A118" s="32" t="s">
        <v>4</v>
      </c>
      <c r="B118" s="29" t="s">
        <v>57</v>
      </c>
      <c r="C118" s="29"/>
      <c r="D118" s="13">
        <v>50.04</v>
      </c>
    </row>
    <row r="119" spans="1:4" x14ac:dyDescent="0.2">
      <c r="A119" s="32" t="s">
        <v>6</v>
      </c>
      <c r="B119" s="29" t="s">
        <v>58</v>
      </c>
      <c r="C119" s="29"/>
      <c r="D119" s="13"/>
    </row>
    <row r="120" spans="1:4" x14ac:dyDescent="0.2">
      <c r="A120" s="32" t="s">
        <v>8</v>
      </c>
      <c r="B120" s="29" t="s">
        <v>59</v>
      </c>
      <c r="C120" s="29"/>
      <c r="D120" s="13"/>
    </row>
    <row r="121" spans="1:4" x14ac:dyDescent="0.2">
      <c r="A121" s="32" t="s">
        <v>10</v>
      </c>
      <c r="B121" s="29" t="s">
        <v>15</v>
      </c>
      <c r="C121" s="29"/>
      <c r="D121" s="13"/>
    </row>
    <row r="122" spans="1:4" x14ac:dyDescent="0.2">
      <c r="A122" s="70" t="s">
        <v>37</v>
      </c>
      <c r="B122" s="70"/>
      <c r="C122" s="70"/>
      <c r="D122" s="20">
        <f>SUM(D118:D121)</f>
        <v>50.04</v>
      </c>
    </row>
    <row r="125" spans="1:4" x14ac:dyDescent="0.2">
      <c r="A125" s="73" t="s">
        <v>60</v>
      </c>
      <c r="B125" s="73"/>
      <c r="C125" s="73"/>
      <c r="D125" s="73"/>
    </row>
    <row r="127" spans="1:4" x14ac:dyDescent="0.2">
      <c r="A127" s="30">
        <v>6</v>
      </c>
      <c r="B127" s="31" t="s">
        <v>61</v>
      </c>
      <c r="C127" s="30" t="s">
        <v>26</v>
      </c>
      <c r="D127" s="30" t="s">
        <v>3</v>
      </c>
    </row>
    <row r="128" spans="1:4" x14ac:dyDescent="0.2">
      <c r="A128" s="32" t="s">
        <v>4</v>
      </c>
      <c r="B128" s="29" t="s">
        <v>62</v>
      </c>
      <c r="C128" s="9">
        <v>0.02</v>
      </c>
      <c r="D128" s="14">
        <f>D148*C128</f>
        <v>105.90545200000001</v>
      </c>
    </row>
    <row r="129" spans="1:4" x14ac:dyDescent="0.2">
      <c r="A129" s="32" t="s">
        <v>6</v>
      </c>
      <c r="B129" s="29" t="s">
        <v>63</v>
      </c>
      <c r="C129" s="9">
        <v>0.03</v>
      </c>
      <c r="D129" s="13">
        <f>(D148+D128)*C129</f>
        <v>162.03534156000001</v>
      </c>
    </row>
    <row r="130" spans="1:4" x14ac:dyDescent="0.2">
      <c r="A130" s="32" t="s">
        <v>8</v>
      </c>
      <c r="B130" s="29" t="s">
        <v>64</v>
      </c>
      <c r="C130" s="12">
        <f>SUM(C131:C136)</f>
        <v>8.6499999999999994E-2</v>
      </c>
      <c r="D130" s="13">
        <f>(D148+D128+D129)*C130/(1-C130)</f>
        <v>526.78484788499179</v>
      </c>
    </row>
    <row r="131" spans="1:4" x14ac:dyDescent="0.2">
      <c r="A131" s="32"/>
      <c r="B131" s="29" t="s">
        <v>65</v>
      </c>
      <c r="C131" s="9"/>
      <c r="D131" s="14">
        <f>$D$150*C131</f>
        <v>0</v>
      </c>
    </row>
    <row r="132" spans="1:4" x14ac:dyDescent="0.2">
      <c r="A132" s="32"/>
      <c r="B132" s="29" t="s">
        <v>95</v>
      </c>
      <c r="C132" s="9">
        <v>6.4999999999999997E-3</v>
      </c>
      <c r="D132" s="14">
        <f t="shared" ref="D132:D136" si="3">$D$150*C132</f>
        <v>39.585000000000001</v>
      </c>
    </row>
    <row r="133" spans="1:4" x14ac:dyDescent="0.2">
      <c r="A133" s="32"/>
      <c r="B133" s="29" t="s">
        <v>96</v>
      </c>
      <c r="C133" s="9">
        <v>0.03</v>
      </c>
      <c r="D133" s="14">
        <f t="shared" si="3"/>
        <v>182.7</v>
      </c>
    </row>
    <row r="134" spans="1:4" x14ac:dyDescent="0.2">
      <c r="A134" s="32"/>
      <c r="B134" s="29" t="s">
        <v>66</v>
      </c>
      <c r="C134" s="32"/>
      <c r="D134" s="14">
        <f t="shared" si="3"/>
        <v>0</v>
      </c>
    </row>
    <row r="135" spans="1:4" x14ac:dyDescent="0.2">
      <c r="A135" s="32"/>
      <c r="B135" s="29" t="s">
        <v>67</v>
      </c>
      <c r="C135" s="9"/>
      <c r="D135" s="14">
        <f t="shared" si="3"/>
        <v>0</v>
      </c>
    </row>
    <row r="136" spans="1:4" x14ac:dyDescent="0.2">
      <c r="A136" s="32"/>
      <c r="B136" s="29" t="s">
        <v>97</v>
      </c>
      <c r="C136" s="9">
        <v>0.05</v>
      </c>
      <c r="D136" s="14">
        <f t="shared" si="3"/>
        <v>304.5</v>
      </c>
    </row>
    <row r="137" spans="1:4" ht="13.5" x14ac:dyDescent="0.2">
      <c r="A137" s="77" t="s">
        <v>37</v>
      </c>
      <c r="B137" s="78"/>
      <c r="C137" s="21">
        <f>(1+C129)*(1+C128)/(1-C130)-1</f>
        <v>0.15008210180623971</v>
      </c>
      <c r="D137" s="19">
        <f>SUM(D128:D130)</f>
        <v>794.72564144499188</v>
      </c>
    </row>
    <row r="140" spans="1:4" x14ac:dyDescent="0.2">
      <c r="A140" s="73" t="s">
        <v>68</v>
      </c>
      <c r="B140" s="73"/>
      <c r="C140" s="73"/>
      <c r="D140" s="73"/>
    </row>
    <row r="142" spans="1:4" x14ac:dyDescent="0.2">
      <c r="A142" s="30"/>
      <c r="B142" s="70" t="s">
        <v>69</v>
      </c>
      <c r="C142" s="70"/>
      <c r="D142" s="30" t="s">
        <v>3</v>
      </c>
    </row>
    <row r="143" spans="1:4" x14ac:dyDescent="0.2">
      <c r="A143" s="30" t="s">
        <v>4</v>
      </c>
      <c r="B143" s="69" t="s">
        <v>1</v>
      </c>
      <c r="C143" s="69"/>
      <c r="D143" s="22">
        <f>D26</f>
        <v>2592.29</v>
      </c>
    </row>
    <row r="144" spans="1:4" x14ac:dyDescent="0.2">
      <c r="A144" s="30" t="s">
        <v>6</v>
      </c>
      <c r="B144" s="69" t="s">
        <v>17</v>
      </c>
      <c r="C144" s="69"/>
      <c r="D144" s="22">
        <f>D70</f>
        <v>2393.9625999999998</v>
      </c>
    </row>
    <row r="145" spans="1:4" x14ac:dyDescent="0.2">
      <c r="A145" s="30" t="s">
        <v>8</v>
      </c>
      <c r="B145" s="69" t="s">
        <v>45</v>
      </c>
      <c r="C145" s="69"/>
      <c r="D145" s="22">
        <f>D82</f>
        <v>159.63</v>
      </c>
    </row>
    <row r="146" spans="1:4" x14ac:dyDescent="0.2">
      <c r="A146" s="30" t="s">
        <v>10</v>
      </c>
      <c r="B146" s="69" t="s">
        <v>50</v>
      </c>
      <c r="C146" s="69"/>
      <c r="D146" s="22">
        <f>D112</f>
        <v>99.35</v>
      </c>
    </row>
    <row r="147" spans="1:4" x14ac:dyDescent="0.2">
      <c r="A147" s="30" t="s">
        <v>12</v>
      </c>
      <c r="B147" s="69" t="s">
        <v>55</v>
      </c>
      <c r="C147" s="69"/>
      <c r="D147" s="22">
        <f>D122</f>
        <v>50.04</v>
      </c>
    </row>
    <row r="148" spans="1:4" x14ac:dyDescent="0.2">
      <c r="A148" s="70" t="s">
        <v>94</v>
      </c>
      <c r="B148" s="70"/>
      <c r="C148" s="70"/>
      <c r="D148" s="23">
        <f>SUM(D143:D147)</f>
        <v>5295.2726000000002</v>
      </c>
    </row>
    <row r="149" spans="1:4" x14ac:dyDescent="0.2">
      <c r="A149" s="30" t="s">
        <v>32</v>
      </c>
      <c r="B149" s="69" t="s">
        <v>70</v>
      </c>
      <c r="C149" s="69"/>
      <c r="D149" s="24">
        <f>D137</f>
        <v>794.72564144499188</v>
      </c>
    </row>
    <row r="150" spans="1:4" x14ac:dyDescent="0.2">
      <c r="A150" s="70" t="s">
        <v>71</v>
      </c>
      <c r="B150" s="70"/>
      <c r="C150" s="70"/>
      <c r="D150" s="23">
        <f>ROUND(SUM(D148:D149),2)</f>
        <v>6090</v>
      </c>
    </row>
  </sheetData>
  <mergeCells count="71">
    <mergeCell ref="C10:D10"/>
    <mergeCell ref="A1:D1"/>
    <mergeCell ref="A3:D3"/>
    <mergeCell ref="A5:B5"/>
    <mergeCell ref="A6:B6"/>
    <mergeCell ref="A8:D8"/>
    <mergeCell ref="B24:C24"/>
    <mergeCell ref="C11:D11"/>
    <mergeCell ref="C12:D12"/>
    <mergeCell ref="C13:D13"/>
    <mergeCell ref="C14:D14"/>
    <mergeCell ref="A16:D16"/>
    <mergeCell ref="B18:C18"/>
    <mergeCell ref="B19:C19"/>
    <mergeCell ref="B20:C20"/>
    <mergeCell ref="B21:C21"/>
    <mergeCell ref="B22:C22"/>
    <mergeCell ref="B23:C23"/>
    <mergeCell ref="B57:C57"/>
    <mergeCell ref="B25:C25"/>
    <mergeCell ref="A26:C26"/>
    <mergeCell ref="A29:D29"/>
    <mergeCell ref="A31:D31"/>
    <mergeCell ref="B33:C33"/>
    <mergeCell ref="A36:B36"/>
    <mergeCell ref="A39:D39"/>
    <mergeCell ref="A50:B50"/>
    <mergeCell ref="A53:D53"/>
    <mergeCell ref="B55:C55"/>
    <mergeCell ref="B56:C56"/>
    <mergeCell ref="B75:C75"/>
    <mergeCell ref="B58:C58"/>
    <mergeCell ref="B59:C59"/>
    <mergeCell ref="B60:C60"/>
    <mergeCell ref="A61:C61"/>
    <mergeCell ref="A64:D64"/>
    <mergeCell ref="B66:C66"/>
    <mergeCell ref="B67:C67"/>
    <mergeCell ref="B68:C68"/>
    <mergeCell ref="B69:C69"/>
    <mergeCell ref="A70:C70"/>
    <mergeCell ref="A73:D73"/>
    <mergeCell ref="B110:C110"/>
    <mergeCell ref="A82:C82"/>
    <mergeCell ref="A85:D85"/>
    <mergeCell ref="A88:D88"/>
    <mergeCell ref="B90:C90"/>
    <mergeCell ref="A97:C97"/>
    <mergeCell ref="A100:D100"/>
    <mergeCell ref="B102:C102"/>
    <mergeCell ref="B103:C103"/>
    <mergeCell ref="A104:C104"/>
    <mergeCell ref="A107:D107"/>
    <mergeCell ref="B109:C109"/>
    <mergeCell ref="B145:C145"/>
    <mergeCell ref="B111:C111"/>
    <mergeCell ref="A112:C112"/>
    <mergeCell ref="A115:D115"/>
    <mergeCell ref="B117:C117"/>
    <mergeCell ref="A122:C122"/>
    <mergeCell ref="A125:D125"/>
    <mergeCell ref="A137:B137"/>
    <mergeCell ref="A140:D140"/>
    <mergeCell ref="B142:C142"/>
    <mergeCell ref="B143:C143"/>
    <mergeCell ref="B144:C144"/>
    <mergeCell ref="B146:C146"/>
    <mergeCell ref="B147:C147"/>
    <mergeCell ref="A148:C148"/>
    <mergeCell ref="B149:C149"/>
    <mergeCell ref="A150:C150"/>
  </mergeCells>
  <pageMargins left="0.51181102362204722" right="0.51181102362204722" top="0.98425196850393704" bottom="0.78740157480314965" header="0.31496062992125984" footer="0.31496062992125984"/>
  <pageSetup paperSize="9" scale="84" fitToHeight="0" orientation="portrait" r:id="rId1"/>
  <headerFooter>
    <oddHeader>&amp;C&amp;G</oddHeader>
    <oddFooter>&amp;L&amp;"-,Negrito"Documento elaborado em &amp;D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0"/>
  <sheetViews>
    <sheetView view="pageBreakPreview" zoomScaleNormal="115" zoomScaleSheetLayoutView="100" workbookViewId="0">
      <selection activeCell="C130" sqref="C130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74" t="s">
        <v>0</v>
      </c>
      <c r="B1" s="74"/>
      <c r="C1" s="74"/>
      <c r="D1" s="74"/>
    </row>
    <row r="2" spans="1:4" ht="15.75" x14ac:dyDescent="0.25">
      <c r="A2" s="26"/>
      <c r="B2" s="26"/>
      <c r="C2" s="26"/>
      <c r="D2" s="26"/>
    </row>
    <row r="3" spans="1:4" x14ac:dyDescent="0.2">
      <c r="A3" s="76" t="s">
        <v>88</v>
      </c>
      <c r="B3" s="76"/>
      <c r="C3" s="76"/>
      <c r="D3" s="76"/>
    </row>
    <row r="4" spans="1:4" x14ac:dyDescent="0.2">
      <c r="A4" s="2"/>
      <c r="B4" s="2"/>
      <c r="C4" s="2"/>
      <c r="D4" s="2"/>
    </row>
    <row r="5" spans="1:4" ht="38.25" x14ac:dyDescent="0.2">
      <c r="A5" s="83" t="s">
        <v>89</v>
      </c>
      <c r="B5" s="83"/>
      <c r="C5" s="32" t="s">
        <v>90</v>
      </c>
      <c r="D5" s="27" t="s">
        <v>91</v>
      </c>
    </row>
    <row r="6" spans="1:4" x14ac:dyDescent="0.2">
      <c r="A6" s="84" t="s">
        <v>114</v>
      </c>
      <c r="B6" s="84"/>
      <c r="C6" s="33" t="s">
        <v>101</v>
      </c>
      <c r="D6" s="33">
        <v>2</v>
      </c>
    </row>
    <row r="8" spans="1:4" x14ac:dyDescent="0.2">
      <c r="A8" s="76" t="s">
        <v>72</v>
      </c>
      <c r="B8" s="76"/>
      <c r="C8" s="76"/>
      <c r="D8" s="76"/>
    </row>
    <row r="9" spans="1:4" x14ac:dyDescent="0.2">
      <c r="A9" s="2"/>
      <c r="B9" s="2"/>
      <c r="C9" s="2"/>
      <c r="D9" s="2"/>
    </row>
    <row r="10" spans="1:4" x14ac:dyDescent="0.2">
      <c r="A10" s="5">
        <v>1</v>
      </c>
      <c r="B10" s="5" t="s">
        <v>73</v>
      </c>
      <c r="C10" s="85" t="s">
        <v>114</v>
      </c>
      <c r="D10" s="86"/>
    </row>
    <row r="11" spans="1:4" x14ac:dyDescent="0.2">
      <c r="A11" s="5">
        <v>2</v>
      </c>
      <c r="B11" s="5" t="s">
        <v>92</v>
      </c>
      <c r="C11" s="85" t="s">
        <v>115</v>
      </c>
      <c r="D11" s="86"/>
    </row>
    <row r="12" spans="1:4" x14ac:dyDescent="0.2">
      <c r="A12" s="5">
        <v>3</v>
      </c>
      <c r="B12" s="5" t="s">
        <v>74</v>
      </c>
      <c r="C12" s="87">
        <v>1593.19</v>
      </c>
      <c r="D12" s="86"/>
    </row>
    <row r="13" spans="1:4" x14ac:dyDescent="0.2">
      <c r="A13" s="5">
        <v>4</v>
      </c>
      <c r="B13" s="5" t="s">
        <v>75</v>
      </c>
      <c r="C13" s="85"/>
      <c r="D13" s="86"/>
    </row>
    <row r="14" spans="1:4" x14ac:dyDescent="0.2">
      <c r="A14" s="5">
        <v>5</v>
      </c>
      <c r="B14" s="5" t="s">
        <v>76</v>
      </c>
      <c r="C14" s="85"/>
      <c r="D14" s="86"/>
    </row>
    <row r="16" spans="1:4" x14ac:dyDescent="0.2">
      <c r="A16" s="76" t="s">
        <v>1</v>
      </c>
      <c r="B16" s="76"/>
      <c r="C16" s="76"/>
      <c r="D16" s="76"/>
    </row>
    <row r="18" spans="1:4" x14ac:dyDescent="0.2">
      <c r="A18" s="30">
        <v>1</v>
      </c>
      <c r="B18" s="70" t="s">
        <v>2</v>
      </c>
      <c r="C18" s="70"/>
      <c r="D18" s="30" t="s">
        <v>3</v>
      </c>
    </row>
    <row r="19" spans="1:4" x14ac:dyDescent="0.2">
      <c r="A19" s="32" t="s">
        <v>4</v>
      </c>
      <c r="B19" s="69" t="s">
        <v>5</v>
      </c>
      <c r="C19" s="69"/>
      <c r="D19" s="13">
        <v>1593.19</v>
      </c>
    </row>
    <row r="20" spans="1:4" x14ac:dyDescent="0.2">
      <c r="A20" s="32" t="s">
        <v>6</v>
      </c>
      <c r="B20" s="69" t="s">
        <v>7</v>
      </c>
      <c r="C20" s="69"/>
      <c r="D20" s="13"/>
    </row>
    <row r="21" spans="1:4" x14ac:dyDescent="0.2">
      <c r="A21" s="32" t="s">
        <v>8</v>
      </c>
      <c r="B21" s="69" t="s">
        <v>9</v>
      </c>
      <c r="C21" s="69"/>
      <c r="D21" s="13"/>
    </row>
    <row r="22" spans="1:4" x14ac:dyDescent="0.2">
      <c r="A22" s="32" t="s">
        <v>10</v>
      </c>
      <c r="B22" s="69" t="s">
        <v>11</v>
      </c>
      <c r="C22" s="69"/>
      <c r="D22" s="13"/>
    </row>
    <row r="23" spans="1:4" x14ac:dyDescent="0.2">
      <c r="A23" s="32" t="s">
        <v>12</v>
      </c>
      <c r="B23" s="69" t="s">
        <v>13</v>
      </c>
      <c r="C23" s="69"/>
      <c r="D23" s="13"/>
    </row>
    <row r="24" spans="1:4" x14ac:dyDescent="0.2">
      <c r="A24" s="32"/>
      <c r="B24" s="69"/>
      <c r="C24" s="69"/>
      <c r="D24" s="13"/>
    </row>
    <row r="25" spans="1:4" x14ac:dyDescent="0.2">
      <c r="A25" s="32" t="s">
        <v>14</v>
      </c>
      <c r="B25" s="69" t="s">
        <v>15</v>
      </c>
      <c r="C25" s="69"/>
      <c r="D25" s="13"/>
    </row>
    <row r="26" spans="1:4" x14ac:dyDescent="0.2">
      <c r="A26" s="70" t="s">
        <v>16</v>
      </c>
      <c r="B26" s="70"/>
      <c r="C26" s="70"/>
      <c r="D26" s="20">
        <f>SUM(D19:D25)</f>
        <v>1593.19</v>
      </c>
    </row>
    <row r="29" spans="1:4" x14ac:dyDescent="0.2">
      <c r="A29" s="73" t="s">
        <v>17</v>
      </c>
      <c r="B29" s="73"/>
      <c r="C29" s="73"/>
      <c r="D29" s="73"/>
    </row>
    <row r="30" spans="1:4" x14ac:dyDescent="0.2">
      <c r="A30" s="3"/>
    </row>
    <row r="31" spans="1:4" x14ac:dyDescent="0.2">
      <c r="A31" s="71" t="s">
        <v>18</v>
      </c>
      <c r="B31" s="71"/>
      <c r="C31" s="71"/>
      <c r="D31" s="71"/>
    </row>
    <row r="33" spans="1:4" x14ac:dyDescent="0.2">
      <c r="A33" s="30" t="s">
        <v>19</v>
      </c>
      <c r="B33" s="70" t="s">
        <v>20</v>
      </c>
      <c r="C33" s="70"/>
      <c r="D33" s="30" t="s">
        <v>3</v>
      </c>
    </row>
    <row r="34" spans="1:4" x14ac:dyDescent="0.2">
      <c r="A34" s="32" t="s">
        <v>4</v>
      </c>
      <c r="B34" s="29" t="s">
        <v>21</v>
      </c>
      <c r="C34" s="12">
        <f>TRUNC(1/12,4)</f>
        <v>8.3299999999999999E-2</v>
      </c>
      <c r="D34" s="13">
        <f>TRUNC($D$26*C34,2)</f>
        <v>132.71</v>
      </c>
    </row>
    <row r="35" spans="1:4" x14ac:dyDescent="0.2">
      <c r="A35" s="32" t="s">
        <v>6</v>
      </c>
      <c r="B35" s="29" t="s">
        <v>22</v>
      </c>
      <c r="C35" s="12">
        <f>TRUNC(((1+1/3)/12),4)</f>
        <v>0.1111</v>
      </c>
      <c r="D35" s="13">
        <f>TRUNC($D$26*C35,2)</f>
        <v>177</v>
      </c>
    </row>
    <row r="36" spans="1:4" x14ac:dyDescent="0.2">
      <c r="A36" s="70" t="s">
        <v>16</v>
      </c>
      <c r="B36" s="70"/>
      <c r="C36" s="28">
        <f>SUM(C34:C35)</f>
        <v>0.19440000000000002</v>
      </c>
      <c r="D36" s="19">
        <f>SUM(D34:D35)</f>
        <v>309.71000000000004</v>
      </c>
    </row>
    <row r="39" spans="1:4" x14ac:dyDescent="0.2">
      <c r="A39" s="75" t="s">
        <v>23</v>
      </c>
      <c r="B39" s="75"/>
      <c r="C39" s="75"/>
      <c r="D39" s="75"/>
    </row>
    <row r="41" spans="1:4" x14ac:dyDescent="0.2">
      <c r="A41" s="30" t="s">
        <v>24</v>
      </c>
      <c r="B41" s="30" t="s">
        <v>25</v>
      </c>
      <c r="C41" s="30" t="s">
        <v>26</v>
      </c>
      <c r="D41" s="30" t="s">
        <v>3</v>
      </c>
    </row>
    <row r="42" spans="1:4" x14ac:dyDescent="0.2">
      <c r="A42" s="32" t="s">
        <v>4</v>
      </c>
      <c r="B42" s="29" t="s">
        <v>27</v>
      </c>
      <c r="C42" s="9">
        <v>0.2</v>
      </c>
      <c r="D42" s="13">
        <f>TRUNC(($D$26+$D$36)*C42,2)</f>
        <v>380.58</v>
      </c>
    </row>
    <row r="43" spans="1:4" x14ac:dyDescent="0.2">
      <c r="A43" s="32" t="s">
        <v>6</v>
      </c>
      <c r="B43" s="29" t="s">
        <v>28</v>
      </c>
      <c r="C43" s="9">
        <v>2.5000000000000001E-2</v>
      </c>
      <c r="D43" s="13">
        <f t="shared" ref="D43:D49" si="0">TRUNC(($D$26+$D$36)*C43,2)</f>
        <v>47.57</v>
      </c>
    </row>
    <row r="44" spans="1:4" x14ac:dyDescent="0.2">
      <c r="A44" s="32" t="s">
        <v>8</v>
      </c>
      <c r="B44" s="29" t="s">
        <v>29</v>
      </c>
      <c r="C44" s="16">
        <v>0.03</v>
      </c>
      <c r="D44" s="13">
        <f t="shared" si="0"/>
        <v>57.08</v>
      </c>
    </row>
    <row r="45" spans="1:4" x14ac:dyDescent="0.2">
      <c r="A45" s="32" t="s">
        <v>10</v>
      </c>
      <c r="B45" s="29" t="s">
        <v>30</v>
      </c>
      <c r="C45" s="9">
        <v>1.4999999999999999E-2</v>
      </c>
      <c r="D45" s="13">
        <f t="shared" si="0"/>
        <v>28.54</v>
      </c>
    </row>
    <row r="46" spans="1:4" x14ac:dyDescent="0.2">
      <c r="A46" s="32" t="s">
        <v>12</v>
      </c>
      <c r="B46" s="29" t="s">
        <v>31</v>
      </c>
      <c r="C46" s="9">
        <v>0.01</v>
      </c>
      <c r="D46" s="13">
        <f t="shared" si="0"/>
        <v>19.02</v>
      </c>
    </row>
    <row r="47" spans="1:4" x14ac:dyDescent="0.2">
      <c r="A47" s="32" t="s">
        <v>32</v>
      </c>
      <c r="B47" s="29" t="s">
        <v>33</v>
      </c>
      <c r="C47" s="9">
        <v>6.0000000000000001E-3</v>
      </c>
      <c r="D47" s="13">
        <f t="shared" si="0"/>
        <v>11.41</v>
      </c>
    </row>
    <row r="48" spans="1:4" x14ac:dyDescent="0.2">
      <c r="A48" s="32" t="s">
        <v>14</v>
      </c>
      <c r="B48" s="29" t="s">
        <v>34</v>
      </c>
      <c r="C48" s="9">
        <v>2E-3</v>
      </c>
      <c r="D48" s="13">
        <f t="shared" si="0"/>
        <v>3.8</v>
      </c>
    </row>
    <row r="49" spans="1:4" x14ac:dyDescent="0.2">
      <c r="A49" s="32" t="s">
        <v>35</v>
      </c>
      <c r="B49" s="29" t="s">
        <v>36</v>
      </c>
      <c r="C49" s="9">
        <v>0.08</v>
      </c>
      <c r="D49" s="13">
        <f t="shared" si="0"/>
        <v>152.22999999999999</v>
      </c>
    </row>
    <row r="50" spans="1:4" x14ac:dyDescent="0.2">
      <c r="A50" s="70" t="s">
        <v>37</v>
      </c>
      <c r="B50" s="70"/>
      <c r="C50" s="15">
        <f>SUM(C42:C49)</f>
        <v>0.36800000000000005</v>
      </c>
      <c r="D50" s="19">
        <f>SUM(D42:D49)</f>
        <v>700.2299999999999</v>
      </c>
    </row>
    <row r="53" spans="1:4" x14ac:dyDescent="0.2">
      <c r="A53" s="71" t="s">
        <v>38</v>
      </c>
      <c r="B53" s="71"/>
      <c r="C53" s="71"/>
      <c r="D53" s="71"/>
    </row>
    <row r="55" spans="1:4" x14ac:dyDescent="0.2">
      <c r="A55" s="30" t="s">
        <v>39</v>
      </c>
      <c r="B55" s="72" t="s">
        <v>40</v>
      </c>
      <c r="C55" s="72"/>
      <c r="D55" s="30" t="s">
        <v>3</v>
      </c>
    </row>
    <row r="56" spans="1:4" x14ac:dyDescent="0.2">
      <c r="A56" s="32" t="s">
        <v>4</v>
      </c>
      <c r="B56" s="69" t="s">
        <v>41</v>
      </c>
      <c r="C56" s="69"/>
      <c r="D56" s="13">
        <f>IF((22*2*5.6)-(D19*0.06)&gt;0,(22*2*5.6)-(D19*0.06),0)</f>
        <v>150.80859999999998</v>
      </c>
    </row>
    <row r="57" spans="1:4" x14ac:dyDescent="0.2">
      <c r="A57" s="32" t="s">
        <v>6</v>
      </c>
      <c r="B57" s="69" t="s">
        <v>42</v>
      </c>
      <c r="C57" s="69"/>
      <c r="D57" s="13">
        <f>20*0.8*22</f>
        <v>352</v>
      </c>
    </row>
    <row r="58" spans="1:4" x14ac:dyDescent="0.2">
      <c r="A58" s="32" t="s">
        <v>8</v>
      </c>
      <c r="B58" s="69" t="s">
        <v>103</v>
      </c>
      <c r="C58" s="69"/>
      <c r="D58" s="13">
        <v>280</v>
      </c>
    </row>
    <row r="59" spans="1:4" x14ac:dyDescent="0.2">
      <c r="A59" s="32" t="s">
        <v>10</v>
      </c>
      <c r="B59" s="69" t="s">
        <v>104</v>
      </c>
      <c r="C59" s="69"/>
      <c r="D59" s="13">
        <v>23</v>
      </c>
    </row>
    <row r="60" spans="1:4" x14ac:dyDescent="0.2">
      <c r="A60" s="32" t="s">
        <v>12</v>
      </c>
      <c r="B60" s="69" t="s">
        <v>105</v>
      </c>
      <c r="C60" s="69"/>
      <c r="D60" s="13">
        <v>4.8</v>
      </c>
    </row>
    <row r="61" spans="1:4" x14ac:dyDescent="0.2">
      <c r="A61" s="70" t="s">
        <v>16</v>
      </c>
      <c r="B61" s="70"/>
      <c r="C61" s="70"/>
      <c r="D61" s="19">
        <f>SUM(D56:D60)</f>
        <v>810.60859999999991</v>
      </c>
    </row>
    <row r="64" spans="1:4" x14ac:dyDescent="0.2">
      <c r="A64" s="71" t="s">
        <v>43</v>
      </c>
      <c r="B64" s="71"/>
      <c r="C64" s="71"/>
      <c r="D64" s="71"/>
    </row>
    <row r="66" spans="1:5" x14ac:dyDescent="0.2">
      <c r="A66" s="30">
        <v>2</v>
      </c>
      <c r="B66" s="72" t="s">
        <v>44</v>
      </c>
      <c r="C66" s="72"/>
      <c r="D66" s="30" t="s">
        <v>3</v>
      </c>
    </row>
    <row r="67" spans="1:5" x14ac:dyDescent="0.2">
      <c r="A67" s="32" t="s">
        <v>19</v>
      </c>
      <c r="B67" s="69" t="s">
        <v>20</v>
      </c>
      <c r="C67" s="69"/>
      <c r="D67" s="14">
        <f>D36</f>
        <v>309.71000000000004</v>
      </c>
    </row>
    <row r="68" spans="1:5" x14ac:dyDescent="0.2">
      <c r="A68" s="32" t="s">
        <v>24</v>
      </c>
      <c r="B68" s="69" t="s">
        <v>25</v>
      </c>
      <c r="C68" s="69"/>
      <c r="D68" s="14">
        <f>D50</f>
        <v>700.2299999999999</v>
      </c>
    </row>
    <row r="69" spans="1:5" x14ac:dyDescent="0.2">
      <c r="A69" s="32" t="s">
        <v>39</v>
      </c>
      <c r="B69" s="69" t="s">
        <v>40</v>
      </c>
      <c r="C69" s="69"/>
      <c r="D69" s="14">
        <f>D61</f>
        <v>810.60859999999991</v>
      </c>
    </row>
    <row r="70" spans="1:5" x14ac:dyDescent="0.2">
      <c r="A70" s="70" t="s">
        <v>16</v>
      </c>
      <c r="B70" s="70"/>
      <c r="C70" s="70"/>
      <c r="D70" s="19">
        <f>SUM(D67:D69)</f>
        <v>1820.5485999999999</v>
      </c>
    </row>
    <row r="71" spans="1:5" x14ac:dyDescent="0.2">
      <c r="A71" s="4"/>
      <c r="E71" s="18"/>
    </row>
    <row r="73" spans="1:5" x14ac:dyDescent="0.2">
      <c r="A73" s="73" t="s">
        <v>45</v>
      </c>
      <c r="B73" s="73"/>
      <c r="C73" s="73"/>
      <c r="D73" s="73"/>
      <c r="E73" s="17"/>
    </row>
    <row r="74" spans="1:5" ht="12.75" customHeight="1" x14ac:dyDescent="0.2">
      <c r="E74" s="18"/>
    </row>
    <row r="75" spans="1:5" x14ac:dyDescent="0.2">
      <c r="A75" s="30">
        <v>3</v>
      </c>
      <c r="B75" s="72" t="s">
        <v>46</v>
      </c>
      <c r="C75" s="72"/>
      <c r="D75" s="30" t="s">
        <v>3</v>
      </c>
    </row>
    <row r="76" spans="1:5" x14ac:dyDescent="0.2">
      <c r="A76" s="32" t="s">
        <v>4</v>
      </c>
      <c r="B76" s="10" t="s">
        <v>47</v>
      </c>
      <c r="C76" s="9">
        <f>TRUNC(((1/12)*5%),4)</f>
        <v>4.1000000000000003E-3</v>
      </c>
      <c r="D76" s="13">
        <f>TRUNC($D$26*C76,2)</f>
        <v>6.53</v>
      </c>
    </row>
    <row r="77" spans="1:5" x14ac:dyDescent="0.2">
      <c r="A77" s="32" t="s">
        <v>6</v>
      </c>
      <c r="B77" s="10" t="s">
        <v>48</v>
      </c>
      <c r="C77" s="9">
        <v>0.08</v>
      </c>
      <c r="D77" s="13">
        <f>TRUNC(D76*C77,2)</f>
        <v>0.52</v>
      </c>
    </row>
    <row r="78" spans="1:5" x14ac:dyDescent="0.2">
      <c r="A78" s="32" t="s">
        <v>8</v>
      </c>
      <c r="B78" s="10" t="s">
        <v>98</v>
      </c>
      <c r="C78" s="9">
        <f>TRUNC(8%*5%*40%,4)</f>
        <v>1.6000000000000001E-3</v>
      </c>
      <c r="D78" s="13">
        <f>TRUNC($D$26*C78,2)</f>
        <v>2.54</v>
      </c>
    </row>
    <row r="79" spans="1:5" x14ac:dyDescent="0.2">
      <c r="A79" s="32" t="s">
        <v>10</v>
      </c>
      <c r="B79" s="10" t="s">
        <v>49</v>
      </c>
      <c r="C79" s="9">
        <f>TRUNC(((7/30)/12)*95%,4)</f>
        <v>1.84E-2</v>
      </c>
      <c r="D79" s="13">
        <f>TRUNC($D$26*C79,2)</f>
        <v>29.31</v>
      </c>
    </row>
    <row r="80" spans="1:5" ht="25.5" x14ac:dyDescent="0.2">
      <c r="A80" s="32" t="s">
        <v>12</v>
      </c>
      <c r="B80" s="10" t="s">
        <v>93</v>
      </c>
      <c r="C80" s="9">
        <f>C50</f>
        <v>0.36800000000000005</v>
      </c>
      <c r="D80" s="13">
        <f>TRUNC(D79*C80,2)</f>
        <v>10.78</v>
      </c>
    </row>
    <row r="81" spans="1:4" x14ac:dyDescent="0.2">
      <c r="A81" s="32" t="s">
        <v>32</v>
      </c>
      <c r="B81" s="10" t="s">
        <v>99</v>
      </c>
      <c r="C81" s="9">
        <f>TRUNC(8%*95%*40%,4)</f>
        <v>3.04E-2</v>
      </c>
      <c r="D81" s="13">
        <f t="shared" ref="D81" si="1">TRUNC($D$26*C81,2)</f>
        <v>48.43</v>
      </c>
    </row>
    <row r="82" spans="1:4" x14ac:dyDescent="0.2">
      <c r="A82" s="77" t="s">
        <v>16</v>
      </c>
      <c r="B82" s="78"/>
      <c r="C82" s="79"/>
      <c r="D82" s="19">
        <f>SUM(D76:D81)</f>
        <v>98.11</v>
      </c>
    </row>
    <row r="85" spans="1:4" x14ac:dyDescent="0.2">
      <c r="A85" s="73" t="s">
        <v>50</v>
      </c>
      <c r="B85" s="73"/>
      <c r="C85" s="73"/>
      <c r="D85" s="73"/>
    </row>
    <row r="88" spans="1:4" x14ac:dyDescent="0.2">
      <c r="A88" s="71" t="s">
        <v>77</v>
      </c>
      <c r="B88" s="71"/>
      <c r="C88" s="71"/>
      <c r="D88" s="71"/>
    </row>
    <row r="89" spans="1:4" x14ac:dyDescent="0.2">
      <c r="A89" s="3"/>
    </row>
    <row r="90" spans="1:4" x14ac:dyDescent="0.2">
      <c r="A90" s="30" t="s">
        <v>51</v>
      </c>
      <c r="B90" s="72" t="s">
        <v>78</v>
      </c>
      <c r="C90" s="72"/>
      <c r="D90" s="30" t="s">
        <v>3</v>
      </c>
    </row>
    <row r="91" spans="1:4" x14ac:dyDescent="0.2">
      <c r="A91" s="32" t="s">
        <v>4</v>
      </c>
      <c r="B91" s="29" t="s">
        <v>79</v>
      </c>
      <c r="C91" s="9">
        <f>TRUNC(((1+1/3)/12)/12,4)</f>
        <v>9.1999999999999998E-3</v>
      </c>
      <c r="D91" s="13">
        <f>TRUNC(($D$26+$D$70+$D$82)*C91,2)</f>
        <v>32.299999999999997</v>
      </c>
    </row>
    <row r="92" spans="1:4" x14ac:dyDescent="0.2">
      <c r="A92" s="32" t="s">
        <v>6</v>
      </c>
      <c r="B92" s="29" t="s">
        <v>80</v>
      </c>
      <c r="C92" s="9">
        <f>TRUNC(((2/30)/12),4)</f>
        <v>5.4999999999999997E-3</v>
      </c>
      <c r="D92" s="13">
        <f t="shared" ref="D92:D96" si="2">TRUNC(($D$26+$D$70+$D$82)*C92,2)</f>
        <v>19.309999999999999</v>
      </c>
    </row>
    <row r="93" spans="1:4" x14ac:dyDescent="0.2">
      <c r="A93" s="32" t="s">
        <v>8</v>
      </c>
      <c r="B93" s="29" t="s">
        <v>81</v>
      </c>
      <c r="C93" s="9">
        <f>TRUNC(((5/30)/12)*2%,4)</f>
        <v>2.0000000000000001E-4</v>
      </c>
      <c r="D93" s="13">
        <f t="shared" si="2"/>
        <v>0.7</v>
      </c>
    </row>
    <row r="94" spans="1:4" x14ac:dyDescent="0.2">
      <c r="A94" s="32" t="s">
        <v>10</v>
      </c>
      <c r="B94" s="29" t="s">
        <v>82</v>
      </c>
      <c r="C94" s="9">
        <f>TRUNC(((15/30)/12)*8%,4)</f>
        <v>3.3E-3</v>
      </c>
      <c r="D94" s="13">
        <f t="shared" si="2"/>
        <v>11.58</v>
      </c>
    </row>
    <row r="95" spans="1:4" x14ac:dyDescent="0.2">
      <c r="A95" s="32" t="s">
        <v>12</v>
      </c>
      <c r="B95" s="29" t="s">
        <v>83</v>
      </c>
      <c r="C95" s="9">
        <f>((1+1/3)/12)*3%*(4/12)</f>
        <v>1.1111111111111109E-3</v>
      </c>
      <c r="D95" s="13">
        <f t="shared" si="2"/>
        <v>3.9</v>
      </c>
    </row>
    <row r="96" spans="1:4" x14ac:dyDescent="0.2">
      <c r="A96" s="32" t="s">
        <v>32</v>
      </c>
      <c r="B96" s="29" t="s">
        <v>84</v>
      </c>
      <c r="C96" s="9"/>
      <c r="D96" s="13">
        <f t="shared" si="2"/>
        <v>0</v>
      </c>
    </row>
    <row r="97" spans="1:6" x14ac:dyDescent="0.2">
      <c r="A97" s="70" t="s">
        <v>37</v>
      </c>
      <c r="B97" s="70"/>
      <c r="C97" s="70"/>
      <c r="D97" s="19">
        <f>SUM(D91:D96)</f>
        <v>67.790000000000006</v>
      </c>
      <c r="E97" s="17"/>
      <c r="F97" s="17"/>
    </row>
    <row r="100" spans="1:6" x14ac:dyDescent="0.2">
      <c r="A100" s="71" t="s">
        <v>85</v>
      </c>
      <c r="B100" s="71"/>
      <c r="C100" s="71"/>
      <c r="D100" s="71"/>
    </row>
    <row r="101" spans="1:6" x14ac:dyDescent="0.2">
      <c r="A101" s="3"/>
    </row>
    <row r="102" spans="1:6" x14ac:dyDescent="0.2">
      <c r="A102" s="30" t="s">
        <v>52</v>
      </c>
      <c r="B102" s="72" t="s">
        <v>86</v>
      </c>
      <c r="C102" s="72"/>
      <c r="D102" s="30" t="s">
        <v>3</v>
      </c>
    </row>
    <row r="103" spans="1:6" x14ac:dyDescent="0.2">
      <c r="A103" s="32" t="s">
        <v>4</v>
      </c>
      <c r="B103" s="80" t="s">
        <v>87</v>
      </c>
      <c r="C103" s="81"/>
      <c r="D103" s="13">
        <f>((D26+D70+D82)/220)*22*0</f>
        <v>0</v>
      </c>
    </row>
    <row r="104" spans="1:6" x14ac:dyDescent="0.2">
      <c r="A104" s="70" t="s">
        <v>16</v>
      </c>
      <c r="B104" s="70"/>
      <c r="C104" s="70"/>
      <c r="D104" s="19">
        <f>SUM(D103)</f>
        <v>0</v>
      </c>
    </row>
    <row r="107" spans="1:6" x14ac:dyDescent="0.2">
      <c r="A107" s="71" t="s">
        <v>53</v>
      </c>
      <c r="B107" s="71"/>
      <c r="C107" s="71"/>
      <c r="D107" s="71"/>
    </row>
    <row r="108" spans="1:6" x14ac:dyDescent="0.2">
      <c r="A108" s="3"/>
    </row>
    <row r="109" spans="1:6" x14ac:dyDescent="0.2">
      <c r="A109" s="30">
        <v>4</v>
      </c>
      <c r="B109" s="70" t="s">
        <v>54</v>
      </c>
      <c r="C109" s="70"/>
      <c r="D109" s="30" t="s">
        <v>3</v>
      </c>
    </row>
    <row r="110" spans="1:6" x14ac:dyDescent="0.2">
      <c r="A110" s="32" t="s">
        <v>51</v>
      </c>
      <c r="B110" s="69" t="s">
        <v>78</v>
      </c>
      <c r="C110" s="69"/>
      <c r="D110" s="14">
        <f>D97</f>
        <v>67.790000000000006</v>
      </c>
    </row>
    <row r="111" spans="1:6" x14ac:dyDescent="0.2">
      <c r="A111" s="32" t="s">
        <v>52</v>
      </c>
      <c r="B111" s="69" t="s">
        <v>86</v>
      </c>
      <c r="C111" s="69"/>
      <c r="D111" s="14">
        <f>D104</f>
        <v>0</v>
      </c>
    </row>
    <row r="112" spans="1:6" x14ac:dyDescent="0.2">
      <c r="A112" s="70" t="s">
        <v>16</v>
      </c>
      <c r="B112" s="70"/>
      <c r="C112" s="70"/>
      <c r="D112" s="19">
        <f>SUM(D110:D111)</f>
        <v>67.790000000000006</v>
      </c>
    </row>
    <row r="115" spans="1:4" x14ac:dyDescent="0.2">
      <c r="A115" s="73" t="s">
        <v>55</v>
      </c>
      <c r="B115" s="73"/>
      <c r="C115" s="73"/>
      <c r="D115" s="73"/>
    </row>
    <row r="117" spans="1:4" x14ac:dyDescent="0.2">
      <c r="A117" s="30">
        <v>5</v>
      </c>
      <c r="B117" s="82" t="s">
        <v>56</v>
      </c>
      <c r="C117" s="82"/>
      <c r="D117" s="30" t="s">
        <v>3</v>
      </c>
    </row>
    <row r="118" spans="1:4" x14ac:dyDescent="0.2">
      <c r="A118" s="32" t="s">
        <v>4</v>
      </c>
      <c r="B118" s="29" t="s">
        <v>57</v>
      </c>
      <c r="C118" s="29"/>
      <c r="D118" s="13">
        <v>31.46</v>
      </c>
    </row>
    <row r="119" spans="1:4" x14ac:dyDescent="0.2">
      <c r="A119" s="32" t="s">
        <v>6</v>
      </c>
      <c r="B119" s="29" t="s">
        <v>58</v>
      </c>
      <c r="C119" s="29"/>
      <c r="D119" s="13"/>
    </row>
    <row r="120" spans="1:4" x14ac:dyDescent="0.2">
      <c r="A120" s="32" t="s">
        <v>8</v>
      </c>
      <c r="B120" s="29" t="s">
        <v>59</v>
      </c>
      <c r="C120" s="29"/>
      <c r="D120" s="13"/>
    </row>
    <row r="121" spans="1:4" x14ac:dyDescent="0.2">
      <c r="A121" s="32" t="s">
        <v>10</v>
      </c>
      <c r="B121" s="29" t="s">
        <v>15</v>
      </c>
      <c r="C121" s="29"/>
      <c r="D121" s="13"/>
    </row>
    <row r="122" spans="1:4" x14ac:dyDescent="0.2">
      <c r="A122" s="70" t="s">
        <v>37</v>
      </c>
      <c r="B122" s="70"/>
      <c r="C122" s="70"/>
      <c r="D122" s="20">
        <f>SUM(D118:D121)</f>
        <v>31.46</v>
      </c>
    </row>
    <row r="125" spans="1:4" x14ac:dyDescent="0.2">
      <c r="A125" s="73" t="s">
        <v>60</v>
      </c>
      <c r="B125" s="73"/>
      <c r="C125" s="73"/>
      <c r="D125" s="73"/>
    </row>
    <row r="127" spans="1:4" x14ac:dyDescent="0.2">
      <c r="A127" s="30">
        <v>6</v>
      </c>
      <c r="B127" s="31" t="s">
        <v>61</v>
      </c>
      <c r="C127" s="30" t="s">
        <v>26</v>
      </c>
      <c r="D127" s="30" t="s">
        <v>3</v>
      </c>
    </row>
    <row r="128" spans="1:4" x14ac:dyDescent="0.2">
      <c r="A128" s="32" t="s">
        <v>4</v>
      </c>
      <c r="B128" s="29" t="s">
        <v>62</v>
      </c>
      <c r="C128" s="9">
        <v>0.02</v>
      </c>
      <c r="D128" s="14">
        <f>D148*C128</f>
        <v>72.221971999999994</v>
      </c>
    </row>
    <row r="129" spans="1:4" x14ac:dyDescent="0.2">
      <c r="A129" s="32" t="s">
        <v>6</v>
      </c>
      <c r="B129" s="29" t="s">
        <v>63</v>
      </c>
      <c r="C129" s="9">
        <v>0.03</v>
      </c>
      <c r="D129" s="13">
        <f>(D148+D128)*C129</f>
        <v>110.49961715999999</v>
      </c>
    </row>
    <row r="130" spans="1:4" x14ac:dyDescent="0.2">
      <c r="A130" s="32" t="s">
        <v>8</v>
      </c>
      <c r="B130" s="29" t="s">
        <v>64</v>
      </c>
      <c r="C130" s="12">
        <f>SUM(C131:C136)</f>
        <v>8.6499999999999994E-2</v>
      </c>
      <c r="D130" s="13">
        <f>(D148+D128+D129)*C130/(1-C130)</f>
        <v>359.23967855756973</v>
      </c>
    </row>
    <row r="131" spans="1:4" x14ac:dyDescent="0.2">
      <c r="A131" s="32"/>
      <c r="B131" s="29" t="s">
        <v>65</v>
      </c>
      <c r="C131" s="9"/>
      <c r="D131" s="14">
        <f>$D$150*C131</f>
        <v>0</v>
      </c>
    </row>
    <row r="132" spans="1:4" x14ac:dyDescent="0.2">
      <c r="A132" s="32"/>
      <c r="B132" s="29" t="s">
        <v>95</v>
      </c>
      <c r="C132" s="9">
        <v>6.4999999999999997E-3</v>
      </c>
      <c r="D132" s="14">
        <f t="shared" ref="D132:D136" si="3">$D$150*C132</f>
        <v>26.994890000000002</v>
      </c>
    </row>
    <row r="133" spans="1:4" x14ac:dyDescent="0.2">
      <c r="A133" s="32"/>
      <c r="B133" s="29" t="s">
        <v>96</v>
      </c>
      <c r="C133" s="9">
        <v>0.03</v>
      </c>
      <c r="D133" s="14">
        <f t="shared" si="3"/>
        <v>124.59180000000001</v>
      </c>
    </row>
    <row r="134" spans="1:4" x14ac:dyDescent="0.2">
      <c r="A134" s="32"/>
      <c r="B134" s="29" t="s">
        <v>66</v>
      </c>
      <c r="C134" s="32"/>
      <c r="D134" s="14">
        <f t="shared" si="3"/>
        <v>0</v>
      </c>
    </row>
    <row r="135" spans="1:4" x14ac:dyDescent="0.2">
      <c r="A135" s="32"/>
      <c r="B135" s="29" t="s">
        <v>67</v>
      </c>
      <c r="C135" s="9"/>
      <c r="D135" s="14">
        <f t="shared" si="3"/>
        <v>0</v>
      </c>
    </row>
    <row r="136" spans="1:4" x14ac:dyDescent="0.2">
      <c r="A136" s="32"/>
      <c r="B136" s="29" t="s">
        <v>97</v>
      </c>
      <c r="C136" s="9">
        <v>0.05</v>
      </c>
      <c r="D136" s="14">
        <f t="shared" si="3"/>
        <v>207.65300000000002</v>
      </c>
    </row>
    <row r="137" spans="1:4" ht="13.5" x14ac:dyDescent="0.2">
      <c r="A137" s="77" t="s">
        <v>37</v>
      </c>
      <c r="B137" s="78"/>
      <c r="C137" s="21">
        <f>(1+C129)*(1+C128)/(1-C130)-1</f>
        <v>0.15008210180623971</v>
      </c>
      <c r="D137" s="19">
        <f>SUM(D128:D130)</f>
        <v>541.96126771756974</v>
      </c>
    </row>
    <row r="140" spans="1:4" x14ac:dyDescent="0.2">
      <c r="A140" s="73" t="s">
        <v>68</v>
      </c>
      <c r="B140" s="73"/>
      <c r="C140" s="73"/>
      <c r="D140" s="73"/>
    </row>
    <row r="142" spans="1:4" x14ac:dyDescent="0.2">
      <c r="A142" s="30"/>
      <c r="B142" s="70" t="s">
        <v>69</v>
      </c>
      <c r="C142" s="70"/>
      <c r="D142" s="30" t="s">
        <v>3</v>
      </c>
    </row>
    <row r="143" spans="1:4" x14ac:dyDescent="0.2">
      <c r="A143" s="30" t="s">
        <v>4</v>
      </c>
      <c r="B143" s="69" t="s">
        <v>1</v>
      </c>
      <c r="C143" s="69"/>
      <c r="D143" s="22">
        <f>D26</f>
        <v>1593.19</v>
      </c>
    </row>
    <row r="144" spans="1:4" x14ac:dyDescent="0.2">
      <c r="A144" s="30" t="s">
        <v>6</v>
      </c>
      <c r="B144" s="69" t="s">
        <v>17</v>
      </c>
      <c r="C144" s="69"/>
      <c r="D144" s="22">
        <f>D70</f>
        <v>1820.5485999999999</v>
      </c>
    </row>
    <row r="145" spans="1:4" x14ac:dyDescent="0.2">
      <c r="A145" s="30" t="s">
        <v>8</v>
      </c>
      <c r="B145" s="69" t="s">
        <v>45</v>
      </c>
      <c r="C145" s="69"/>
      <c r="D145" s="22">
        <f>D82</f>
        <v>98.11</v>
      </c>
    </row>
    <row r="146" spans="1:4" x14ac:dyDescent="0.2">
      <c r="A146" s="30" t="s">
        <v>10</v>
      </c>
      <c r="B146" s="69" t="s">
        <v>50</v>
      </c>
      <c r="C146" s="69"/>
      <c r="D146" s="22">
        <f>D112</f>
        <v>67.790000000000006</v>
      </c>
    </row>
    <row r="147" spans="1:4" x14ac:dyDescent="0.2">
      <c r="A147" s="30" t="s">
        <v>12</v>
      </c>
      <c r="B147" s="69" t="s">
        <v>55</v>
      </c>
      <c r="C147" s="69"/>
      <c r="D147" s="22">
        <f>D122</f>
        <v>31.46</v>
      </c>
    </row>
    <row r="148" spans="1:4" x14ac:dyDescent="0.2">
      <c r="A148" s="70" t="s">
        <v>94</v>
      </c>
      <c r="B148" s="70"/>
      <c r="C148" s="70"/>
      <c r="D148" s="23">
        <f>SUM(D143:D147)</f>
        <v>3611.0985999999998</v>
      </c>
    </row>
    <row r="149" spans="1:4" x14ac:dyDescent="0.2">
      <c r="A149" s="30" t="s">
        <v>32</v>
      </c>
      <c r="B149" s="69" t="s">
        <v>70</v>
      </c>
      <c r="C149" s="69"/>
      <c r="D149" s="24">
        <f>D137</f>
        <v>541.96126771756974</v>
      </c>
    </row>
    <row r="150" spans="1:4" x14ac:dyDescent="0.2">
      <c r="A150" s="70" t="s">
        <v>71</v>
      </c>
      <c r="B150" s="70"/>
      <c r="C150" s="70"/>
      <c r="D150" s="23">
        <f>ROUND(SUM(D148:D149),2)</f>
        <v>4153.0600000000004</v>
      </c>
    </row>
  </sheetData>
  <mergeCells count="71">
    <mergeCell ref="C10:D10"/>
    <mergeCell ref="A1:D1"/>
    <mergeCell ref="A3:D3"/>
    <mergeCell ref="A5:B5"/>
    <mergeCell ref="A6:B6"/>
    <mergeCell ref="A8:D8"/>
    <mergeCell ref="B24:C24"/>
    <mergeCell ref="C11:D11"/>
    <mergeCell ref="C12:D12"/>
    <mergeCell ref="C13:D13"/>
    <mergeCell ref="C14:D14"/>
    <mergeCell ref="A16:D16"/>
    <mergeCell ref="B18:C18"/>
    <mergeCell ref="B19:C19"/>
    <mergeCell ref="B20:C20"/>
    <mergeCell ref="B21:C21"/>
    <mergeCell ref="B22:C22"/>
    <mergeCell ref="B23:C23"/>
    <mergeCell ref="B57:C57"/>
    <mergeCell ref="B25:C25"/>
    <mergeCell ref="A26:C26"/>
    <mergeCell ref="A29:D29"/>
    <mergeCell ref="A31:D31"/>
    <mergeCell ref="B33:C33"/>
    <mergeCell ref="A36:B36"/>
    <mergeCell ref="A39:D39"/>
    <mergeCell ref="A50:B50"/>
    <mergeCell ref="A53:D53"/>
    <mergeCell ref="B55:C55"/>
    <mergeCell ref="B56:C56"/>
    <mergeCell ref="B75:C75"/>
    <mergeCell ref="B58:C58"/>
    <mergeCell ref="B59:C59"/>
    <mergeCell ref="B60:C60"/>
    <mergeCell ref="A61:C61"/>
    <mergeCell ref="A64:D64"/>
    <mergeCell ref="B66:C66"/>
    <mergeCell ref="B67:C67"/>
    <mergeCell ref="B68:C68"/>
    <mergeCell ref="B69:C69"/>
    <mergeCell ref="A70:C70"/>
    <mergeCell ref="A73:D73"/>
    <mergeCell ref="B110:C110"/>
    <mergeCell ref="A82:C82"/>
    <mergeCell ref="A85:D85"/>
    <mergeCell ref="A88:D88"/>
    <mergeCell ref="B90:C90"/>
    <mergeCell ref="A97:C97"/>
    <mergeCell ref="A100:D100"/>
    <mergeCell ref="B102:C102"/>
    <mergeCell ref="B103:C103"/>
    <mergeCell ref="A104:C104"/>
    <mergeCell ref="A107:D107"/>
    <mergeCell ref="B109:C109"/>
    <mergeCell ref="B145:C145"/>
    <mergeCell ref="B111:C111"/>
    <mergeCell ref="A112:C112"/>
    <mergeCell ref="A115:D115"/>
    <mergeCell ref="B117:C117"/>
    <mergeCell ref="A122:C122"/>
    <mergeCell ref="A125:D125"/>
    <mergeCell ref="A137:B137"/>
    <mergeCell ref="A140:D140"/>
    <mergeCell ref="B142:C142"/>
    <mergeCell ref="B143:C143"/>
    <mergeCell ref="B144:C144"/>
    <mergeCell ref="B146:C146"/>
    <mergeCell ref="B147:C147"/>
    <mergeCell ref="A148:C148"/>
    <mergeCell ref="B149:C149"/>
    <mergeCell ref="A150:C150"/>
  </mergeCells>
  <pageMargins left="0.51181102362204722" right="0.51181102362204722" top="0.98425196850393704" bottom="0.78740157480314965" header="0.31496062992125984" footer="0.31496062992125984"/>
  <pageSetup paperSize="9" scale="84" fitToHeight="0" orientation="portrait" r:id="rId1"/>
  <headerFooter>
    <oddHeader>&amp;C&amp;G</oddHeader>
    <oddFooter>&amp;L&amp;"-,Negrito"Documento elaborado em &amp;D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0"/>
  <sheetViews>
    <sheetView view="pageBreakPreview" zoomScaleNormal="115" zoomScaleSheetLayoutView="100" workbookViewId="0">
      <selection activeCell="C130" sqref="C130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74" t="s">
        <v>0</v>
      </c>
      <c r="B1" s="74"/>
      <c r="C1" s="74"/>
      <c r="D1" s="74"/>
    </row>
    <row r="2" spans="1:4" ht="15.75" x14ac:dyDescent="0.25">
      <c r="A2" s="26"/>
      <c r="B2" s="26"/>
      <c r="C2" s="26"/>
      <c r="D2" s="26"/>
    </row>
    <row r="3" spans="1:4" x14ac:dyDescent="0.2">
      <c r="A3" s="76" t="s">
        <v>88</v>
      </c>
      <c r="B3" s="76"/>
      <c r="C3" s="76"/>
      <c r="D3" s="76"/>
    </row>
    <row r="4" spans="1:4" x14ac:dyDescent="0.2">
      <c r="A4" s="2"/>
      <c r="B4" s="2"/>
      <c r="C4" s="2"/>
      <c r="D4" s="2"/>
    </row>
    <row r="5" spans="1:4" ht="38.25" x14ac:dyDescent="0.2">
      <c r="A5" s="83" t="s">
        <v>89</v>
      </c>
      <c r="B5" s="83"/>
      <c r="C5" s="32" t="s">
        <v>90</v>
      </c>
      <c r="D5" s="27" t="s">
        <v>91</v>
      </c>
    </row>
    <row r="6" spans="1:4" x14ac:dyDescent="0.2">
      <c r="A6" s="84" t="s">
        <v>116</v>
      </c>
      <c r="B6" s="84"/>
      <c r="C6" s="33" t="s">
        <v>101</v>
      </c>
      <c r="D6" s="33">
        <v>6</v>
      </c>
    </row>
    <row r="8" spans="1:4" x14ac:dyDescent="0.2">
      <c r="A8" s="76" t="s">
        <v>72</v>
      </c>
      <c r="B8" s="76"/>
      <c r="C8" s="76"/>
      <c r="D8" s="76"/>
    </row>
    <row r="9" spans="1:4" x14ac:dyDescent="0.2">
      <c r="A9" s="2"/>
      <c r="B9" s="2"/>
      <c r="C9" s="2"/>
      <c r="D9" s="2"/>
    </row>
    <row r="10" spans="1:4" x14ac:dyDescent="0.2">
      <c r="A10" s="5">
        <v>1</v>
      </c>
      <c r="B10" s="5" t="s">
        <v>73</v>
      </c>
      <c r="C10" s="85" t="s">
        <v>116</v>
      </c>
      <c r="D10" s="86"/>
    </row>
    <row r="11" spans="1:4" x14ac:dyDescent="0.2">
      <c r="A11" s="5">
        <v>2</v>
      </c>
      <c r="B11" s="5" t="s">
        <v>92</v>
      </c>
      <c r="C11" s="85" t="s">
        <v>117</v>
      </c>
      <c r="D11" s="86"/>
    </row>
    <row r="12" spans="1:4" x14ac:dyDescent="0.2">
      <c r="A12" s="5">
        <v>3</v>
      </c>
      <c r="B12" s="5" t="s">
        <v>74</v>
      </c>
      <c r="C12" s="87">
        <v>1544.58</v>
      </c>
      <c r="D12" s="86"/>
    </row>
    <row r="13" spans="1:4" x14ac:dyDescent="0.2">
      <c r="A13" s="5">
        <v>4</v>
      </c>
      <c r="B13" s="5" t="s">
        <v>75</v>
      </c>
      <c r="C13" s="85"/>
      <c r="D13" s="86"/>
    </row>
    <row r="14" spans="1:4" x14ac:dyDescent="0.2">
      <c r="A14" s="5">
        <v>5</v>
      </c>
      <c r="B14" s="5" t="s">
        <v>76</v>
      </c>
      <c r="C14" s="85"/>
      <c r="D14" s="86"/>
    </row>
    <row r="16" spans="1:4" x14ac:dyDescent="0.2">
      <c r="A16" s="76" t="s">
        <v>1</v>
      </c>
      <c r="B16" s="76"/>
      <c r="C16" s="76"/>
      <c r="D16" s="76"/>
    </row>
    <row r="18" spans="1:4" x14ac:dyDescent="0.2">
      <c r="A18" s="30">
        <v>1</v>
      </c>
      <c r="B18" s="70" t="s">
        <v>2</v>
      </c>
      <c r="C18" s="70"/>
      <c r="D18" s="30" t="s">
        <v>3</v>
      </c>
    </row>
    <row r="19" spans="1:4" x14ac:dyDescent="0.2">
      <c r="A19" s="32" t="s">
        <v>4</v>
      </c>
      <c r="B19" s="69" t="s">
        <v>5</v>
      </c>
      <c r="C19" s="69"/>
      <c r="D19" s="13">
        <v>1544.58</v>
      </c>
    </row>
    <row r="20" spans="1:4" x14ac:dyDescent="0.2">
      <c r="A20" s="32" t="s">
        <v>6</v>
      </c>
      <c r="B20" s="69" t="s">
        <v>7</v>
      </c>
      <c r="C20" s="69"/>
      <c r="D20" s="13"/>
    </row>
    <row r="21" spans="1:4" x14ac:dyDescent="0.2">
      <c r="A21" s="32" t="s">
        <v>8</v>
      </c>
      <c r="B21" s="69" t="s">
        <v>9</v>
      </c>
      <c r="C21" s="69"/>
      <c r="D21" s="13"/>
    </row>
    <row r="22" spans="1:4" x14ac:dyDescent="0.2">
      <c r="A22" s="32" t="s">
        <v>10</v>
      </c>
      <c r="B22" s="69" t="s">
        <v>11</v>
      </c>
      <c r="C22" s="69"/>
      <c r="D22" s="13"/>
    </row>
    <row r="23" spans="1:4" x14ac:dyDescent="0.2">
      <c r="A23" s="32" t="s">
        <v>12</v>
      </c>
      <c r="B23" s="69" t="s">
        <v>13</v>
      </c>
      <c r="C23" s="69"/>
      <c r="D23" s="13"/>
    </row>
    <row r="24" spans="1:4" x14ac:dyDescent="0.2">
      <c r="A24" s="32"/>
      <c r="B24" s="69"/>
      <c r="C24" s="69"/>
      <c r="D24" s="13"/>
    </row>
    <row r="25" spans="1:4" x14ac:dyDescent="0.2">
      <c r="A25" s="32" t="s">
        <v>14</v>
      </c>
      <c r="B25" s="69" t="s">
        <v>15</v>
      </c>
      <c r="C25" s="69"/>
      <c r="D25" s="13"/>
    </row>
    <row r="26" spans="1:4" x14ac:dyDescent="0.2">
      <c r="A26" s="70" t="s">
        <v>16</v>
      </c>
      <c r="B26" s="70"/>
      <c r="C26" s="70"/>
      <c r="D26" s="20">
        <f>SUM(D19:D25)</f>
        <v>1544.58</v>
      </c>
    </row>
    <row r="29" spans="1:4" x14ac:dyDescent="0.2">
      <c r="A29" s="73" t="s">
        <v>17</v>
      </c>
      <c r="B29" s="73"/>
      <c r="C29" s="73"/>
      <c r="D29" s="73"/>
    </row>
    <row r="30" spans="1:4" x14ac:dyDescent="0.2">
      <c r="A30" s="3"/>
    </row>
    <row r="31" spans="1:4" x14ac:dyDescent="0.2">
      <c r="A31" s="71" t="s">
        <v>18</v>
      </c>
      <c r="B31" s="71"/>
      <c r="C31" s="71"/>
      <c r="D31" s="71"/>
    </row>
    <row r="33" spans="1:4" x14ac:dyDescent="0.2">
      <c r="A33" s="30" t="s">
        <v>19</v>
      </c>
      <c r="B33" s="70" t="s">
        <v>20</v>
      </c>
      <c r="C33" s="70"/>
      <c r="D33" s="30" t="s">
        <v>3</v>
      </c>
    </row>
    <row r="34" spans="1:4" x14ac:dyDescent="0.2">
      <c r="A34" s="32" t="s">
        <v>4</v>
      </c>
      <c r="B34" s="29" t="s">
        <v>21</v>
      </c>
      <c r="C34" s="12">
        <f>TRUNC(1/12,4)</f>
        <v>8.3299999999999999E-2</v>
      </c>
      <c r="D34" s="13">
        <f>TRUNC($D$26*C34,2)</f>
        <v>128.66</v>
      </c>
    </row>
    <row r="35" spans="1:4" x14ac:dyDescent="0.2">
      <c r="A35" s="32" t="s">
        <v>6</v>
      </c>
      <c r="B35" s="29" t="s">
        <v>22</v>
      </c>
      <c r="C35" s="12">
        <f>TRUNC(((1+1/3)/12),4)</f>
        <v>0.1111</v>
      </c>
      <c r="D35" s="13">
        <f>TRUNC($D$26*C35,2)</f>
        <v>171.6</v>
      </c>
    </row>
    <row r="36" spans="1:4" x14ac:dyDescent="0.2">
      <c r="A36" s="70" t="s">
        <v>16</v>
      </c>
      <c r="B36" s="70"/>
      <c r="C36" s="28">
        <f>SUM(C34:C35)</f>
        <v>0.19440000000000002</v>
      </c>
      <c r="D36" s="19">
        <f>SUM(D34:D35)</f>
        <v>300.26</v>
      </c>
    </row>
    <row r="39" spans="1:4" x14ac:dyDescent="0.2">
      <c r="A39" s="75" t="s">
        <v>23</v>
      </c>
      <c r="B39" s="75"/>
      <c r="C39" s="75"/>
      <c r="D39" s="75"/>
    </row>
    <row r="41" spans="1:4" x14ac:dyDescent="0.2">
      <c r="A41" s="30" t="s">
        <v>24</v>
      </c>
      <c r="B41" s="30" t="s">
        <v>25</v>
      </c>
      <c r="C41" s="30" t="s">
        <v>26</v>
      </c>
      <c r="D41" s="30" t="s">
        <v>3</v>
      </c>
    </row>
    <row r="42" spans="1:4" x14ac:dyDescent="0.2">
      <c r="A42" s="32" t="s">
        <v>4</v>
      </c>
      <c r="B42" s="29" t="s">
        <v>27</v>
      </c>
      <c r="C42" s="9">
        <v>0.2</v>
      </c>
      <c r="D42" s="13">
        <f>TRUNC(($D$26+$D$36)*C42,2)</f>
        <v>368.96</v>
      </c>
    </row>
    <row r="43" spans="1:4" x14ac:dyDescent="0.2">
      <c r="A43" s="32" t="s">
        <v>6</v>
      </c>
      <c r="B43" s="29" t="s">
        <v>28</v>
      </c>
      <c r="C43" s="9">
        <v>2.5000000000000001E-2</v>
      </c>
      <c r="D43" s="13">
        <f t="shared" ref="D43:D49" si="0">TRUNC(($D$26+$D$36)*C43,2)</f>
        <v>46.12</v>
      </c>
    </row>
    <row r="44" spans="1:4" x14ac:dyDescent="0.2">
      <c r="A44" s="32" t="s">
        <v>8</v>
      </c>
      <c r="B44" s="29" t="s">
        <v>29</v>
      </c>
      <c r="C44" s="16">
        <v>0.03</v>
      </c>
      <c r="D44" s="13">
        <f t="shared" si="0"/>
        <v>55.34</v>
      </c>
    </row>
    <row r="45" spans="1:4" x14ac:dyDescent="0.2">
      <c r="A45" s="32" t="s">
        <v>10</v>
      </c>
      <c r="B45" s="29" t="s">
        <v>30</v>
      </c>
      <c r="C45" s="9">
        <v>1.4999999999999999E-2</v>
      </c>
      <c r="D45" s="13">
        <f t="shared" si="0"/>
        <v>27.67</v>
      </c>
    </row>
    <row r="46" spans="1:4" x14ac:dyDescent="0.2">
      <c r="A46" s="32" t="s">
        <v>12</v>
      </c>
      <c r="B46" s="29" t="s">
        <v>31</v>
      </c>
      <c r="C46" s="9">
        <v>0.01</v>
      </c>
      <c r="D46" s="13">
        <f t="shared" si="0"/>
        <v>18.440000000000001</v>
      </c>
    </row>
    <row r="47" spans="1:4" x14ac:dyDescent="0.2">
      <c r="A47" s="32" t="s">
        <v>32</v>
      </c>
      <c r="B47" s="29" t="s">
        <v>33</v>
      </c>
      <c r="C47" s="9">
        <v>6.0000000000000001E-3</v>
      </c>
      <c r="D47" s="13">
        <f t="shared" si="0"/>
        <v>11.06</v>
      </c>
    </row>
    <row r="48" spans="1:4" x14ac:dyDescent="0.2">
      <c r="A48" s="32" t="s">
        <v>14</v>
      </c>
      <c r="B48" s="29" t="s">
        <v>34</v>
      </c>
      <c r="C48" s="9">
        <v>2E-3</v>
      </c>
      <c r="D48" s="13">
        <f t="shared" si="0"/>
        <v>3.68</v>
      </c>
    </row>
    <row r="49" spans="1:4" x14ac:dyDescent="0.2">
      <c r="A49" s="32" t="s">
        <v>35</v>
      </c>
      <c r="B49" s="29" t="s">
        <v>36</v>
      </c>
      <c r="C49" s="9">
        <v>0.08</v>
      </c>
      <c r="D49" s="13">
        <f t="shared" si="0"/>
        <v>147.58000000000001</v>
      </c>
    </row>
    <row r="50" spans="1:4" x14ac:dyDescent="0.2">
      <c r="A50" s="70" t="s">
        <v>37</v>
      </c>
      <c r="B50" s="70"/>
      <c r="C50" s="15">
        <f>SUM(C42:C49)</f>
        <v>0.36800000000000005</v>
      </c>
      <c r="D50" s="19">
        <f>SUM(D42:D49)</f>
        <v>678.84999999999991</v>
      </c>
    </row>
    <row r="53" spans="1:4" x14ac:dyDescent="0.2">
      <c r="A53" s="71" t="s">
        <v>38</v>
      </c>
      <c r="B53" s="71"/>
      <c r="C53" s="71"/>
      <c r="D53" s="71"/>
    </row>
    <row r="55" spans="1:4" x14ac:dyDescent="0.2">
      <c r="A55" s="30" t="s">
        <v>39</v>
      </c>
      <c r="B55" s="72" t="s">
        <v>40</v>
      </c>
      <c r="C55" s="72"/>
      <c r="D55" s="30" t="s">
        <v>3</v>
      </c>
    </row>
    <row r="56" spans="1:4" x14ac:dyDescent="0.2">
      <c r="A56" s="32" t="s">
        <v>4</v>
      </c>
      <c r="B56" s="69" t="s">
        <v>41</v>
      </c>
      <c r="C56" s="69"/>
      <c r="D56" s="13">
        <f>IF((22*2*5.6)-(D19*0.06)&gt;0,(22*2*5.6)-(D19*0.06),0)</f>
        <v>153.72519999999997</v>
      </c>
    </row>
    <row r="57" spans="1:4" x14ac:dyDescent="0.2">
      <c r="A57" s="32" t="s">
        <v>6</v>
      </c>
      <c r="B57" s="69" t="s">
        <v>42</v>
      </c>
      <c r="C57" s="69"/>
      <c r="D57" s="13">
        <f>20*0.8*22</f>
        <v>352</v>
      </c>
    </row>
    <row r="58" spans="1:4" x14ac:dyDescent="0.2">
      <c r="A58" s="32" t="s">
        <v>8</v>
      </c>
      <c r="B58" s="69" t="s">
        <v>103</v>
      </c>
      <c r="C58" s="69"/>
      <c r="D58" s="13">
        <v>280</v>
      </c>
    </row>
    <row r="59" spans="1:4" x14ac:dyDescent="0.2">
      <c r="A59" s="32" t="s">
        <v>10</v>
      </c>
      <c r="B59" s="69" t="s">
        <v>104</v>
      </c>
      <c r="C59" s="69"/>
      <c r="D59" s="13">
        <v>23</v>
      </c>
    </row>
    <row r="60" spans="1:4" x14ac:dyDescent="0.2">
      <c r="A60" s="32" t="s">
        <v>12</v>
      </c>
      <c r="B60" s="69" t="s">
        <v>105</v>
      </c>
      <c r="C60" s="69"/>
      <c r="D60" s="13">
        <v>4.8</v>
      </c>
    </row>
    <row r="61" spans="1:4" x14ac:dyDescent="0.2">
      <c r="A61" s="70" t="s">
        <v>16</v>
      </c>
      <c r="B61" s="70"/>
      <c r="C61" s="70"/>
      <c r="D61" s="19">
        <f>SUM(D56:D60)</f>
        <v>813.52519999999993</v>
      </c>
    </row>
    <row r="64" spans="1:4" x14ac:dyDescent="0.2">
      <c r="A64" s="71" t="s">
        <v>43</v>
      </c>
      <c r="B64" s="71"/>
      <c r="C64" s="71"/>
      <c r="D64" s="71"/>
    </row>
    <row r="66" spans="1:5" x14ac:dyDescent="0.2">
      <c r="A66" s="30">
        <v>2</v>
      </c>
      <c r="B66" s="72" t="s">
        <v>44</v>
      </c>
      <c r="C66" s="72"/>
      <c r="D66" s="30" t="s">
        <v>3</v>
      </c>
    </row>
    <row r="67" spans="1:5" x14ac:dyDescent="0.2">
      <c r="A67" s="32" t="s">
        <v>19</v>
      </c>
      <c r="B67" s="69" t="s">
        <v>20</v>
      </c>
      <c r="C67" s="69"/>
      <c r="D67" s="14">
        <f>D36</f>
        <v>300.26</v>
      </c>
    </row>
    <row r="68" spans="1:5" x14ac:dyDescent="0.2">
      <c r="A68" s="32" t="s">
        <v>24</v>
      </c>
      <c r="B68" s="69" t="s">
        <v>25</v>
      </c>
      <c r="C68" s="69"/>
      <c r="D68" s="14">
        <f>D50</f>
        <v>678.84999999999991</v>
      </c>
    </row>
    <row r="69" spans="1:5" x14ac:dyDescent="0.2">
      <c r="A69" s="32" t="s">
        <v>39</v>
      </c>
      <c r="B69" s="69" t="s">
        <v>40</v>
      </c>
      <c r="C69" s="69"/>
      <c r="D69" s="14">
        <f>D61</f>
        <v>813.52519999999993</v>
      </c>
    </row>
    <row r="70" spans="1:5" x14ac:dyDescent="0.2">
      <c r="A70" s="70" t="s">
        <v>16</v>
      </c>
      <c r="B70" s="70"/>
      <c r="C70" s="70"/>
      <c r="D70" s="19">
        <f>SUM(D67:D69)</f>
        <v>1792.6351999999997</v>
      </c>
    </row>
    <row r="71" spans="1:5" x14ac:dyDescent="0.2">
      <c r="A71" s="4"/>
      <c r="E71" s="18"/>
    </row>
    <row r="73" spans="1:5" x14ac:dyDescent="0.2">
      <c r="A73" s="73" t="s">
        <v>45</v>
      </c>
      <c r="B73" s="73"/>
      <c r="C73" s="73"/>
      <c r="D73" s="73"/>
      <c r="E73" s="17"/>
    </row>
    <row r="74" spans="1:5" ht="12.75" customHeight="1" x14ac:dyDescent="0.2">
      <c r="E74" s="18"/>
    </row>
    <row r="75" spans="1:5" x14ac:dyDescent="0.2">
      <c r="A75" s="30">
        <v>3</v>
      </c>
      <c r="B75" s="72" t="s">
        <v>46</v>
      </c>
      <c r="C75" s="72"/>
      <c r="D75" s="30" t="s">
        <v>3</v>
      </c>
    </row>
    <row r="76" spans="1:5" x14ac:dyDescent="0.2">
      <c r="A76" s="32" t="s">
        <v>4</v>
      </c>
      <c r="B76" s="10" t="s">
        <v>47</v>
      </c>
      <c r="C76" s="9">
        <f>TRUNC(((1/12)*5%),4)</f>
        <v>4.1000000000000003E-3</v>
      </c>
      <c r="D76" s="13">
        <f>TRUNC($D$26*C76,2)</f>
        <v>6.33</v>
      </c>
    </row>
    <row r="77" spans="1:5" x14ac:dyDescent="0.2">
      <c r="A77" s="32" t="s">
        <v>6</v>
      </c>
      <c r="B77" s="10" t="s">
        <v>48</v>
      </c>
      <c r="C77" s="9">
        <v>0.08</v>
      </c>
      <c r="D77" s="13">
        <f>TRUNC(D76*C77,2)</f>
        <v>0.5</v>
      </c>
    </row>
    <row r="78" spans="1:5" x14ac:dyDescent="0.2">
      <c r="A78" s="32" t="s">
        <v>8</v>
      </c>
      <c r="B78" s="10" t="s">
        <v>98</v>
      </c>
      <c r="C78" s="9">
        <f>TRUNC(8%*5%*40%,4)</f>
        <v>1.6000000000000001E-3</v>
      </c>
      <c r="D78" s="13">
        <f>TRUNC($D$26*C78,2)</f>
        <v>2.4700000000000002</v>
      </c>
    </row>
    <row r="79" spans="1:5" x14ac:dyDescent="0.2">
      <c r="A79" s="32" t="s">
        <v>10</v>
      </c>
      <c r="B79" s="10" t="s">
        <v>49</v>
      </c>
      <c r="C79" s="9">
        <f>TRUNC(((7/30)/12)*95%,4)</f>
        <v>1.84E-2</v>
      </c>
      <c r="D79" s="13">
        <f>TRUNC($D$26*C79,2)</f>
        <v>28.42</v>
      </c>
    </row>
    <row r="80" spans="1:5" ht="25.5" x14ac:dyDescent="0.2">
      <c r="A80" s="32" t="s">
        <v>12</v>
      </c>
      <c r="B80" s="10" t="s">
        <v>93</v>
      </c>
      <c r="C80" s="9">
        <f>C50</f>
        <v>0.36800000000000005</v>
      </c>
      <c r="D80" s="13">
        <f>TRUNC(D79*C80,2)</f>
        <v>10.45</v>
      </c>
    </row>
    <row r="81" spans="1:4" x14ac:dyDescent="0.2">
      <c r="A81" s="32" t="s">
        <v>32</v>
      </c>
      <c r="B81" s="10" t="s">
        <v>99</v>
      </c>
      <c r="C81" s="9">
        <f>TRUNC(8%*95%*40%,4)</f>
        <v>3.04E-2</v>
      </c>
      <c r="D81" s="13">
        <f t="shared" ref="D81" si="1">TRUNC($D$26*C81,2)</f>
        <v>46.95</v>
      </c>
    </row>
    <row r="82" spans="1:4" x14ac:dyDescent="0.2">
      <c r="A82" s="77" t="s">
        <v>16</v>
      </c>
      <c r="B82" s="78"/>
      <c r="C82" s="79"/>
      <c r="D82" s="19">
        <f>SUM(D76:D81)</f>
        <v>95.12</v>
      </c>
    </row>
    <row r="85" spans="1:4" x14ac:dyDescent="0.2">
      <c r="A85" s="73" t="s">
        <v>50</v>
      </c>
      <c r="B85" s="73"/>
      <c r="C85" s="73"/>
      <c r="D85" s="73"/>
    </row>
    <row r="88" spans="1:4" x14ac:dyDescent="0.2">
      <c r="A88" s="71" t="s">
        <v>77</v>
      </c>
      <c r="B88" s="71"/>
      <c r="C88" s="71"/>
      <c r="D88" s="71"/>
    </row>
    <row r="89" spans="1:4" x14ac:dyDescent="0.2">
      <c r="A89" s="3"/>
    </row>
    <row r="90" spans="1:4" x14ac:dyDescent="0.2">
      <c r="A90" s="30" t="s">
        <v>51</v>
      </c>
      <c r="B90" s="72" t="s">
        <v>78</v>
      </c>
      <c r="C90" s="72"/>
      <c r="D90" s="30" t="s">
        <v>3</v>
      </c>
    </row>
    <row r="91" spans="1:4" x14ac:dyDescent="0.2">
      <c r="A91" s="32" t="s">
        <v>4</v>
      </c>
      <c r="B91" s="29" t="s">
        <v>79</v>
      </c>
      <c r="C91" s="9">
        <f>TRUNC(((1+1/3)/12)/12,4)</f>
        <v>9.1999999999999998E-3</v>
      </c>
      <c r="D91" s="13">
        <f>TRUNC(($D$26+$D$70+$D$82)*C91,2)</f>
        <v>31.57</v>
      </c>
    </row>
    <row r="92" spans="1:4" x14ac:dyDescent="0.2">
      <c r="A92" s="32" t="s">
        <v>6</v>
      </c>
      <c r="B92" s="29" t="s">
        <v>80</v>
      </c>
      <c r="C92" s="9">
        <f>TRUNC(((2/30)/12),4)</f>
        <v>5.4999999999999997E-3</v>
      </c>
      <c r="D92" s="13">
        <f t="shared" ref="D92:D96" si="2">TRUNC(($D$26+$D$70+$D$82)*C92,2)</f>
        <v>18.87</v>
      </c>
    </row>
    <row r="93" spans="1:4" x14ac:dyDescent="0.2">
      <c r="A93" s="32" t="s">
        <v>8</v>
      </c>
      <c r="B93" s="29" t="s">
        <v>81</v>
      </c>
      <c r="C93" s="9">
        <f>TRUNC(((5/30)/12)*2%,4)</f>
        <v>2.0000000000000001E-4</v>
      </c>
      <c r="D93" s="13">
        <f t="shared" si="2"/>
        <v>0.68</v>
      </c>
    </row>
    <row r="94" spans="1:4" x14ac:dyDescent="0.2">
      <c r="A94" s="32" t="s">
        <v>10</v>
      </c>
      <c r="B94" s="29" t="s">
        <v>82</v>
      </c>
      <c r="C94" s="9">
        <f>TRUNC(((15/30)/12)*8%,4)</f>
        <v>3.3E-3</v>
      </c>
      <c r="D94" s="13">
        <f t="shared" si="2"/>
        <v>11.32</v>
      </c>
    </row>
    <row r="95" spans="1:4" x14ac:dyDescent="0.2">
      <c r="A95" s="32" t="s">
        <v>12</v>
      </c>
      <c r="B95" s="29" t="s">
        <v>83</v>
      </c>
      <c r="C95" s="9">
        <f>((1+1/3)/12)*3%*(4/12)</f>
        <v>1.1111111111111109E-3</v>
      </c>
      <c r="D95" s="13">
        <f t="shared" si="2"/>
        <v>3.81</v>
      </c>
    </row>
    <row r="96" spans="1:4" x14ac:dyDescent="0.2">
      <c r="A96" s="32" t="s">
        <v>32</v>
      </c>
      <c r="B96" s="29" t="s">
        <v>84</v>
      </c>
      <c r="C96" s="9"/>
      <c r="D96" s="13">
        <f t="shared" si="2"/>
        <v>0</v>
      </c>
    </row>
    <row r="97" spans="1:6" x14ac:dyDescent="0.2">
      <c r="A97" s="70" t="s">
        <v>37</v>
      </c>
      <c r="B97" s="70"/>
      <c r="C97" s="70"/>
      <c r="D97" s="19">
        <f>SUM(D91:D96)</f>
        <v>66.25</v>
      </c>
      <c r="E97" s="17"/>
      <c r="F97" s="17"/>
    </row>
    <row r="100" spans="1:6" x14ac:dyDescent="0.2">
      <c r="A100" s="71" t="s">
        <v>85</v>
      </c>
      <c r="B100" s="71"/>
      <c r="C100" s="71"/>
      <c r="D100" s="71"/>
    </row>
    <row r="101" spans="1:6" x14ac:dyDescent="0.2">
      <c r="A101" s="3"/>
    </row>
    <row r="102" spans="1:6" x14ac:dyDescent="0.2">
      <c r="A102" s="30" t="s">
        <v>52</v>
      </c>
      <c r="B102" s="72" t="s">
        <v>86</v>
      </c>
      <c r="C102" s="72"/>
      <c r="D102" s="30" t="s">
        <v>3</v>
      </c>
    </row>
    <row r="103" spans="1:6" x14ac:dyDescent="0.2">
      <c r="A103" s="32" t="s">
        <v>4</v>
      </c>
      <c r="B103" s="80" t="s">
        <v>87</v>
      </c>
      <c r="C103" s="81"/>
      <c r="D103" s="13">
        <f>((D26+D70+D82)/220)*22*0</f>
        <v>0</v>
      </c>
    </row>
    <row r="104" spans="1:6" x14ac:dyDescent="0.2">
      <c r="A104" s="70" t="s">
        <v>16</v>
      </c>
      <c r="B104" s="70"/>
      <c r="C104" s="70"/>
      <c r="D104" s="19">
        <f>SUM(D103)</f>
        <v>0</v>
      </c>
    </row>
    <row r="107" spans="1:6" x14ac:dyDescent="0.2">
      <c r="A107" s="71" t="s">
        <v>53</v>
      </c>
      <c r="B107" s="71"/>
      <c r="C107" s="71"/>
      <c r="D107" s="71"/>
    </row>
    <row r="108" spans="1:6" x14ac:dyDescent="0.2">
      <c r="A108" s="3"/>
    </row>
    <row r="109" spans="1:6" x14ac:dyDescent="0.2">
      <c r="A109" s="30">
        <v>4</v>
      </c>
      <c r="B109" s="70" t="s">
        <v>54</v>
      </c>
      <c r="C109" s="70"/>
      <c r="D109" s="30" t="s">
        <v>3</v>
      </c>
    </row>
    <row r="110" spans="1:6" x14ac:dyDescent="0.2">
      <c r="A110" s="32" t="s">
        <v>51</v>
      </c>
      <c r="B110" s="69" t="s">
        <v>78</v>
      </c>
      <c r="C110" s="69"/>
      <c r="D110" s="14">
        <f>D97</f>
        <v>66.25</v>
      </c>
    </row>
    <row r="111" spans="1:6" x14ac:dyDescent="0.2">
      <c r="A111" s="32" t="s">
        <v>52</v>
      </c>
      <c r="B111" s="69" t="s">
        <v>86</v>
      </c>
      <c r="C111" s="69"/>
      <c r="D111" s="14">
        <f>D104</f>
        <v>0</v>
      </c>
    </row>
    <row r="112" spans="1:6" x14ac:dyDescent="0.2">
      <c r="A112" s="70" t="s">
        <v>16</v>
      </c>
      <c r="B112" s="70"/>
      <c r="C112" s="70"/>
      <c r="D112" s="19">
        <f>SUM(D110:D111)</f>
        <v>66.25</v>
      </c>
    </row>
    <row r="115" spans="1:4" x14ac:dyDescent="0.2">
      <c r="A115" s="73" t="s">
        <v>55</v>
      </c>
      <c r="B115" s="73"/>
      <c r="C115" s="73"/>
      <c r="D115" s="73"/>
    </row>
    <row r="117" spans="1:4" x14ac:dyDescent="0.2">
      <c r="A117" s="30">
        <v>5</v>
      </c>
      <c r="B117" s="82" t="s">
        <v>56</v>
      </c>
      <c r="C117" s="82"/>
      <c r="D117" s="30" t="s">
        <v>3</v>
      </c>
    </row>
    <row r="118" spans="1:4" x14ac:dyDescent="0.2">
      <c r="A118" s="32" t="s">
        <v>4</v>
      </c>
      <c r="B118" s="29" t="s">
        <v>57</v>
      </c>
      <c r="C118" s="29"/>
      <c r="D118" s="13">
        <v>31.46</v>
      </c>
    </row>
    <row r="119" spans="1:4" x14ac:dyDescent="0.2">
      <c r="A119" s="32" t="s">
        <v>6</v>
      </c>
      <c r="B119" s="29" t="s">
        <v>58</v>
      </c>
      <c r="C119" s="29"/>
      <c r="D119" s="13"/>
    </row>
    <row r="120" spans="1:4" x14ac:dyDescent="0.2">
      <c r="A120" s="32" t="s">
        <v>8</v>
      </c>
      <c r="B120" s="29" t="s">
        <v>59</v>
      </c>
      <c r="C120" s="29"/>
      <c r="D120" s="13"/>
    </row>
    <row r="121" spans="1:4" x14ac:dyDescent="0.2">
      <c r="A121" s="32" t="s">
        <v>10</v>
      </c>
      <c r="B121" s="29" t="s">
        <v>15</v>
      </c>
      <c r="C121" s="29"/>
      <c r="D121" s="13"/>
    </row>
    <row r="122" spans="1:4" x14ac:dyDescent="0.2">
      <c r="A122" s="70" t="s">
        <v>37</v>
      </c>
      <c r="B122" s="70"/>
      <c r="C122" s="70"/>
      <c r="D122" s="20">
        <f>SUM(D118:D121)</f>
        <v>31.46</v>
      </c>
    </row>
    <row r="125" spans="1:4" x14ac:dyDescent="0.2">
      <c r="A125" s="73" t="s">
        <v>60</v>
      </c>
      <c r="B125" s="73"/>
      <c r="C125" s="73"/>
      <c r="D125" s="73"/>
    </row>
    <row r="127" spans="1:4" x14ac:dyDescent="0.2">
      <c r="A127" s="30">
        <v>6</v>
      </c>
      <c r="B127" s="31" t="s">
        <v>61</v>
      </c>
      <c r="C127" s="30" t="s">
        <v>26</v>
      </c>
      <c r="D127" s="30" t="s">
        <v>3</v>
      </c>
    </row>
    <row r="128" spans="1:4" x14ac:dyDescent="0.2">
      <c r="A128" s="32" t="s">
        <v>4</v>
      </c>
      <c r="B128" s="29" t="s">
        <v>62</v>
      </c>
      <c r="C128" s="9">
        <v>0.02</v>
      </c>
      <c r="D128" s="14">
        <f>D148*C128</f>
        <v>70.600904</v>
      </c>
    </row>
    <row r="129" spans="1:4" x14ac:dyDescent="0.2">
      <c r="A129" s="32" t="s">
        <v>6</v>
      </c>
      <c r="B129" s="29" t="s">
        <v>63</v>
      </c>
      <c r="C129" s="9">
        <v>0.03</v>
      </c>
      <c r="D129" s="13">
        <f>(D148+D128)*C129</f>
        <v>108.01938311999999</v>
      </c>
    </row>
    <row r="130" spans="1:4" x14ac:dyDescent="0.2">
      <c r="A130" s="32" t="s">
        <v>8</v>
      </c>
      <c r="B130" s="29" t="s">
        <v>64</v>
      </c>
      <c r="C130" s="12">
        <f>SUM(C131:C136)</f>
        <v>8.6499999999999994E-2</v>
      </c>
      <c r="D130" s="13">
        <f>(D148+D128+D129)*C130/(1-C130)</f>
        <v>351.17631596702779</v>
      </c>
    </row>
    <row r="131" spans="1:4" x14ac:dyDescent="0.2">
      <c r="A131" s="32"/>
      <c r="B131" s="29" t="s">
        <v>65</v>
      </c>
      <c r="C131" s="9"/>
      <c r="D131" s="14">
        <f>$D$150*C131</f>
        <v>0</v>
      </c>
    </row>
    <row r="132" spans="1:4" x14ac:dyDescent="0.2">
      <c r="A132" s="32"/>
      <c r="B132" s="29" t="s">
        <v>95</v>
      </c>
      <c r="C132" s="9">
        <v>6.4999999999999997E-3</v>
      </c>
      <c r="D132" s="14">
        <f t="shared" ref="D132:D136" si="3">$D$150*C132</f>
        <v>26.388960000000001</v>
      </c>
    </row>
    <row r="133" spans="1:4" x14ac:dyDescent="0.2">
      <c r="A133" s="32"/>
      <c r="B133" s="29" t="s">
        <v>96</v>
      </c>
      <c r="C133" s="9">
        <v>0.03</v>
      </c>
      <c r="D133" s="14">
        <f t="shared" si="3"/>
        <v>121.79519999999999</v>
      </c>
    </row>
    <row r="134" spans="1:4" x14ac:dyDescent="0.2">
      <c r="A134" s="32"/>
      <c r="B134" s="29" t="s">
        <v>66</v>
      </c>
      <c r="C134" s="32"/>
      <c r="D134" s="14">
        <f t="shared" si="3"/>
        <v>0</v>
      </c>
    </row>
    <row r="135" spans="1:4" x14ac:dyDescent="0.2">
      <c r="A135" s="32"/>
      <c r="B135" s="29" t="s">
        <v>67</v>
      </c>
      <c r="C135" s="9"/>
      <c r="D135" s="14">
        <f t="shared" si="3"/>
        <v>0</v>
      </c>
    </row>
    <row r="136" spans="1:4" x14ac:dyDescent="0.2">
      <c r="A136" s="32"/>
      <c r="B136" s="29" t="s">
        <v>97</v>
      </c>
      <c r="C136" s="9">
        <v>0.05</v>
      </c>
      <c r="D136" s="14">
        <f t="shared" si="3"/>
        <v>202.99200000000002</v>
      </c>
    </row>
    <row r="137" spans="1:4" ht="13.5" x14ac:dyDescent="0.2">
      <c r="A137" s="77" t="s">
        <v>37</v>
      </c>
      <c r="B137" s="78"/>
      <c r="C137" s="21">
        <f>(1+C129)*(1+C128)/(1-C130)-1</f>
        <v>0.15008210180623971</v>
      </c>
      <c r="D137" s="19">
        <f>SUM(D128:D130)</f>
        <v>529.79660308702773</v>
      </c>
    </row>
    <row r="140" spans="1:4" x14ac:dyDescent="0.2">
      <c r="A140" s="73" t="s">
        <v>68</v>
      </c>
      <c r="B140" s="73"/>
      <c r="C140" s="73"/>
      <c r="D140" s="73"/>
    </row>
    <row r="142" spans="1:4" x14ac:dyDescent="0.2">
      <c r="A142" s="30"/>
      <c r="B142" s="70" t="s">
        <v>69</v>
      </c>
      <c r="C142" s="70"/>
      <c r="D142" s="30" t="s">
        <v>3</v>
      </c>
    </row>
    <row r="143" spans="1:4" x14ac:dyDescent="0.2">
      <c r="A143" s="30" t="s">
        <v>4</v>
      </c>
      <c r="B143" s="69" t="s">
        <v>1</v>
      </c>
      <c r="C143" s="69"/>
      <c r="D143" s="22">
        <f>D26</f>
        <v>1544.58</v>
      </c>
    </row>
    <row r="144" spans="1:4" x14ac:dyDescent="0.2">
      <c r="A144" s="30" t="s">
        <v>6</v>
      </c>
      <c r="B144" s="69" t="s">
        <v>17</v>
      </c>
      <c r="C144" s="69"/>
      <c r="D144" s="22">
        <f>D70</f>
        <v>1792.6351999999997</v>
      </c>
    </row>
    <row r="145" spans="1:4" x14ac:dyDescent="0.2">
      <c r="A145" s="30" t="s">
        <v>8</v>
      </c>
      <c r="B145" s="69" t="s">
        <v>45</v>
      </c>
      <c r="C145" s="69"/>
      <c r="D145" s="22">
        <f>D82</f>
        <v>95.12</v>
      </c>
    </row>
    <row r="146" spans="1:4" x14ac:dyDescent="0.2">
      <c r="A146" s="30" t="s">
        <v>10</v>
      </c>
      <c r="B146" s="69" t="s">
        <v>50</v>
      </c>
      <c r="C146" s="69"/>
      <c r="D146" s="22">
        <f>D112</f>
        <v>66.25</v>
      </c>
    </row>
    <row r="147" spans="1:4" x14ac:dyDescent="0.2">
      <c r="A147" s="30" t="s">
        <v>12</v>
      </c>
      <c r="B147" s="69" t="s">
        <v>55</v>
      </c>
      <c r="C147" s="69"/>
      <c r="D147" s="22">
        <f>D122</f>
        <v>31.46</v>
      </c>
    </row>
    <row r="148" spans="1:4" x14ac:dyDescent="0.2">
      <c r="A148" s="70" t="s">
        <v>94</v>
      </c>
      <c r="B148" s="70"/>
      <c r="C148" s="70"/>
      <c r="D148" s="23">
        <f>SUM(D143:D147)</f>
        <v>3530.0451999999996</v>
      </c>
    </row>
    <row r="149" spans="1:4" x14ac:dyDescent="0.2">
      <c r="A149" s="30" t="s">
        <v>32</v>
      </c>
      <c r="B149" s="69" t="s">
        <v>70</v>
      </c>
      <c r="C149" s="69"/>
      <c r="D149" s="24">
        <f>D137</f>
        <v>529.79660308702773</v>
      </c>
    </row>
    <row r="150" spans="1:4" x14ac:dyDescent="0.2">
      <c r="A150" s="70" t="s">
        <v>71</v>
      </c>
      <c r="B150" s="70"/>
      <c r="C150" s="70"/>
      <c r="D150" s="23">
        <f>ROUND(SUM(D148:D149),2)</f>
        <v>4059.84</v>
      </c>
    </row>
  </sheetData>
  <mergeCells count="71">
    <mergeCell ref="C10:D10"/>
    <mergeCell ref="A1:D1"/>
    <mergeCell ref="A3:D3"/>
    <mergeCell ref="A5:B5"/>
    <mergeCell ref="A6:B6"/>
    <mergeCell ref="A8:D8"/>
    <mergeCell ref="B24:C24"/>
    <mergeCell ref="C11:D11"/>
    <mergeCell ref="C12:D12"/>
    <mergeCell ref="C13:D13"/>
    <mergeCell ref="C14:D14"/>
    <mergeCell ref="A16:D16"/>
    <mergeCell ref="B18:C18"/>
    <mergeCell ref="B19:C19"/>
    <mergeCell ref="B20:C20"/>
    <mergeCell ref="B21:C21"/>
    <mergeCell ref="B22:C22"/>
    <mergeCell ref="B23:C23"/>
    <mergeCell ref="B57:C57"/>
    <mergeCell ref="B25:C25"/>
    <mergeCell ref="A26:C26"/>
    <mergeCell ref="A29:D29"/>
    <mergeCell ref="A31:D31"/>
    <mergeCell ref="B33:C33"/>
    <mergeCell ref="A36:B36"/>
    <mergeCell ref="A39:D39"/>
    <mergeCell ref="A50:B50"/>
    <mergeCell ref="A53:D53"/>
    <mergeCell ref="B55:C55"/>
    <mergeCell ref="B56:C56"/>
    <mergeCell ref="B75:C75"/>
    <mergeCell ref="B58:C58"/>
    <mergeCell ref="B59:C59"/>
    <mergeCell ref="B60:C60"/>
    <mergeCell ref="A61:C61"/>
    <mergeCell ref="A64:D64"/>
    <mergeCell ref="B66:C66"/>
    <mergeCell ref="B67:C67"/>
    <mergeCell ref="B68:C68"/>
    <mergeCell ref="B69:C69"/>
    <mergeCell ref="A70:C70"/>
    <mergeCell ref="A73:D73"/>
    <mergeCell ref="B110:C110"/>
    <mergeCell ref="A82:C82"/>
    <mergeCell ref="A85:D85"/>
    <mergeCell ref="A88:D88"/>
    <mergeCell ref="B90:C90"/>
    <mergeCell ref="A97:C97"/>
    <mergeCell ref="A100:D100"/>
    <mergeCell ref="B102:C102"/>
    <mergeCell ref="B103:C103"/>
    <mergeCell ref="A104:C104"/>
    <mergeCell ref="A107:D107"/>
    <mergeCell ref="B109:C109"/>
    <mergeCell ref="B145:C145"/>
    <mergeCell ref="B111:C111"/>
    <mergeCell ref="A112:C112"/>
    <mergeCell ref="A115:D115"/>
    <mergeCell ref="B117:C117"/>
    <mergeCell ref="A122:C122"/>
    <mergeCell ref="A125:D125"/>
    <mergeCell ref="A137:B137"/>
    <mergeCell ref="A140:D140"/>
    <mergeCell ref="B142:C142"/>
    <mergeCell ref="B143:C143"/>
    <mergeCell ref="B144:C144"/>
    <mergeCell ref="B146:C146"/>
    <mergeCell ref="B147:C147"/>
    <mergeCell ref="A148:C148"/>
    <mergeCell ref="B149:C149"/>
    <mergeCell ref="A150:C150"/>
  </mergeCells>
  <pageMargins left="0.51181102362204722" right="0.51181102362204722" top="0.98425196850393704" bottom="0.78740157480314965" header="0.31496062992125984" footer="0.31496062992125984"/>
  <pageSetup paperSize="9" scale="84" fitToHeight="0" orientation="portrait" r:id="rId1"/>
  <headerFooter>
    <oddHeader>&amp;C&amp;G</oddHeader>
    <oddFooter>&amp;L&amp;"-,Negrito"Documento elaborado em &amp;D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0"/>
  <sheetViews>
    <sheetView view="pageBreakPreview" zoomScaleNormal="115" zoomScaleSheetLayoutView="100" workbookViewId="0">
      <selection activeCell="C130" sqref="C130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74" t="s">
        <v>0</v>
      </c>
      <c r="B1" s="74"/>
      <c r="C1" s="74"/>
      <c r="D1" s="74"/>
    </row>
    <row r="2" spans="1:4" ht="15.75" x14ac:dyDescent="0.25">
      <c r="A2" s="26"/>
      <c r="B2" s="26"/>
      <c r="C2" s="26"/>
      <c r="D2" s="26"/>
    </row>
    <row r="3" spans="1:4" x14ac:dyDescent="0.2">
      <c r="A3" s="76" t="s">
        <v>88</v>
      </c>
      <c r="B3" s="76"/>
      <c r="C3" s="76"/>
      <c r="D3" s="76"/>
    </row>
    <row r="4" spans="1:4" x14ac:dyDescent="0.2">
      <c r="A4" s="2"/>
      <c r="B4" s="2"/>
      <c r="C4" s="2"/>
      <c r="D4" s="2"/>
    </row>
    <row r="5" spans="1:4" ht="38.25" x14ac:dyDescent="0.2">
      <c r="A5" s="83" t="s">
        <v>89</v>
      </c>
      <c r="B5" s="83"/>
      <c r="C5" s="32" t="s">
        <v>90</v>
      </c>
      <c r="D5" s="27" t="s">
        <v>91</v>
      </c>
    </row>
    <row r="6" spans="1:4" x14ac:dyDescent="0.2">
      <c r="A6" s="84" t="s">
        <v>118</v>
      </c>
      <c r="B6" s="84"/>
      <c r="C6" s="33" t="s">
        <v>101</v>
      </c>
      <c r="D6" s="33">
        <v>3</v>
      </c>
    </row>
    <row r="8" spans="1:4" x14ac:dyDescent="0.2">
      <c r="A8" s="76" t="s">
        <v>72</v>
      </c>
      <c r="B8" s="76"/>
      <c r="C8" s="76"/>
      <c r="D8" s="76"/>
    </row>
    <row r="9" spans="1:4" x14ac:dyDescent="0.2">
      <c r="A9" s="2"/>
      <c r="B9" s="2"/>
      <c r="C9" s="2"/>
      <c r="D9" s="2"/>
    </row>
    <row r="10" spans="1:4" x14ac:dyDescent="0.2">
      <c r="A10" s="5">
        <v>1</v>
      </c>
      <c r="B10" s="5" t="s">
        <v>73</v>
      </c>
      <c r="C10" s="85" t="s">
        <v>118</v>
      </c>
      <c r="D10" s="86"/>
    </row>
    <row r="11" spans="1:4" x14ac:dyDescent="0.2">
      <c r="A11" s="5">
        <v>2</v>
      </c>
      <c r="B11" s="5" t="s">
        <v>92</v>
      </c>
      <c r="C11" s="85" t="s">
        <v>117</v>
      </c>
      <c r="D11" s="86"/>
    </row>
    <row r="12" spans="1:4" x14ac:dyDescent="0.2">
      <c r="A12" s="5">
        <v>3</v>
      </c>
      <c r="B12" s="5" t="s">
        <v>74</v>
      </c>
      <c r="C12" s="87">
        <v>1726.82</v>
      </c>
      <c r="D12" s="86"/>
    </row>
    <row r="13" spans="1:4" x14ac:dyDescent="0.2">
      <c r="A13" s="5">
        <v>4</v>
      </c>
      <c r="B13" s="5" t="s">
        <v>75</v>
      </c>
      <c r="C13" s="85"/>
      <c r="D13" s="86"/>
    </row>
    <row r="14" spans="1:4" x14ac:dyDescent="0.2">
      <c r="A14" s="5">
        <v>5</v>
      </c>
      <c r="B14" s="5" t="s">
        <v>76</v>
      </c>
      <c r="C14" s="85"/>
      <c r="D14" s="86"/>
    </row>
    <row r="16" spans="1:4" x14ac:dyDescent="0.2">
      <c r="A16" s="76" t="s">
        <v>1</v>
      </c>
      <c r="B16" s="76"/>
      <c r="C16" s="76"/>
      <c r="D16" s="76"/>
    </row>
    <row r="18" spans="1:4" x14ac:dyDescent="0.2">
      <c r="A18" s="30">
        <v>1</v>
      </c>
      <c r="B18" s="70" t="s">
        <v>2</v>
      </c>
      <c r="C18" s="70"/>
      <c r="D18" s="30" t="s">
        <v>3</v>
      </c>
    </row>
    <row r="19" spans="1:4" x14ac:dyDescent="0.2">
      <c r="A19" s="32" t="s">
        <v>4</v>
      </c>
      <c r="B19" s="69" t="s">
        <v>5</v>
      </c>
      <c r="C19" s="69"/>
      <c r="D19" s="13">
        <v>1726.82</v>
      </c>
    </row>
    <row r="20" spans="1:4" x14ac:dyDescent="0.2">
      <c r="A20" s="32" t="s">
        <v>6</v>
      </c>
      <c r="B20" s="69" t="s">
        <v>7</v>
      </c>
      <c r="C20" s="69"/>
      <c r="D20" s="13"/>
    </row>
    <row r="21" spans="1:4" x14ac:dyDescent="0.2">
      <c r="A21" s="32" t="s">
        <v>8</v>
      </c>
      <c r="B21" s="69" t="s">
        <v>9</v>
      </c>
      <c r="C21" s="69"/>
      <c r="D21" s="13"/>
    </row>
    <row r="22" spans="1:4" x14ac:dyDescent="0.2">
      <c r="A22" s="32" t="s">
        <v>10</v>
      </c>
      <c r="B22" s="69" t="s">
        <v>11</v>
      </c>
      <c r="C22" s="69"/>
      <c r="D22" s="13"/>
    </row>
    <row r="23" spans="1:4" x14ac:dyDescent="0.2">
      <c r="A23" s="32" t="s">
        <v>12</v>
      </c>
      <c r="B23" s="69" t="s">
        <v>13</v>
      </c>
      <c r="C23" s="69"/>
      <c r="D23" s="13"/>
    </row>
    <row r="24" spans="1:4" x14ac:dyDescent="0.2">
      <c r="A24" s="32"/>
      <c r="B24" s="69"/>
      <c r="C24" s="69"/>
      <c r="D24" s="13"/>
    </row>
    <row r="25" spans="1:4" x14ac:dyDescent="0.2">
      <c r="A25" s="32" t="s">
        <v>14</v>
      </c>
      <c r="B25" s="69" t="s">
        <v>15</v>
      </c>
      <c r="C25" s="69"/>
      <c r="D25" s="13"/>
    </row>
    <row r="26" spans="1:4" x14ac:dyDescent="0.2">
      <c r="A26" s="70" t="s">
        <v>16</v>
      </c>
      <c r="B26" s="70"/>
      <c r="C26" s="70"/>
      <c r="D26" s="20">
        <f>SUM(D19:D25)</f>
        <v>1726.82</v>
      </c>
    </row>
    <row r="29" spans="1:4" x14ac:dyDescent="0.2">
      <c r="A29" s="73" t="s">
        <v>17</v>
      </c>
      <c r="B29" s="73"/>
      <c r="C29" s="73"/>
      <c r="D29" s="73"/>
    </row>
    <row r="30" spans="1:4" x14ac:dyDescent="0.2">
      <c r="A30" s="3"/>
    </row>
    <row r="31" spans="1:4" x14ac:dyDescent="0.2">
      <c r="A31" s="71" t="s">
        <v>18</v>
      </c>
      <c r="B31" s="71"/>
      <c r="C31" s="71"/>
      <c r="D31" s="71"/>
    </row>
    <row r="33" spans="1:4" x14ac:dyDescent="0.2">
      <c r="A33" s="30" t="s">
        <v>19</v>
      </c>
      <c r="B33" s="70" t="s">
        <v>20</v>
      </c>
      <c r="C33" s="70"/>
      <c r="D33" s="30" t="s">
        <v>3</v>
      </c>
    </row>
    <row r="34" spans="1:4" x14ac:dyDescent="0.2">
      <c r="A34" s="32" t="s">
        <v>4</v>
      </c>
      <c r="B34" s="29" t="s">
        <v>21</v>
      </c>
      <c r="C34" s="12">
        <f>TRUNC(1/12,4)</f>
        <v>8.3299999999999999E-2</v>
      </c>
      <c r="D34" s="13">
        <f>TRUNC($D$26*C34,2)</f>
        <v>143.84</v>
      </c>
    </row>
    <row r="35" spans="1:4" x14ac:dyDescent="0.2">
      <c r="A35" s="32" t="s">
        <v>6</v>
      </c>
      <c r="B35" s="29" t="s">
        <v>22</v>
      </c>
      <c r="C35" s="12">
        <f>TRUNC(((1+1/3)/12),4)</f>
        <v>0.1111</v>
      </c>
      <c r="D35" s="13">
        <f>TRUNC($D$26*C35,2)</f>
        <v>191.84</v>
      </c>
    </row>
    <row r="36" spans="1:4" x14ac:dyDescent="0.2">
      <c r="A36" s="70" t="s">
        <v>16</v>
      </c>
      <c r="B36" s="70"/>
      <c r="C36" s="28">
        <f>SUM(C34:C35)</f>
        <v>0.19440000000000002</v>
      </c>
      <c r="D36" s="19">
        <f>SUM(D34:D35)</f>
        <v>335.68</v>
      </c>
    </row>
    <row r="39" spans="1:4" x14ac:dyDescent="0.2">
      <c r="A39" s="75" t="s">
        <v>23</v>
      </c>
      <c r="B39" s="75"/>
      <c r="C39" s="75"/>
      <c r="D39" s="75"/>
    </row>
    <row r="41" spans="1:4" x14ac:dyDescent="0.2">
      <c r="A41" s="30" t="s">
        <v>24</v>
      </c>
      <c r="B41" s="30" t="s">
        <v>25</v>
      </c>
      <c r="C41" s="30" t="s">
        <v>26</v>
      </c>
      <c r="D41" s="30" t="s">
        <v>3</v>
      </c>
    </row>
    <row r="42" spans="1:4" x14ac:dyDescent="0.2">
      <c r="A42" s="32" t="s">
        <v>4</v>
      </c>
      <c r="B42" s="29" t="s">
        <v>27</v>
      </c>
      <c r="C42" s="9">
        <v>0.2</v>
      </c>
      <c r="D42" s="13">
        <f>TRUNC(($D$26+$D$36)*C42,2)</f>
        <v>412.5</v>
      </c>
    </row>
    <row r="43" spans="1:4" x14ac:dyDescent="0.2">
      <c r="A43" s="32" t="s">
        <v>6</v>
      </c>
      <c r="B43" s="29" t="s">
        <v>28</v>
      </c>
      <c r="C43" s="9">
        <v>2.5000000000000001E-2</v>
      </c>
      <c r="D43" s="13">
        <f t="shared" ref="D43:D49" si="0">TRUNC(($D$26+$D$36)*C43,2)</f>
        <v>51.56</v>
      </c>
    </row>
    <row r="44" spans="1:4" x14ac:dyDescent="0.2">
      <c r="A44" s="32" t="s">
        <v>8</v>
      </c>
      <c r="B44" s="29" t="s">
        <v>29</v>
      </c>
      <c r="C44" s="16">
        <v>0.03</v>
      </c>
      <c r="D44" s="13">
        <f t="shared" si="0"/>
        <v>61.87</v>
      </c>
    </row>
    <row r="45" spans="1:4" x14ac:dyDescent="0.2">
      <c r="A45" s="32" t="s">
        <v>10</v>
      </c>
      <c r="B45" s="29" t="s">
        <v>30</v>
      </c>
      <c r="C45" s="9">
        <v>1.4999999999999999E-2</v>
      </c>
      <c r="D45" s="13">
        <f t="shared" si="0"/>
        <v>30.93</v>
      </c>
    </row>
    <row r="46" spans="1:4" x14ac:dyDescent="0.2">
      <c r="A46" s="32" t="s">
        <v>12</v>
      </c>
      <c r="B46" s="29" t="s">
        <v>31</v>
      </c>
      <c r="C46" s="9">
        <v>0.01</v>
      </c>
      <c r="D46" s="13">
        <f t="shared" si="0"/>
        <v>20.62</v>
      </c>
    </row>
    <row r="47" spans="1:4" x14ac:dyDescent="0.2">
      <c r="A47" s="32" t="s">
        <v>32</v>
      </c>
      <c r="B47" s="29" t="s">
        <v>33</v>
      </c>
      <c r="C47" s="9">
        <v>6.0000000000000001E-3</v>
      </c>
      <c r="D47" s="13">
        <f t="shared" si="0"/>
        <v>12.37</v>
      </c>
    </row>
    <row r="48" spans="1:4" x14ac:dyDescent="0.2">
      <c r="A48" s="32" t="s">
        <v>14</v>
      </c>
      <c r="B48" s="29" t="s">
        <v>34</v>
      </c>
      <c r="C48" s="9">
        <v>2E-3</v>
      </c>
      <c r="D48" s="13">
        <f t="shared" si="0"/>
        <v>4.12</v>
      </c>
    </row>
    <row r="49" spans="1:4" x14ac:dyDescent="0.2">
      <c r="A49" s="32" t="s">
        <v>35</v>
      </c>
      <c r="B49" s="29" t="s">
        <v>36</v>
      </c>
      <c r="C49" s="9">
        <v>0.08</v>
      </c>
      <c r="D49" s="13">
        <f t="shared" si="0"/>
        <v>165</v>
      </c>
    </row>
    <row r="50" spans="1:4" x14ac:dyDescent="0.2">
      <c r="A50" s="70" t="s">
        <v>37</v>
      </c>
      <c r="B50" s="70"/>
      <c r="C50" s="15">
        <f>SUM(C42:C49)</f>
        <v>0.36800000000000005</v>
      </c>
      <c r="D50" s="19">
        <f>SUM(D42:D49)</f>
        <v>758.96999999999991</v>
      </c>
    </row>
    <row r="53" spans="1:4" x14ac:dyDescent="0.2">
      <c r="A53" s="71" t="s">
        <v>38</v>
      </c>
      <c r="B53" s="71"/>
      <c r="C53" s="71"/>
      <c r="D53" s="71"/>
    </row>
    <row r="55" spans="1:4" x14ac:dyDescent="0.2">
      <c r="A55" s="30" t="s">
        <v>39</v>
      </c>
      <c r="B55" s="72" t="s">
        <v>40</v>
      </c>
      <c r="C55" s="72"/>
      <c r="D55" s="30" t="s">
        <v>3</v>
      </c>
    </row>
    <row r="56" spans="1:4" x14ac:dyDescent="0.2">
      <c r="A56" s="32" t="s">
        <v>4</v>
      </c>
      <c r="B56" s="69" t="s">
        <v>41</v>
      </c>
      <c r="C56" s="69"/>
      <c r="D56" s="13">
        <f>IF((22*2*5.6)-(D19*0.06)&gt;0,(22*2*5.6)-(D19*0.06),0)</f>
        <v>142.79079999999999</v>
      </c>
    </row>
    <row r="57" spans="1:4" x14ac:dyDescent="0.2">
      <c r="A57" s="32" t="s">
        <v>6</v>
      </c>
      <c r="B57" s="69" t="s">
        <v>42</v>
      </c>
      <c r="C57" s="69"/>
      <c r="D57" s="13">
        <f>20*0.8*22</f>
        <v>352</v>
      </c>
    </row>
    <row r="58" spans="1:4" x14ac:dyDescent="0.2">
      <c r="A58" s="32" t="s">
        <v>8</v>
      </c>
      <c r="B58" s="69" t="s">
        <v>103</v>
      </c>
      <c r="C58" s="69"/>
      <c r="D58" s="13">
        <v>280</v>
      </c>
    </row>
    <row r="59" spans="1:4" x14ac:dyDescent="0.2">
      <c r="A59" s="32" t="s">
        <v>10</v>
      </c>
      <c r="B59" s="69" t="s">
        <v>104</v>
      </c>
      <c r="C59" s="69"/>
      <c r="D59" s="13">
        <v>23</v>
      </c>
    </row>
    <row r="60" spans="1:4" x14ac:dyDescent="0.2">
      <c r="A60" s="32" t="s">
        <v>12</v>
      </c>
      <c r="B60" s="69" t="s">
        <v>105</v>
      </c>
      <c r="C60" s="69"/>
      <c r="D60" s="13">
        <v>4.8</v>
      </c>
    </row>
    <row r="61" spans="1:4" x14ac:dyDescent="0.2">
      <c r="A61" s="70" t="s">
        <v>16</v>
      </c>
      <c r="B61" s="70"/>
      <c r="C61" s="70"/>
      <c r="D61" s="19">
        <f>SUM(D56:D60)</f>
        <v>802.59079999999994</v>
      </c>
    </row>
    <row r="64" spans="1:4" x14ac:dyDescent="0.2">
      <c r="A64" s="71" t="s">
        <v>43</v>
      </c>
      <c r="B64" s="71"/>
      <c r="C64" s="71"/>
      <c r="D64" s="71"/>
    </row>
    <row r="66" spans="1:5" x14ac:dyDescent="0.2">
      <c r="A66" s="30">
        <v>2</v>
      </c>
      <c r="B66" s="72" t="s">
        <v>44</v>
      </c>
      <c r="C66" s="72"/>
      <c r="D66" s="30" t="s">
        <v>3</v>
      </c>
    </row>
    <row r="67" spans="1:5" x14ac:dyDescent="0.2">
      <c r="A67" s="32" t="s">
        <v>19</v>
      </c>
      <c r="B67" s="69" t="s">
        <v>20</v>
      </c>
      <c r="C67" s="69"/>
      <c r="D67" s="14">
        <f>D36</f>
        <v>335.68</v>
      </c>
    </row>
    <row r="68" spans="1:5" x14ac:dyDescent="0.2">
      <c r="A68" s="32" t="s">
        <v>24</v>
      </c>
      <c r="B68" s="69" t="s">
        <v>25</v>
      </c>
      <c r="C68" s="69"/>
      <c r="D68" s="14">
        <f>D50</f>
        <v>758.96999999999991</v>
      </c>
    </row>
    <row r="69" spans="1:5" x14ac:dyDescent="0.2">
      <c r="A69" s="32" t="s">
        <v>39</v>
      </c>
      <c r="B69" s="69" t="s">
        <v>40</v>
      </c>
      <c r="C69" s="69"/>
      <c r="D69" s="14">
        <f>D61</f>
        <v>802.59079999999994</v>
      </c>
    </row>
    <row r="70" spans="1:5" x14ac:dyDescent="0.2">
      <c r="A70" s="70" t="s">
        <v>16</v>
      </c>
      <c r="B70" s="70"/>
      <c r="C70" s="70"/>
      <c r="D70" s="19">
        <f>SUM(D67:D69)</f>
        <v>1897.2407999999998</v>
      </c>
    </row>
    <row r="71" spans="1:5" x14ac:dyDescent="0.2">
      <c r="A71" s="4"/>
      <c r="E71" s="18"/>
    </row>
    <row r="73" spans="1:5" x14ac:dyDescent="0.2">
      <c r="A73" s="73" t="s">
        <v>45</v>
      </c>
      <c r="B73" s="73"/>
      <c r="C73" s="73"/>
      <c r="D73" s="73"/>
      <c r="E73" s="17"/>
    </row>
    <row r="74" spans="1:5" ht="12.75" customHeight="1" x14ac:dyDescent="0.2">
      <c r="E74" s="18"/>
    </row>
    <row r="75" spans="1:5" x14ac:dyDescent="0.2">
      <c r="A75" s="30">
        <v>3</v>
      </c>
      <c r="B75" s="72" t="s">
        <v>46</v>
      </c>
      <c r="C75" s="72"/>
      <c r="D75" s="30" t="s">
        <v>3</v>
      </c>
    </row>
    <row r="76" spans="1:5" x14ac:dyDescent="0.2">
      <c r="A76" s="32" t="s">
        <v>4</v>
      </c>
      <c r="B76" s="10" t="s">
        <v>47</v>
      </c>
      <c r="C76" s="9">
        <f>TRUNC(((1/12)*5%),4)</f>
        <v>4.1000000000000003E-3</v>
      </c>
      <c r="D76" s="13">
        <f>TRUNC($D$26*C76,2)</f>
        <v>7.07</v>
      </c>
    </row>
    <row r="77" spans="1:5" x14ac:dyDescent="0.2">
      <c r="A77" s="32" t="s">
        <v>6</v>
      </c>
      <c r="B77" s="10" t="s">
        <v>48</v>
      </c>
      <c r="C77" s="9">
        <v>0.08</v>
      </c>
      <c r="D77" s="13">
        <f>TRUNC(D76*C77,2)</f>
        <v>0.56000000000000005</v>
      </c>
    </row>
    <row r="78" spans="1:5" x14ac:dyDescent="0.2">
      <c r="A78" s="32" t="s">
        <v>8</v>
      </c>
      <c r="B78" s="10" t="s">
        <v>98</v>
      </c>
      <c r="C78" s="9">
        <f>TRUNC(8%*5%*40%,4)</f>
        <v>1.6000000000000001E-3</v>
      </c>
      <c r="D78" s="13">
        <f>TRUNC($D$26*C78,2)</f>
        <v>2.76</v>
      </c>
    </row>
    <row r="79" spans="1:5" x14ac:dyDescent="0.2">
      <c r="A79" s="32" t="s">
        <v>10</v>
      </c>
      <c r="B79" s="10" t="s">
        <v>49</v>
      </c>
      <c r="C79" s="9">
        <f>TRUNC(((7/30)/12)*95%,4)</f>
        <v>1.84E-2</v>
      </c>
      <c r="D79" s="13">
        <f>TRUNC($D$26*C79,2)</f>
        <v>31.77</v>
      </c>
    </row>
    <row r="80" spans="1:5" ht="25.5" x14ac:dyDescent="0.2">
      <c r="A80" s="32" t="s">
        <v>12</v>
      </c>
      <c r="B80" s="10" t="s">
        <v>93</v>
      </c>
      <c r="C80" s="9">
        <f>C50</f>
        <v>0.36800000000000005</v>
      </c>
      <c r="D80" s="13">
        <f>TRUNC(D79*C80,2)</f>
        <v>11.69</v>
      </c>
    </row>
    <row r="81" spans="1:4" x14ac:dyDescent="0.2">
      <c r="A81" s="32" t="s">
        <v>32</v>
      </c>
      <c r="B81" s="10" t="s">
        <v>99</v>
      </c>
      <c r="C81" s="9">
        <f>TRUNC(8%*95%*40%,4)</f>
        <v>3.04E-2</v>
      </c>
      <c r="D81" s="13">
        <f t="shared" ref="D81" si="1">TRUNC($D$26*C81,2)</f>
        <v>52.49</v>
      </c>
    </row>
    <row r="82" spans="1:4" x14ac:dyDescent="0.2">
      <c r="A82" s="77" t="s">
        <v>16</v>
      </c>
      <c r="B82" s="78"/>
      <c r="C82" s="79"/>
      <c r="D82" s="19">
        <f>SUM(D76:D81)</f>
        <v>106.34</v>
      </c>
    </row>
    <row r="85" spans="1:4" x14ac:dyDescent="0.2">
      <c r="A85" s="73" t="s">
        <v>50</v>
      </c>
      <c r="B85" s="73"/>
      <c r="C85" s="73"/>
      <c r="D85" s="73"/>
    </row>
    <row r="88" spans="1:4" x14ac:dyDescent="0.2">
      <c r="A88" s="71" t="s">
        <v>77</v>
      </c>
      <c r="B88" s="71"/>
      <c r="C88" s="71"/>
      <c r="D88" s="71"/>
    </row>
    <row r="89" spans="1:4" x14ac:dyDescent="0.2">
      <c r="A89" s="3"/>
    </row>
    <row r="90" spans="1:4" x14ac:dyDescent="0.2">
      <c r="A90" s="30" t="s">
        <v>51</v>
      </c>
      <c r="B90" s="72" t="s">
        <v>78</v>
      </c>
      <c r="C90" s="72"/>
      <c r="D90" s="30" t="s">
        <v>3</v>
      </c>
    </row>
    <row r="91" spans="1:4" x14ac:dyDescent="0.2">
      <c r="A91" s="32" t="s">
        <v>4</v>
      </c>
      <c r="B91" s="29" t="s">
        <v>79</v>
      </c>
      <c r="C91" s="9">
        <f>TRUNC(((1+1/3)/12)/12,4)</f>
        <v>9.1999999999999998E-3</v>
      </c>
      <c r="D91" s="13">
        <f>TRUNC(($D$26+$D$70+$D$82)*C91,2)</f>
        <v>34.31</v>
      </c>
    </row>
    <row r="92" spans="1:4" x14ac:dyDescent="0.2">
      <c r="A92" s="32" t="s">
        <v>6</v>
      </c>
      <c r="B92" s="29" t="s">
        <v>80</v>
      </c>
      <c r="C92" s="9">
        <f>TRUNC(((2/30)/12),4)</f>
        <v>5.4999999999999997E-3</v>
      </c>
      <c r="D92" s="13">
        <f t="shared" ref="D92:D96" si="2">TRUNC(($D$26+$D$70+$D$82)*C92,2)</f>
        <v>20.51</v>
      </c>
    </row>
    <row r="93" spans="1:4" x14ac:dyDescent="0.2">
      <c r="A93" s="32" t="s">
        <v>8</v>
      </c>
      <c r="B93" s="29" t="s">
        <v>81</v>
      </c>
      <c r="C93" s="9">
        <f>TRUNC(((5/30)/12)*2%,4)</f>
        <v>2.0000000000000001E-4</v>
      </c>
      <c r="D93" s="13">
        <f t="shared" si="2"/>
        <v>0.74</v>
      </c>
    </row>
    <row r="94" spans="1:4" x14ac:dyDescent="0.2">
      <c r="A94" s="32" t="s">
        <v>10</v>
      </c>
      <c r="B94" s="29" t="s">
        <v>82</v>
      </c>
      <c r="C94" s="9">
        <f>TRUNC(((15/30)/12)*8%,4)</f>
        <v>3.3E-3</v>
      </c>
      <c r="D94" s="13">
        <f t="shared" si="2"/>
        <v>12.31</v>
      </c>
    </row>
    <row r="95" spans="1:4" x14ac:dyDescent="0.2">
      <c r="A95" s="32" t="s">
        <v>12</v>
      </c>
      <c r="B95" s="29" t="s">
        <v>83</v>
      </c>
      <c r="C95" s="9">
        <f>((1+1/3)/12)*3%*(4/12)</f>
        <v>1.1111111111111109E-3</v>
      </c>
      <c r="D95" s="13">
        <f t="shared" si="2"/>
        <v>4.1399999999999997</v>
      </c>
    </row>
    <row r="96" spans="1:4" x14ac:dyDescent="0.2">
      <c r="A96" s="32" t="s">
        <v>32</v>
      </c>
      <c r="B96" s="29" t="s">
        <v>84</v>
      </c>
      <c r="C96" s="9"/>
      <c r="D96" s="13">
        <f t="shared" si="2"/>
        <v>0</v>
      </c>
    </row>
    <row r="97" spans="1:6" x14ac:dyDescent="0.2">
      <c r="A97" s="70" t="s">
        <v>37</v>
      </c>
      <c r="B97" s="70"/>
      <c r="C97" s="70"/>
      <c r="D97" s="19">
        <f>SUM(D91:D96)</f>
        <v>72.010000000000005</v>
      </c>
      <c r="E97" s="17"/>
      <c r="F97" s="17"/>
    </row>
    <row r="100" spans="1:6" x14ac:dyDescent="0.2">
      <c r="A100" s="71" t="s">
        <v>85</v>
      </c>
      <c r="B100" s="71"/>
      <c r="C100" s="71"/>
      <c r="D100" s="71"/>
    </row>
    <row r="101" spans="1:6" x14ac:dyDescent="0.2">
      <c r="A101" s="3"/>
    </row>
    <row r="102" spans="1:6" x14ac:dyDescent="0.2">
      <c r="A102" s="30" t="s">
        <v>52</v>
      </c>
      <c r="B102" s="72" t="s">
        <v>86</v>
      </c>
      <c r="C102" s="72"/>
      <c r="D102" s="30" t="s">
        <v>3</v>
      </c>
    </row>
    <row r="103" spans="1:6" x14ac:dyDescent="0.2">
      <c r="A103" s="32" t="s">
        <v>4</v>
      </c>
      <c r="B103" s="80" t="s">
        <v>87</v>
      </c>
      <c r="C103" s="81"/>
      <c r="D103" s="13">
        <f>((D26+D70+D82)/220)*22*0</f>
        <v>0</v>
      </c>
    </row>
    <row r="104" spans="1:6" x14ac:dyDescent="0.2">
      <c r="A104" s="70" t="s">
        <v>16</v>
      </c>
      <c r="B104" s="70"/>
      <c r="C104" s="70"/>
      <c r="D104" s="19">
        <f>SUM(D103)</f>
        <v>0</v>
      </c>
    </row>
    <row r="107" spans="1:6" x14ac:dyDescent="0.2">
      <c r="A107" s="71" t="s">
        <v>53</v>
      </c>
      <c r="B107" s="71"/>
      <c r="C107" s="71"/>
      <c r="D107" s="71"/>
    </row>
    <row r="108" spans="1:6" x14ac:dyDescent="0.2">
      <c r="A108" s="3"/>
    </row>
    <row r="109" spans="1:6" x14ac:dyDescent="0.2">
      <c r="A109" s="30">
        <v>4</v>
      </c>
      <c r="B109" s="70" t="s">
        <v>54</v>
      </c>
      <c r="C109" s="70"/>
      <c r="D109" s="30" t="s">
        <v>3</v>
      </c>
    </row>
    <row r="110" spans="1:6" x14ac:dyDescent="0.2">
      <c r="A110" s="32" t="s">
        <v>51</v>
      </c>
      <c r="B110" s="69" t="s">
        <v>78</v>
      </c>
      <c r="C110" s="69"/>
      <c r="D110" s="14">
        <f>D97</f>
        <v>72.010000000000005</v>
      </c>
    </row>
    <row r="111" spans="1:6" x14ac:dyDescent="0.2">
      <c r="A111" s="32" t="s">
        <v>52</v>
      </c>
      <c r="B111" s="69" t="s">
        <v>86</v>
      </c>
      <c r="C111" s="69"/>
      <c r="D111" s="14">
        <f>D104</f>
        <v>0</v>
      </c>
    </row>
    <row r="112" spans="1:6" x14ac:dyDescent="0.2">
      <c r="A112" s="70" t="s">
        <v>16</v>
      </c>
      <c r="B112" s="70"/>
      <c r="C112" s="70"/>
      <c r="D112" s="19">
        <f>SUM(D110:D111)</f>
        <v>72.010000000000005</v>
      </c>
    </row>
    <row r="115" spans="1:4" x14ac:dyDescent="0.2">
      <c r="A115" s="73" t="s">
        <v>55</v>
      </c>
      <c r="B115" s="73"/>
      <c r="C115" s="73"/>
      <c r="D115" s="73"/>
    </row>
    <row r="117" spans="1:4" x14ac:dyDescent="0.2">
      <c r="A117" s="30">
        <v>5</v>
      </c>
      <c r="B117" s="82" t="s">
        <v>56</v>
      </c>
      <c r="C117" s="82"/>
      <c r="D117" s="30" t="s">
        <v>3</v>
      </c>
    </row>
    <row r="118" spans="1:4" x14ac:dyDescent="0.2">
      <c r="A118" s="32" t="s">
        <v>4</v>
      </c>
      <c r="B118" s="29" t="s">
        <v>57</v>
      </c>
      <c r="C118" s="29"/>
      <c r="D118" s="13">
        <v>31.46</v>
      </c>
    </row>
    <row r="119" spans="1:4" x14ac:dyDescent="0.2">
      <c r="A119" s="32" t="s">
        <v>6</v>
      </c>
      <c r="B119" s="29" t="s">
        <v>58</v>
      </c>
      <c r="C119" s="29"/>
      <c r="D119" s="13"/>
    </row>
    <row r="120" spans="1:4" x14ac:dyDescent="0.2">
      <c r="A120" s="32" t="s">
        <v>8</v>
      </c>
      <c r="B120" s="29" t="s">
        <v>59</v>
      </c>
      <c r="C120" s="29"/>
      <c r="D120" s="13"/>
    </row>
    <row r="121" spans="1:4" x14ac:dyDescent="0.2">
      <c r="A121" s="32" t="s">
        <v>10</v>
      </c>
      <c r="B121" s="29" t="s">
        <v>15</v>
      </c>
      <c r="C121" s="29"/>
      <c r="D121" s="13"/>
    </row>
    <row r="122" spans="1:4" x14ac:dyDescent="0.2">
      <c r="A122" s="70" t="s">
        <v>37</v>
      </c>
      <c r="B122" s="70"/>
      <c r="C122" s="70"/>
      <c r="D122" s="20">
        <f>SUM(D118:D121)</f>
        <v>31.46</v>
      </c>
    </row>
    <row r="125" spans="1:4" x14ac:dyDescent="0.2">
      <c r="A125" s="73" t="s">
        <v>60</v>
      </c>
      <c r="B125" s="73"/>
      <c r="C125" s="73"/>
      <c r="D125" s="73"/>
    </row>
    <row r="127" spans="1:4" x14ac:dyDescent="0.2">
      <c r="A127" s="30">
        <v>6</v>
      </c>
      <c r="B127" s="31" t="s">
        <v>61</v>
      </c>
      <c r="C127" s="30" t="s">
        <v>26</v>
      </c>
      <c r="D127" s="30" t="s">
        <v>3</v>
      </c>
    </row>
    <row r="128" spans="1:4" x14ac:dyDescent="0.2">
      <c r="A128" s="32" t="s">
        <v>4</v>
      </c>
      <c r="B128" s="29" t="s">
        <v>62</v>
      </c>
      <c r="C128" s="9">
        <v>0.02</v>
      </c>
      <c r="D128" s="14">
        <f>D148*C128</f>
        <v>76.677416000000008</v>
      </c>
    </row>
    <row r="129" spans="1:4" x14ac:dyDescent="0.2">
      <c r="A129" s="32" t="s">
        <v>6</v>
      </c>
      <c r="B129" s="29" t="s">
        <v>63</v>
      </c>
      <c r="C129" s="9">
        <v>0.03</v>
      </c>
      <c r="D129" s="13">
        <f>(D148+D128)*C129</f>
        <v>117.31644648</v>
      </c>
    </row>
    <row r="130" spans="1:4" x14ac:dyDescent="0.2">
      <c r="A130" s="32" t="s">
        <v>8</v>
      </c>
      <c r="B130" s="29" t="s">
        <v>64</v>
      </c>
      <c r="C130" s="12">
        <f>SUM(C131:C136)</f>
        <v>8.6499999999999994E-2</v>
      </c>
      <c r="D130" s="13">
        <f>(D148+D128+D129)*C130/(1-C130)</f>
        <v>381.40152523756979</v>
      </c>
    </row>
    <row r="131" spans="1:4" x14ac:dyDescent="0.2">
      <c r="A131" s="32"/>
      <c r="B131" s="29" t="s">
        <v>65</v>
      </c>
      <c r="C131" s="9"/>
      <c r="D131" s="14">
        <f>$D$150*C131</f>
        <v>0</v>
      </c>
    </row>
    <row r="132" spans="1:4" x14ac:dyDescent="0.2">
      <c r="A132" s="32"/>
      <c r="B132" s="29" t="s">
        <v>95</v>
      </c>
      <c r="C132" s="9">
        <v>6.4999999999999997E-3</v>
      </c>
      <c r="D132" s="14">
        <f t="shared" ref="D132:D136" si="3">$D$150*C132</f>
        <v>28.660255000000003</v>
      </c>
    </row>
    <row r="133" spans="1:4" x14ac:dyDescent="0.2">
      <c r="A133" s="32"/>
      <c r="B133" s="29" t="s">
        <v>96</v>
      </c>
      <c r="C133" s="9">
        <v>0.03</v>
      </c>
      <c r="D133" s="14">
        <f t="shared" si="3"/>
        <v>132.27809999999999</v>
      </c>
    </row>
    <row r="134" spans="1:4" x14ac:dyDescent="0.2">
      <c r="A134" s="32"/>
      <c r="B134" s="29" t="s">
        <v>66</v>
      </c>
      <c r="C134" s="32"/>
      <c r="D134" s="14">
        <f t="shared" si="3"/>
        <v>0</v>
      </c>
    </row>
    <row r="135" spans="1:4" x14ac:dyDescent="0.2">
      <c r="A135" s="32"/>
      <c r="B135" s="29" t="s">
        <v>67</v>
      </c>
      <c r="C135" s="9"/>
      <c r="D135" s="14">
        <f t="shared" si="3"/>
        <v>0</v>
      </c>
    </row>
    <row r="136" spans="1:4" x14ac:dyDescent="0.2">
      <c r="A136" s="32"/>
      <c r="B136" s="29" t="s">
        <v>97</v>
      </c>
      <c r="C136" s="9">
        <v>0.05</v>
      </c>
      <c r="D136" s="14">
        <f t="shared" si="3"/>
        <v>220.46350000000004</v>
      </c>
    </row>
    <row r="137" spans="1:4" ht="13.5" x14ac:dyDescent="0.2">
      <c r="A137" s="77" t="s">
        <v>37</v>
      </c>
      <c r="B137" s="78"/>
      <c r="C137" s="21">
        <f>(1+C129)*(1+C128)/(1-C130)-1</f>
        <v>0.15008210180623971</v>
      </c>
      <c r="D137" s="19">
        <f>SUM(D128:D130)</f>
        <v>575.39538771756975</v>
      </c>
    </row>
    <row r="140" spans="1:4" x14ac:dyDescent="0.2">
      <c r="A140" s="73" t="s">
        <v>68</v>
      </c>
      <c r="B140" s="73"/>
      <c r="C140" s="73"/>
      <c r="D140" s="73"/>
    </row>
    <row r="142" spans="1:4" x14ac:dyDescent="0.2">
      <c r="A142" s="30"/>
      <c r="B142" s="70" t="s">
        <v>69</v>
      </c>
      <c r="C142" s="70"/>
      <c r="D142" s="30" t="s">
        <v>3</v>
      </c>
    </row>
    <row r="143" spans="1:4" x14ac:dyDescent="0.2">
      <c r="A143" s="30" t="s">
        <v>4</v>
      </c>
      <c r="B143" s="69" t="s">
        <v>1</v>
      </c>
      <c r="C143" s="69"/>
      <c r="D143" s="22">
        <f>D26</f>
        <v>1726.82</v>
      </c>
    </row>
    <row r="144" spans="1:4" x14ac:dyDescent="0.2">
      <c r="A144" s="30" t="s">
        <v>6</v>
      </c>
      <c r="B144" s="69" t="s">
        <v>17</v>
      </c>
      <c r="C144" s="69"/>
      <c r="D144" s="22">
        <f>D70</f>
        <v>1897.2407999999998</v>
      </c>
    </row>
    <row r="145" spans="1:4" x14ac:dyDescent="0.2">
      <c r="A145" s="30" t="s">
        <v>8</v>
      </c>
      <c r="B145" s="69" t="s">
        <v>45</v>
      </c>
      <c r="C145" s="69"/>
      <c r="D145" s="22">
        <f>D82</f>
        <v>106.34</v>
      </c>
    </row>
    <row r="146" spans="1:4" x14ac:dyDescent="0.2">
      <c r="A146" s="30" t="s">
        <v>10</v>
      </c>
      <c r="B146" s="69" t="s">
        <v>50</v>
      </c>
      <c r="C146" s="69"/>
      <c r="D146" s="22">
        <f>D112</f>
        <v>72.010000000000005</v>
      </c>
    </row>
    <row r="147" spans="1:4" x14ac:dyDescent="0.2">
      <c r="A147" s="30" t="s">
        <v>12</v>
      </c>
      <c r="B147" s="69" t="s">
        <v>55</v>
      </c>
      <c r="C147" s="69"/>
      <c r="D147" s="22">
        <f>D122</f>
        <v>31.46</v>
      </c>
    </row>
    <row r="148" spans="1:4" x14ac:dyDescent="0.2">
      <c r="A148" s="70" t="s">
        <v>94</v>
      </c>
      <c r="B148" s="70"/>
      <c r="C148" s="70"/>
      <c r="D148" s="23">
        <f>SUM(D143:D147)</f>
        <v>3833.8708000000001</v>
      </c>
    </row>
    <row r="149" spans="1:4" x14ac:dyDescent="0.2">
      <c r="A149" s="30" t="s">
        <v>32</v>
      </c>
      <c r="B149" s="69" t="s">
        <v>70</v>
      </c>
      <c r="C149" s="69"/>
      <c r="D149" s="24">
        <f>D137</f>
        <v>575.39538771756975</v>
      </c>
    </row>
    <row r="150" spans="1:4" x14ac:dyDescent="0.2">
      <c r="A150" s="70" t="s">
        <v>71</v>
      </c>
      <c r="B150" s="70"/>
      <c r="C150" s="70"/>
      <c r="D150" s="23">
        <f>ROUND(SUM(D148:D149),2)</f>
        <v>4409.2700000000004</v>
      </c>
    </row>
  </sheetData>
  <mergeCells count="71">
    <mergeCell ref="C10:D10"/>
    <mergeCell ref="A1:D1"/>
    <mergeCell ref="A3:D3"/>
    <mergeCell ref="A5:B5"/>
    <mergeCell ref="A6:B6"/>
    <mergeCell ref="A8:D8"/>
    <mergeCell ref="B24:C24"/>
    <mergeCell ref="C11:D11"/>
    <mergeCell ref="C12:D12"/>
    <mergeCell ref="C13:D13"/>
    <mergeCell ref="C14:D14"/>
    <mergeCell ref="A16:D16"/>
    <mergeCell ref="B18:C18"/>
    <mergeCell ref="B19:C19"/>
    <mergeCell ref="B20:C20"/>
    <mergeCell ref="B21:C21"/>
    <mergeCell ref="B22:C22"/>
    <mergeCell ref="B23:C23"/>
    <mergeCell ref="B57:C57"/>
    <mergeCell ref="B25:C25"/>
    <mergeCell ref="A26:C26"/>
    <mergeCell ref="A29:D29"/>
    <mergeCell ref="A31:D31"/>
    <mergeCell ref="B33:C33"/>
    <mergeCell ref="A36:B36"/>
    <mergeCell ref="A39:D39"/>
    <mergeCell ref="A50:B50"/>
    <mergeCell ref="A53:D53"/>
    <mergeCell ref="B55:C55"/>
    <mergeCell ref="B56:C56"/>
    <mergeCell ref="B75:C75"/>
    <mergeCell ref="B58:C58"/>
    <mergeCell ref="B59:C59"/>
    <mergeCell ref="B60:C60"/>
    <mergeCell ref="A61:C61"/>
    <mergeCell ref="A64:D64"/>
    <mergeCell ref="B66:C66"/>
    <mergeCell ref="B67:C67"/>
    <mergeCell ref="B68:C68"/>
    <mergeCell ref="B69:C69"/>
    <mergeCell ref="A70:C70"/>
    <mergeCell ref="A73:D73"/>
    <mergeCell ref="B110:C110"/>
    <mergeCell ref="A82:C82"/>
    <mergeCell ref="A85:D85"/>
    <mergeCell ref="A88:D88"/>
    <mergeCell ref="B90:C90"/>
    <mergeCell ref="A97:C97"/>
    <mergeCell ref="A100:D100"/>
    <mergeCell ref="B102:C102"/>
    <mergeCell ref="B103:C103"/>
    <mergeCell ref="A104:C104"/>
    <mergeCell ref="A107:D107"/>
    <mergeCell ref="B109:C109"/>
    <mergeCell ref="B145:C145"/>
    <mergeCell ref="B111:C111"/>
    <mergeCell ref="A112:C112"/>
    <mergeCell ref="A115:D115"/>
    <mergeCell ref="B117:C117"/>
    <mergeCell ref="A122:C122"/>
    <mergeCell ref="A125:D125"/>
    <mergeCell ref="A137:B137"/>
    <mergeCell ref="A140:D140"/>
    <mergeCell ref="B142:C142"/>
    <mergeCell ref="B143:C143"/>
    <mergeCell ref="B144:C144"/>
    <mergeCell ref="B146:C146"/>
    <mergeCell ref="B147:C147"/>
    <mergeCell ref="A148:C148"/>
    <mergeCell ref="B149:C149"/>
    <mergeCell ref="A150:C150"/>
  </mergeCells>
  <pageMargins left="0.51181102362204722" right="0.51181102362204722" top="0.98425196850393704" bottom="0.78740157480314965" header="0.31496062992125984" footer="0.31496062992125984"/>
  <pageSetup paperSize="9" scale="84" fitToHeight="0" orientation="portrait" r:id="rId1"/>
  <headerFooter>
    <oddHeader>&amp;C&amp;G</oddHeader>
    <oddFooter>&amp;L&amp;"-,Negrito"Documento elaborado em &amp;D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0"/>
  <sheetViews>
    <sheetView view="pageBreakPreview" zoomScaleNormal="115" zoomScaleSheetLayoutView="100" workbookViewId="0">
      <selection activeCell="C130" sqref="C130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74" t="s">
        <v>0</v>
      </c>
      <c r="B1" s="74"/>
      <c r="C1" s="74"/>
      <c r="D1" s="74"/>
    </row>
    <row r="2" spans="1:4" ht="15.75" x14ac:dyDescent="0.25">
      <c r="A2" s="26"/>
      <c r="B2" s="26"/>
      <c r="C2" s="26"/>
      <c r="D2" s="26"/>
    </row>
    <row r="3" spans="1:4" x14ac:dyDescent="0.2">
      <c r="A3" s="76" t="s">
        <v>88</v>
      </c>
      <c r="B3" s="76"/>
      <c r="C3" s="76"/>
      <c r="D3" s="76"/>
    </row>
    <row r="4" spans="1:4" x14ac:dyDescent="0.2">
      <c r="A4" s="2"/>
      <c r="B4" s="2"/>
      <c r="C4" s="2"/>
      <c r="D4" s="2"/>
    </row>
    <row r="5" spans="1:4" ht="38.25" x14ac:dyDescent="0.2">
      <c r="A5" s="83" t="s">
        <v>89</v>
      </c>
      <c r="B5" s="83"/>
      <c r="C5" s="32" t="s">
        <v>90</v>
      </c>
      <c r="D5" s="27" t="s">
        <v>91</v>
      </c>
    </row>
    <row r="6" spans="1:4" x14ac:dyDescent="0.2">
      <c r="A6" s="84" t="s">
        <v>119</v>
      </c>
      <c r="B6" s="84"/>
      <c r="C6" s="33" t="s">
        <v>101</v>
      </c>
      <c r="D6" s="33">
        <v>7</v>
      </c>
    </row>
    <row r="8" spans="1:4" x14ac:dyDescent="0.2">
      <c r="A8" s="76" t="s">
        <v>72</v>
      </c>
      <c r="B8" s="76"/>
      <c r="C8" s="76"/>
      <c r="D8" s="76"/>
    </row>
    <row r="9" spans="1:4" x14ac:dyDescent="0.2">
      <c r="A9" s="2"/>
      <c r="B9" s="2"/>
      <c r="C9" s="2"/>
      <c r="D9" s="2"/>
    </row>
    <row r="10" spans="1:4" x14ac:dyDescent="0.2">
      <c r="A10" s="5">
        <v>1</v>
      </c>
      <c r="B10" s="5" t="s">
        <v>73</v>
      </c>
      <c r="C10" s="85" t="s">
        <v>119</v>
      </c>
      <c r="D10" s="86"/>
    </row>
    <row r="11" spans="1:4" x14ac:dyDescent="0.2">
      <c r="A11" s="5">
        <v>2</v>
      </c>
      <c r="B11" s="5" t="s">
        <v>92</v>
      </c>
      <c r="C11" s="85" t="s">
        <v>117</v>
      </c>
      <c r="D11" s="86"/>
    </row>
    <row r="12" spans="1:4" x14ac:dyDescent="0.2">
      <c r="A12" s="5">
        <v>3</v>
      </c>
      <c r="B12" s="5" t="s">
        <v>74</v>
      </c>
      <c r="C12" s="87">
        <v>1988.81</v>
      </c>
      <c r="D12" s="86"/>
    </row>
    <row r="13" spans="1:4" x14ac:dyDescent="0.2">
      <c r="A13" s="5">
        <v>4</v>
      </c>
      <c r="B13" s="5" t="s">
        <v>75</v>
      </c>
      <c r="C13" s="85"/>
      <c r="D13" s="86"/>
    </row>
    <row r="14" spans="1:4" x14ac:dyDescent="0.2">
      <c r="A14" s="5">
        <v>5</v>
      </c>
      <c r="B14" s="5" t="s">
        <v>76</v>
      </c>
      <c r="C14" s="85"/>
      <c r="D14" s="86"/>
    </row>
    <row r="16" spans="1:4" x14ac:dyDescent="0.2">
      <c r="A16" s="76" t="s">
        <v>1</v>
      </c>
      <c r="B16" s="76"/>
      <c r="C16" s="76"/>
      <c r="D16" s="76"/>
    </row>
    <row r="18" spans="1:4" x14ac:dyDescent="0.2">
      <c r="A18" s="30">
        <v>1</v>
      </c>
      <c r="B18" s="70" t="s">
        <v>2</v>
      </c>
      <c r="C18" s="70"/>
      <c r="D18" s="30" t="s">
        <v>3</v>
      </c>
    </row>
    <row r="19" spans="1:4" x14ac:dyDescent="0.2">
      <c r="A19" s="32" t="s">
        <v>4</v>
      </c>
      <c r="B19" s="69" t="s">
        <v>5</v>
      </c>
      <c r="C19" s="69"/>
      <c r="D19" s="13">
        <v>1988.81</v>
      </c>
    </row>
    <row r="20" spans="1:4" x14ac:dyDescent="0.2">
      <c r="A20" s="32" t="s">
        <v>6</v>
      </c>
      <c r="B20" s="69" t="s">
        <v>7</v>
      </c>
      <c r="C20" s="69"/>
      <c r="D20" s="13"/>
    </row>
    <row r="21" spans="1:4" x14ac:dyDescent="0.2">
      <c r="A21" s="32" t="s">
        <v>8</v>
      </c>
      <c r="B21" s="69" t="s">
        <v>9</v>
      </c>
      <c r="C21" s="69"/>
      <c r="D21" s="13"/>
    </row>
    <row r="22" spans="1:4" x14ac:dyDescent="0.2">
      <c r="A22" s="32" t="s">
        <v>10</v>
      </c>
      <c r="B22" s="69" t="s">
        <v>11</v>
      </c>
      <c r="C22" s="69"/>
      <c r="D22" s="13"/>
    </row>
    <row r="23" spans="1:4" x14ac:dyDescent="0.2">
      <c r="A23" s="32" t="s">
        <v>12</v>
      </c>
      <c r="B23" s="69" t="s">
        <v>13</v>
      </c>
      <c r="C23" s="69"/>
      <c r="D23" s="13"/>
    </row>
    <row r="24" spans="1:4" x14ac:dyDescent="0.2">
      <c r="A24" s="32"/>
      <c r="B24" s="69"/>
      <c r="C24" s="69"/>
      <c r="D24" s="13"/>
    </row>
    <row r="25" spans="1:4" x14ac:dyDescent="0.2">
      <c r="A25" s="32" t="s">
        <v>14</v>
      </c>
      <c r="B25" s="69" t="s">
        <v>15</v>
      </c>
      <c r="C25" s="69"/>
      <c r="D25" s="13"/>
    </row>
    <row r="26" spans="1:4" x14ac:dyDescent="0.2">
      <c r="A26" s="70" t="s">
        <v>16</v>
      </c>
      <c r="B26" s="70"/>
      <c r="C26" s="70"/>
      <c r="D26" s="20">
        <f>SUM(D19:D25)</f>
        <v>1988.81</v>
      </c>
    </row>
    <row r="29" spans="1:4" x14ac:dyDescent="0.2">
      <c r="A29" s="73" t="s">
        <v>17</v>
      </c>
      <c r="B29" s="73"/>
      <c r="C29" s="73"/>
      <c r="D29" s="73"/>
    </row>
    <row r="30" spans="1:4" x14ac:dyDescent="0.2">
      <c r="A30" s="3"/>
    </row>
    <row r="31" spans="1:4" x14ac:dyDescent="0.2">
      <c r="A31" s="71" t="s">
        <v>18</v>
      </c>
      <c r="B31" s="71"/>
      <c r="C31" s="71"/>
      <c r="D31" s="71"/>
    </row>
    <row r="33" spans="1:4" x14ac:dyDescent="0.2">
      <c r="A33" s="30" t="s">
        <v>19</v>
      </c>
      <c r="B33" s="70" t="s">
        <v>20</v>
      </c>
      <c r="C33" s="70"/>
      <c r="D33" s="30" t="s">
        <v>3</v>
      </c>
    </row>
    <row r="34" spans="1:4" x14ac:dyDescent="0.2">
      <c r="A34" s="32" t="s">
        <v>4</v>
      </c>
      <c r="B34" s="29" t="s">
        <v>21</v>
      </c>
      <c r="C34" s="12">
        <f>TRUNC(1/12,4)</f>
        <v>8.3299999999999999E-2</v>
      </c>
      <c r="D34" s="13">
        <f>TRUNC($D$26*C34,2)</f>
        <v>165.66</v>
      </c>
    </row>
    <row r="35" spans="1:4" x14ac:dyDescent="0.2">
      <c r="A35" s="32" t="s">
        <v>6</v>
      </c>
      <c r="B35" s="29" t="s">
        <v>22</v>
      </c>
      <c r="C35" s="12">
        <f>TRUNC(((1+1/3)/12),4)</f>
        <v>0.1111</v>
      </c>
      <c r="D35" s="13">
        <f>TRUNC($D$26*C35,2)</f>
        <v>220.95</v>
      </c>
    </row>
    <row r="36" spans="1:4" x14ac:dyDescent="0.2">
      <c r="A36" s="70" t="s">
        <v>16</v>
      </c>
      <c r="B36" s="70"/>
      <c r="C36" s="28">
        <f>SUM(C34:C35)</f>
        <v>0.19440000000000002</v>
      </c>
      <c r="D36" s="19">
        <f>SUM(D34:D35)</f>
        <v>386.61</v>
      </c>
    </row>
    <row r="39" spans="1:4" x14ac:dyDescent="0.2">
      <c r="A39" s="75" t="s">
        <v>23</v>
      </c>
      <c r="B39" s="75"/>
      <c r="C39" s="75"/>
      <c r="D39" s="75"/>
    </row>
    <row r="41" spans="1:4" x14ac:dyDescent="0.2">
      <c r="A41" s="30" t="s">
        <v>24</v>
      </c>
      <c r="B41" s="30" t="s">
        <v>25</v>
      </c>
      <c r="C41" s="30" t="s">
        <v>26</v>
      </c>
      <c r="D41" s="30" t="s">
        <v>3</v>
      </c>
    </row>
    <row r="42" spans="1:4" x14ac:dyDescent="0.2">
      <c r="A42" s="32" t="s">
        <v>4</v>
      </c>
      <c r="B42" s="29" t="s">
        <v>27</v>
      </c>
      <c r="C42" s="9">
        <v>0.2</v>
      </c>
      <c r="D42" s="13">
        <f>TRUNC(($D$26+$D$36)*C42,2)</f>
        <v>475.08</v>
      </c>
    </row>
    <row r="43" spans="1:4" x14ac:dyDescent="0.2">
      <c r="A43" s="32" t="s">
        <v>6</v>
      </c>
      <c r="B43" s="29" t="s">
        <v>28</v>
      </c>
      <c r="C43" s="9">
        <v>2.5000000000000001E-2</v>
      </c>
      <c r="D43" s="13">
        <f t="shared" ref="D43:D49" si="0">TRUNC(($D$26+$D$36)*C43,2)</f>
        <v>59.38</v>
      </c>
    </row>
    <row r="44" spans="1:4" x14ac:dyDescent="0.2">
      <c r="A44" s="32" t="s">
        <v>8</v>
      </c>
      <c r="B44" s="29" t="s">
        <v>29</v>
      </c>
      <c r="C44" s="16">
        <v>0.03</v>
      </c>
      <c r="D44" s="13">
        <f t="shared" si="0"/>
        <v>71.260000000000005</v>
      </c>
    </row>
    <row r="45" spans="1:4" x14ac:dyDescent="0.2">
      <c r="A45" s="32" t="s">
        <v>10</v>
      </c>
      <c r="B45" s="29" t="s">
        <v>30</v>
      </c>
      <c r="C45" s="9">
        <v>1.4999999999999999E-2</v>
      </c>
      <c r="D45" s="13">
        <f t="shared" si="0"/>
        <v>35.630000000000003</v>
      </c>
    </row>
    <row r="46" spans="1:4" x14ac:dyDescent="0.2">
      <c r="A46" s="32" t="s">
        <v>12</v>
      </c>
      <c r="B46" s="29" t="s">
        <v>31</v>
      </c>
      <c r="C46" s="9">
        <v>0.01</v>
      </c>
      <c r="D46" s="13">
        <f t="shared" si="0"/>
        <v>23.75</v>
      </c>
    </row>
    <row r="47" spans="1:4" x14ac:dyDescent="0.2">
      <c r="A47" s="32" t="s">
        <v>32</v>
      </c>
      <c r="B47" s="29" t="s">
        <v>33</v>
      </c>
      <c r="C47" s="9">
        <v>6.0000000000000001E-3</v>
      </c>
      <c r="D47" s="13">
        <f t="shared" si="0"/>
        <v>14.25</v>
      </c>
    </row>
    <row r="48" spans="1:4" x14ac:dyDescent="0.2">
      <c r="A48" s="32" t="s">
        <v>14</v>
      </c>
      <c r="B48" s="29" t="s">
        <v>34</v>
      </c>
      <c r="C48" s="9">
        <v>2E-3</v>
      </c>
      <c r="D48" s="13">
        <f t="shared" si="0"/>
        <v>4.75</v>
      </c>
    </row>
    <row r="49" spans="1:4" x14ac:dyDescent="0.2">
      <c r="A49" s="32" t="s">
        <v>35</v>
      </c>
      <c r="B49" s="29" t="s">
        <v>36</v>
      </c>
      <c r="C49" s="9">
        <v>0.08</v>
      </c>
      <c r="D49" s="13">
        <f t="shared" si="0"/>
        <v>190.03</v>
      </c>
    </row>
    <row r="50" spans="1:4" x14ac:dyDescent="0.2">
      <c r="A50" s="70" t="s">
        <v>37</v>
      </c>
      <c r="B50" s="70"/>
      <c r="C50" s="15">
        <f>SUM(C42:C49)</f>
        <v>0.36800000000000005</v>
      </c>
      <c r="D50" s="19">
        <f>SUM(D42:D49)</f>
        <v>874.13</v>
      </c>
    </row>
    <row r="53" spans="1:4" x14ac:dyDescent="0.2">
      <c r="A53" s="71" t="s">
        <v>38</v>
      </c>
      <c r="B53" s="71"/>
      <c r="C53" s="71"/>
      <c r="D53" s="71"/>
    </row>
    <row r="55" spans="1:4" x14ac:dyDescent="0.2">
      <c r="A55" s="30" t="s">
        <v>39</v>
      </c>
      <c r="B55" s="72" t="s">
        <v>40</v>
      </c>
      <c r="C55" s="72"/>
      <c r="D55" s="30" t="s">
        <v>3</v>
      </c>
    </row>
    <row r="56" spans="1:4" x14ac:dyDescent="0.2">
      <c r="A56" s="32" t="s">
        <v>4</v>
      </c>
      <c r="B56" s="69" t="s">
        <v>41</v>
      </c>
      <c r="C56" s="69"/>
      <c r="D56" s="13">
        <f>IF((22*2*5.6)-(D19*0.06)&gt;0,(22*2*5.6)-(D19*0.06),0)</f>
        <v>127.07139999999998</v>
      </c>
    </row>
    <row r="57" spans="1:4" x14ac:dyDescent="0.2">
      <c r="A57" s="32" t="s">
        <v>6</v>
      </c>
      <c r="B57" s="69" t="s">
        <v>42</v>
      </c>
      <c r="C57" s="69"/>
      <c r="D57" s="13">
        <f>20*0.8*22</f>
        <v>352</v>
      </c>
    </row>
    <row r="58" spans="1:4" x14ac:dyDescent="0.2">
      <c r="A58" s="32" t="s">
        <v>8</v>
      </c>
      <c r="B58" s="69" t="s">
        <v>103</v>
      </c>
      <c r="C58" s="69"/>
      <c r="D58" s="13">
        <v>280</v>
      </c>
    </row>
    <row r="59" spans="1:4" x14ac:dyDescent="0.2">
      <c r="A59" s="32" t="s">
        <v>10</v>
      </c>
      <c r="B59" s="69" t="s">
        <v>104</v>
      </c>
      <c r="C59" s="69"/>
      <c r="D59" s="13">
        <v>23</v>
      </c>
    </row>
    <row r="60" spans="1:4" x14ac:dyDescent="0.2">
      <c r="A60" s="32" t="s">
        <v>12</v>
      </c>
      <c r="B60" s="69" t="s">
        <v>105</v>
      </c>
      <c r="C60" s="69"/>
      <c r="D60" s="13">
        <v>4.8</v>
      </c>
    </row>
    <row r="61" spans="1:4" x14ac:dyDescent="0.2">
      <c r="A61" s="70" t="s">
        <v>16</v>
      </c>
      <c r="B61" s="70"/>
      <c r="C61" s="70"/>
      <c r="D61" s="19">
        <f>SUM(D56:D60)</f>
        <v>786.87139999999999</v>
      </c>
    </row>
    <row r="64" spans="1:4" x14ac:dyDescent="0.2">
      <c r="A64" s="71" t="s">
        <v>43</v>
      </c>
      <c r="B64" s="71"/>
      <c r="C64" s="71"/>
      <c r="D64" s="71"/>
    </row>
    <row r="66" spans="1:5" x14ac:dyDescent="0.2">
      <c r="A66" s="30">
        <v>2</v>
      </c>
      <c r="B66" s="72" t="s">
        <v>44</v>
      </c>
      <c r="C66" s="72"/>
      <c r="D66" s="30" t="s">
        <v>3</v>
      </c>
    </row>
    <row r="67" spans="1:5" x14ac:dyDescent="0.2">
      <c r="A67" s="32" t="s">
        <v>19</v>
      </c>
      <c r="B67" s="69" t="s">
        <v>20</v>
      </c>
      <c r="C67" s="69"/>
      <c r="D67" s="14">
        <f>D36</f>
        <v>386.61</v>
      </c>
    </row>
    <row r="68" spans="1:5" x14ac:dyDescent="0.2">
      <c r="A68" s="32" t="s">
        <v>24</v>
      </c>
      <c r="B68" s="69" t="s">
        <v>25</v>
      </c>
      <c r="C68" s="69"/>
      <c r="D68" s="14">
        <f>D50</f>
        <v>874.13</v>
      </c>
    </row>
    <row r="69" spans="1:5" x14ac:dyDescent="0.2">
      <c r="A69" s="32" t="s">
        <v>39</v>
      </c>
      <c r="B69" s="69" t="s">
        <v>40</v>
      </c>
      <c r="C69" s="69"/>
      <c r="D69" s="14">
        <f>D61</f>
        <v>786.87139999999999</v>
      </c>
    </row>
    <row r="70" spans="1:5" x14ac:dyDescent="0.2">
      <c r="A70" s="70" t="s">
        <v>16</v>
      </c>
      <c r="B70" s="70"/>
      <c r="C70" s="70"/>
      <c r="D70" s="19">
        <f>SUM(D67:D69)</f>
        <v>2047.6114</v>
      </c>
    </row>
    <row r="71" spans="1:5" x14ac:dyDescent="0.2">
      <c r="A71" s="4"/>
      <c r="E71" s="18"/>
    </row>
    <row r="73" spans="1:5" x14ac:dyDescent="0.2">
      <c r="A73" s="73" t="s">
        <v>45</v>
      </c>
      <c r="B73" s="73"/>
      <c r="C73" s="73"/>
      <c r="D73" s="73"/>
      <c r="E73" s="17"/>
    </row>
    <row r="74" spans="1:5" ht="12.75" customHeight="1" x14ac:dyDescent="0.2">
      <c r="E74" s="18"/>
    </row>
    <row r="75" spans="1:5" x14ac:dyDescent="0.2">
      <c r="A75" s="30">
        <v>3</v>
      </c>
      <c r="B75" s="72" t="s">
        <v>46</v>
      </c>
      <c r="C75" s="72"/>
      <c r="D75" s="30" t="s">
        <v>3</v>
      </c>
    </row>
    <row r="76" spans="1:5" x14ac:dyDescent="0.2">
      <c r="A76" s="32" t="s">
        <v>4</v>
      </c>
      <c r="B76" s="10" t="s">
        <v>47</v>
      </c>
      <c r="C76" s="9">
        <f>TRUNC(((1/12)*5%),4)</f>
        <v>4.1000000000000003E-3</v>
      </c>
      <c r="D76" s="13">
        <f>TRUNC($D$26*C76,2)</f>
        <v>8.15</v>
      </c>
    </row>
    <row r="77" spans="1:5" x14ac:dyDescent="0.2">
      <c r="A77" s="32" t="s">
        <v>6</v>
      </c>
      <c r="B77" s="10" t="s">
        <v>48</v>
      </c>
      <c r="C77" s="9">
        <v>0.08</v>
      </c>
      <c r="D77" s="13">
        <f>TRUNC(D76*C77,2)</f>
        <v>0.65</v>
      </c>
    </row>
    <row r="78" spans="1:5" x14ac:dyDescent="0.2">
      <c r="A78" s="32" t="s">
        <v>8</v>
      </c>
      <c r="B78" s="10" t="s">
        <v>98</v>
      </c>
      <c r="C78" s="9">
        <f>TRUNC(8%*5%*40%,4)</f>
        <v>1.6000000000000001E-3</v>
      </c>
      <c r="D78" s="13">
        <f>TRUNC($D$26*C78,2)</f>
        <v>3.18</v>
      </c>
    </row>
    <row r="79" spans="1:5" x14ac:dyDescent="0.2">
      <c r="A79" s="32" t="s">
        <v>10</v>
      </c>
      <c r="B79" s="10" t="s">
        <v>49</v>
      </c>
      <c r="C79" s="9">
        <f>TRUNC(((7/30)/12)*95%,4)</f>
        <v>1.84E-2</v>
      </c>
      <c r="D79" s="13">
        <f>TRUNC($D$26*C79,2)</f>
        <v>36.590000000000003</v>
      </c>
    </row>
    <row r="80" spans="1:5" ht="25.5" x14ac:dyDescent="0.2">
      <c r="A80" s="32" t="s">
        <v>12</v>
      </c>
      <c r="B80" s="10" t="s">
        <v>93</v>
      </c>
      <c r="C80" s="9">
        <f>C50</f>
        <v>0.36800000000000005</v>
      </c>
      <c r="D80" s="13">
        <f>TRUNC(D79*C80,2)</f>
        <v>13.46</v>
      </c>
    </row>
    <row r="81" spans="1:4" x14ac:dyDescent="0.2">
      <c r="A81" s="32" t="s">
        <v>32</v>
      </c>
      <c r="B81" s="10" t="s">
        <v>99</v>
      </c>
      <c r="C81" s="9">
        <f>TRUNC(8%*95%*40%,4)</f>
        <v>3.04E-2</v>
      </c>
      <c r="D81" s="13">
        <f t="shared" ref="D81" si="1">TRUNC($D$26*C81,2)</f>
        <v>60.45</v>
      </c>
    </row>
    <row r="82" spans="1:4" x14ac:dyDescent="0.2">
      <c r="A82" s="77" t="s">
        <v>16</v>
      </c>
      <c r="B82" s="78"/>
      <c r="C82" s="79"/>
      <c r="D82" s="19">
        <f>SUM(D76:D81)</f>
        <v>122.48000000000002</v>
      </c>
    </row>
    <row r="85" spans="1:4" x14ac:dyDescent="0.2">
      <c r="A85" s="73" t="s">
        <v>50</v>
      </c>
      <c r="B85" s="73"/>
      <c r="C85" s="73"/>
      <c r="D85" s="73"/>
    </row>
    <row r="88" spans="1:4" x14ac:dyDescent="0.2">
      <c r="A88" s="71" t="s">
        <v>77</v>
      </c>
      <c r="B88" s="71"/>
      <c r="C88" s="71"/>
      <c r="D88" s="71"/>
    </row>
    <row r="89" spans="1:4" x14ac:dyDescent="0.2">
      <c r="A89" s="3"/>
    </row>
    <row r="90" spans="1:4" x14ac:dyDescent="0.2">
      <c r="A90" s="30" t="s">
        <v>51</v>
      </c>
      <c r="B90" s="72" t="s">
        <v>78</v>
      </c>
      <c r="C90" s="72"/>
      <c r="D90" s="30" t="s">
        <v>3</v>
      </c>
    </row>
    <row r="91" spans="1:4" x14ac:dyDescent="0.2">
      <c r="A91" s="32" t="s">
        <v>4</v>
      </c>
      <c r="B91" s="29" t="s">
        <v>79</v>
      </c>
      <c r="C91" s="9">
        <f>TRUNC(((1+1/3)/12)/12,4)</f>
        <v>9.1999999999999998E-3</v>
      </c>
      <c r="D91" s="13">
        <f>TRUNC(($D$26+$D$70+$D$82)*C91,2)</f>
        <v>38.26</v>
      </c>
    </row>
    <row r="92" spans="1:4" x14ac:dyDescent="0.2">
      <c r="A92" s="32" t="s">
        <v>6</v>
      </c>
      <c r="B92" s="29" t="s">
        <v>80</v>
      </c>
      <c r="C92" s="9">
        <f>TRUNC(((2/30)/12),4)</f>
        <v>5.4999999999999997E-3</v>
      </c>
      <c r="D92" s="13">
        <f t="shared" ref="D92:D96" si="2">TRUNC(($D$26+$D$70+$D$82)*C92,2)</f>
        <v>22.87</v>
      </c>
    </row>
    <row r="93" spans="1:4" x14ac:dyDescent="0.2">
      <c r="A93" s="32" t="s">
        <v>8</v>
      </c>
      <c r="B93" s="29" t="s">
        <v>81</v>
      </c>
      <c r="C93" s="9">
        <f>TRUNC(((5/30)/12)*2%,4)</f>
        <v>2.0000000000000001E-4</v>
      </c>
      <c r="D93" s="13">
        <f t="shared" si="2"/>
        <v>0.83</v>
      </c>
    </row>
    <row r="94" spans="1:4" x14ac:dyDescent="0.2">
      <c r="A94" s="32" t="s">
        <v>10</v>
      </c>
      <c r="B94" s="29" t="s">
        <v>82</v>
      </c>
      <c r="C94" s="9">
        <f>TRUNC(((15/30)/12)*8%,4)</f>
        <v>3.3E-3</v>
      </c>
      <c r="D94" s="13">
        <f t="shared" si="2"/>
        <v>13.72</v>
      </c>
    </row>
    <row r="95" spans="1:4" x14ac:dyDescent="0.2">
      <c r="A95" s="32" t="s">
        <v>12</v>
      </c>
      <c r="B95" s="29" t="s">
        <v>83</v>
      </c>
      <c r="C95" s="9">
        <f>((1+1/3)/12)*3%*(4/12)</f>
        <v>1.1111111111111109E-3</v>
      </c>
      <c r="D95" s="13">
        <f t="shared" si="2"/>
        <v>4.62</v>
      </c>
    </row>
    <row r="96" spans="1:4" x14ac:dyDescent="0.2">
      <c r="A96" s="32" t="s">
        <v>32</v>
      </c>
      <c r="B96" s="29" t="s">
        <v>84</v>
      </c>
      <c r="C96" s="9"/>
      <c r="D96" s="13">
        <f t="shared" si="2"/>
        <v>0</v>
      </c>
    </row>
    <row r="97" spans="1:6" x14ac:dyDescent="0.2">
      <c r="A97" s="70" t="s">
        <v>37</v>
      </c>
      <c r="B97" s="70"/>
      <c r="C97" s="70"/>
      <c r="D97" s="19">
        <f>SUM(D91:D96)</f>
        <v>80.3</v>
      </c>
      <c r="E97" s="17"/>
      <c r="F97" s="17"/>
    </row>
    <row r="100" spans="1:6" x14ac:dyDescent="0.2">
      <c r="A100" s="71" t="s">
        <v>85</v>
      </c>
      <c r="B100" s="71"/>
      <c r="C100" s="71"/>
      <c r="D100" s="71"/>
    </row>
    <row r="101" spans="1:6" x14ac:dyDescent="0.2">
      <c r="A101" s="3"/>
    </row>
    <row r="102" spans="1:6" x14ac:dyDescent="0.2">
      <c r="A102" s="30" t="s">
        <v>52</v>
      </c>
      <c r="B102" s="72" t="s">
        <v>86</v>
      </c>
      <c r="C102" s="72"/>
      <c r="D102" s="30" t="s">
        <v>3</v>
      </c>
    </row>
    <row r="103" spans="1:6" x14ac:dyDescent="0.2">
      <c r="A103" s="32" t="s">
        <v>4</v>
      </c>
      <c r="B103" s="80" t="s">
        <v>87</v>
      </c>
      <c r="C103" s="81"/>
      <c r="D103" s="13">
        <f>((D26+D70+D82)/220)*22*0</f>
        <v>0</v>
      </c>
    </row>
    <row r="104" spans="1:6" x14ac:dyDescent="0.2">
      <c r="A104" s="70" t="s">
        <v>16</v>
      </c>
      <c r="B104" s="70"/>
      <c r="C104" s="70"/>
      <c r="D104" s="19">
        <f>SUM(D103)</f>
        <v>0</v>
      </c>
    </row>
    <row r="107" spans="1:6" x14ac:dyDescent="0.2">
      <c r="A107" s="71" t="s">
        <v>53</v>
      </c>
      <c r="B107" s="71"/>
      <c r="C107" s="71"/>
      <c r="D107" s="71"/>
    </row>
    <row r="108" spans="1:6" x14ac:dyDescent="0.2">
      <c r="A108" s="3"/>
    </row>
    <row r="109" spans="1:6" x14ac:dyDescent="0.2">
      <c r="A109" s="30">
        <v>4</v>
      </c>
      <c r="B109" s="70" t="s">
        <v>54</v>
      </c>
      <c r="C109" s="70"/>
      <c r="D109" s="30" t="s">
        <v>3</v>
      </c>
    </row>
    <row r="110" spans="1:6" x14ac:dyDescent="0.2">
      <c r="A110" s="32" t="s">
        <v>51</v>
      </c>
      <c r="B110" s="69" t="s">
        <v>78</v>
      </c>
      <c r="C110" s="69"/>
      <c r="D110" s="14">
        <f>D97</f>
        <v>80.3</v>
      </c>
    </row>
    <row r="111" spans="1:6" x14ac:dyDescent="0.2">
      <c r="A111" s="32" t="s">
        <v>52</v>
      </c>
      <c r="B111" s="69" t="s">
        <v>86</v>
      </c>
      <c r="C111" s="69"/>
      <c r="D111" s="14">
        <f>D104</f>
        <v>0</v>
      </c>
    </row>
    <row r="112" spans="1:6" x14ac:dyDescent="0.2">
      <c r="A112" s="70" t="s">
        <v>16</v>
      </c>
      <c r="B112" s="70"/>
      <c r="C112" s="70"/>
      <c r="D112" s="19">
        <f>SUM(D110:D111)</f>
        <v>80.3</v>
      </c>
    </row>
    <row r="115" spans="1:4" x14ac:dyDescent="0.2">
      <c r="A115" s="73" t="s">
        <v>55</v>
      </c>
      <c r="B115" s="73"/>
      <c r="C115" s="73"/>
      <c r="D115" s="73"/>
    </row>
    <row r="117" spans="1:4" x14ac:dyDescent="0.2">
      <c r="A117" s="30">
        <v>5</v>
      </c>
      <c r="B117" s="82" t="s">
        <v>56</v>
      </c>
      <c r="C117" s="82"/>
      <c r="D117" s="30" t="s">
        <v>3</v>
      </c>
    </row>
    <row r="118" spans="1:4" x14ac:dyDescent="0.2">
      <c r="A118" s="32" t="s">
        <v>4</v>
      </c>
      <c r="B118" s="29" t="s">
        <v>57</v>
      </c>
      <c r="C118" s="29"/>
      <c r="D118" s="13">
        <v>31.46</v>
      </c>
    </row>
    <row r="119" spans="1:4" x14ac:dyDescent="0.2">
      <c r="A119" s="32" t="s">
        <v>6</v>
      </c>
      <c r="B119" s="29" t="s">
        <v>58</v>
      </c>
      <c r="C119" s="29"/>
      <c r="D119" s="13"/>
    </row>
    <row r="120" spans="1:4" x14ac:dyDescent="0.2">
      <c r="A120" s="32" t="s">
        <v>8</v>
      </c>
      <c r="B120" s="29" t="s">
        <v>59</v>
      </c>
      <c r="C120" s="29"/>
      <c r="D120" s="13"/>
    </row>
    <row r="121" spans="1:4" x14ac:dyDescent="0.2">
      <c r="A121" s="32" t="s">
        <v>10</v>
      </c>
      <c r="B121" s="29" t="s">
        <v>15</v>
      </c>
      <c r="C121" s="29"/>
      <c r="D121" s="13"/>
    </row>
    <row r="122" spans="1:4" x14ac:dyDescent="0.2">
      <c r="A122" s="70" t="s">
        <v>37</v>
      </c>
      <c r="B122" s="70"/>
      <c r="C122" s="70"/>
      <c r="D122" s="20">
        <f>SUM(D118:D121)</f>
        <v>31.46</v>
      </c>
    </row>
    <row r="125" spans="1:4" x14ac:dyDescent="0.2">
      <c r="A125" s="73" t="s">
        <v>60</v>
      </c>
      <c r="B125" s="73"/>
      <c r="C125" s="73"/>
      <c r="D125" s="73"/>
    </row>
    <row r="127" spans="1:4" x14ac:dyDescent="0.2">
      <c r="A127" s="30">
        <v>6</v>
      </c>
      <c r="B127" s="31" t="s">
        <v>61</v>
      </c>
      <c r="C127" s="30" t="s">
        <v>26</v>
      </c>
      <c r="D127" s="30" t="s">
        <v>3</v>
      </c>
    </row>
    <row r="128" spans="1:4" x14ac:dyDescent="0.2">
      <c r="A128" s="32" t="s">
        <v>4</v>
      </c>
      <c r="B128" s="29" t="s">
        <v>62</v>
      </c>
      <c r="C128" s="9">
        <v>0.02</v>
      </c>
      <c r="D128" s="14">
        <f>D148*C128</f>
        <v>85.413228000000018</v>
      </c>
    </row>
    <row r="129" spans="1:4" x14ac:dyDescent="0.2">
      <c r="A129" s="32" t="s">
        <v>6</v>
      </c>
      <c r="B129" s="29" t="s">
        <v>63</v>
      </c>
      <c r="C129" s="9">
        <v>0.03</v>
      </c>
      <c r="D129" s="13">
        <f>(D148+D128)*C129</f>
        <v>130.68223884000002</v>
      </c>
    </row>
    <row r="130" spans="1:4" x14ac:dyDescent="0.2">
      <c r="A130" s="32" t="s">
        <v>8</v>
      </c>
      <c r="B130" s="29" t="s">
        <v>64</v>
      </c>
      <c r="C130" s="12">
        <f>SUM(C131:C136)</f>
        <v>8.6499999999999994E-2</v>
      </c>
      <c r="D130" s="13">
        <f>(D148+D128+D129)*C130/(1-C130)</f>
        <v>424.85437217477835</v>
      </c>
    </row>
    <row r="131" spans="1:4" x14ac:dyDescent="0.2">
      <c r="A131" s="32"/>
      <c r="B131" s="29" t="s">
        <v>65</v>
      </c>
      <c r="C131" s="9"/>
      <c r="D131" s="14">
        <f>$D$150*C131</f>
        <v>0</v>
      </c>
    </row>
    <row r="132" spans="1:4" x14ac:dyDescent="0.2">
      <c r="A132" s="32"/>
      <c r="B132" s="29" t="s">
        <v>95</v>
      </c>
      <c r="C132" s="9">
        <v>6.4999999999999997E-3</v>
      </c>
      <c r="D132" s="14">
        <f t="shared" ref="D132:D136" si="3">$D$150*C132</f>
        <v>31.925464999999996</v>
      </c>
    </row>
    <row r="133" spans="1:4" x14ac:dyDescent="0.2">
      <c r="A133" s="32"/>
      <c r="B133" s="29" t="s">
        <v>96</v>
      </c>
      <c r="C133" s="9">
        <v>0.03</v>
      </c>
      <c r="D133" s="14">
        <f t="shared" si="3"/>
        <v>147.34829999999999</v>
      </c>
    </row>
    <row r="134" spans="1:4" x14ac:dyDescent="0.2">
      <c r="A134" s="32"/>
      <c r="B134" s="29" t="s">
        <v>66</v>
      </c>
      <c r="C134" s="32"/>
      <c r="D134" s="14">
        <f t="shared" si="3"/>
        <v>0</v>
      </c>
    </row>
    <row r="135" spans="1:4" x14ac:dyDescent="0.2">
      <c r="A135" s="32"/>
      <c r="B135" s="29" t="s">
        <v>67</v>
      </c>
      <c r="C135" s="9"/>
      <c r="D135" s="14">
        <f t="shared" si="3"/>
        <v>0</v>
      </c>
    </row>
    <row r="136" spans="1:4" x14ac:dyDescent="0.2">
      <c r="A136" s="32"/>
      <c r="B136" s="29" t="s">
        <v>97</v>
      </c>
      <c r="C136" s="9">
        <v>0.05</v>
      </c>
      <c r="D136" s="14">
        <f t="shared" si="3"/>
        <v>245.5805</v>
      </c>
    </row>
    <row r="137" spans="1:4" ht="13.5" x14ac:dyDescent="0.2">
      <c r="A137" s="77" t="s">
        <v>37</v>
      </c>
      <c r="B137" s="78"/>
      <c r="C137" s="21">
        <f>(1+C129)*(1+C128)/(1-C130)-1</f>
        <v>0.15008210180623971</v>
      </c>
      <c r="D137" s="19">
        <f>SUM(D128:D130)</f>
        <v>640.94983901477838</v>
      </c>
    </row>
    <row r="140" spans="1:4" x14ac:dyDescent="0.2">
      <c r="A140" s="73" t="s">
        <v>68</v>
      </c>
      <c r="B140" s="73"/>
      <c r="C140" s="73"/>
      <c r="D140" s="73"/>
    </row>
    <row r="142" spans="1:4" x14ac:dyDescent="0.2">
      <c r="A142" s="30"/>
      <c r="B142" s="70" t="s">
        <v>69</v>
      </c>
      <c r="C142" s="70"/>
      <c r="D142" s="30" t="s">
        <v>3</v>
      </c>
    </row>
    <row r="143" spans="1:4" x14ac:dyDescent="0.2">
      <c r="A143" s="30" t="s">
        <v>4</v>
      </c>
      <c r="B143" s="69" t="s">
        <v>1</v>
      </c>
      <c r="C143" s="69"/>
      <c r="D143" s="22">
        <f>D26</f>
        <v>1988.81</v>
      </c>
    </row>
    <row r="144" spans="1:4" x14ac:dyDescent="0.2">
      <c r="A144" s="30" t="s">
        <v>6</v>
      </c>
      <c r="B144" s="69" t="s">
        <v>17</v>
      </c>
      <c r="C144" s="69"/>
      <c r="D144" s="22">
        <f>D70</f>
        <v>2047.6114</v>
      </c>
    </row>
    <row r="145" spans="1:4" x14ac:dyDescent="0.2">
      <c r="A145" s="30" t="s">
        <v>8</v>
      </c>
      <c r="B145" s="69" t="s">
        <v>45</v>
      </c>
      <c r="C145" s="69"/>
      <c r="D145" s="22">
        <f>D82</f>
        <v>122.48000000000002</v>
      </c>
    </row>
    <row r="146" spans="1:4" x14ac:dyDescent="0.2">
      <c r="A146" s="30" t="s">
        <v>10</v>
      </c>
      <c r="B146" s="69" t="s">
        <v>50</v>
      </c>
      <c r="C146" s="69"/>
      <c r="D146" s="22">
        <f>D112</f>
        <v>80.3</v>
      </c>
    </row>
    <row r="147" spans="1:4" x14ac:dyDescent="0.2">
      <c r="A147" s="30" t="s">
        <v>12</v>
      </c>
      <c r="B147" s="69" t="s">
        <v>55</v>
      </c>
      <c r="C147" s="69"/>
      <c r="D147" s="22">
        <f>D122</f>
        <v>31.46</v>
      </c>
    </row>
    <row r="148" spans="1:4" x14ac:dyDescent="0.2">
      <c r="A148" s="70" t="s">
        <v>94</v>
      </c>
      <c r="B148" s="70"/>
      <c r="C148" s="70"/>
      <c r="D148" s="23">
        <f>SUM(D143:D147)</f>
        <v>4270.6614000000009</v>
      </c>
    </row>
    <row r="149" spans="1:4" x14ac:dyDescent="0.2">
      <c r="A149" s="30" t="s">
        <v>32</v>
      </c>
      <c r="B149" s="69" t="s">
        <v>70</v>
      </c>
      <c r="C149" s="69"/>
      <c r="D149" s="24">
        <f>D137</f>
        <v>640.94983901477838</v>
      </c>
    </row>
    <row r="150" spans="1:4" x14ac:dyDescent="0.2">
      <c r="A150" s="70" t="s">
        <v>71</v>
      </c>
      <c r="B150" s="70"/>
      <c r="C150" s="70"/>
      <c r="D150" s="23">
        <f>ROUND(SUM(D148:D149),2)</f>
        <v>4911.6099999999997</v>
      </c>
    </row>
  </sheetData>
  <mergeCells count="71">
    <mergeCell ref="C10:D10"/>
    <mergeCell ref="A1:D1"/>
    <mergeCell ref="A3:D3"/>
    <mergeCell ref="A5:B5"/>
    <mergeCell ref="A6:B6"/>
    <mergeCell ref="A8:D8"/>
    <mergeCell ref="B24:C24"/>
    <mergeCell ref="C11:D11"/>
    <mergeCell ref="C12:D12"/>
    <mergeCell ref="C13:D13"/>
    <mergeCell ref="C14:D14"/>
    <mergeCell ref="A16:D16"/>
    <mergeCell ref="B18:C18"/>
    <mergeCell ref="B19:C19"/>
    <mergeCell ref="B20:C20"/>
    <mergeCell ref="B21:C21"/>
    <mergeCell ref="B22:C22"/>
    <mergeCell ref="B23:C23"/>
    <mergeCell ref="B57:C57"/>
    <mergeCell ref="B25:C25"/>
    <mergeCell ref="A26:C26"/>
    <mergeCell ref="A29:D29"/>
    <mergeCell ref="A31:D31"/>
    <mergeCell ref="B33:C33"/>
    <mergeCell ref="A36:B36"/>
    <mergeCell ref="A39:D39"/>
    <mergeCell ref="A50:B50"/>
    <mergeCell ref="A53:D53"/>
    <mergeCell ref="B55:C55"/>
    <mergeCell ref="B56:C56"/>
    <mergeCell ref="B75:C75"/>
    <mergeCell ref="B58:C58"/>
    <mergeCell ref="B59:C59"/>
    <mergeCell ref="B60:C60"/>
    <mergeCell ref="A61:C61"/>
    <mergeCell ref="A64:D64"/>
    <mergeCell ref="B66:C66"/>
    <mergeCell ref="B67:C67"/>
    <mergeCell ref="B68:C68"/>
    <mergeCell ref="B69:C69"/>
    <mergeCell ref="A70:C70"/>
    <mergeCell ref="A73:D73"/>
    <mergeCell ref="B110:C110"/>
    <mergeCell ref="A82:C82"/>
    <mergeCell ref="A85:D85"/>
    <mergeCell ref="A88:D88"/>
    <mergeCell ref="B90:C90"/>
    <mergeCell ref="A97:C97"/>
    <mergeCell ref="A100:D100"/>
    <mergeCell ref="B102:C102"/>
    <mergeCell ref="B103:C103"/>
    <mergeCell ref="A104:C104"/>
    <mergeCell ref="A107:D107"/>
    <mergeCell ref="B109:C109"/>
    <mergeCell ref="B145:C145"/>
    <mergeCell ref="B111:C111"/>
    <mergeCell ref="A112:C112"/>
    <mergeCell ref="A115:D115"/>
    <mergeCell ref="B117:C117"/>
    <mergeCell ref="A122:C122"/>
    <mergeCell ref="A125:D125"/>
    <mergeCell ref="A137:B137"/>
    <mergeCell ref="A140:D140"/>
    <mergeCell ref="B142:C142"/>
    <mergeCell ref="B143:C143"/>
    <mergeCell ref="B144:C144"/>
    <mergeCell ref="B146:C146"/>
    <mergeCell ref="B147:C147"/>
    <mergeCell ref="A148:C148"/>
    <mergeCell ref="B149:C149"/>
    <mergeCell ref="A150:C150"/>
  </mergeCells>
  <pageMargins left="0.51181102362204722" right="0.51181102362204722" top="0.98425196850393704" bottom="0.78740157480314965" header="0.31496062992125984" footer="0.31496062992125984"/>
  <pageSetup paperSize="9" scale="84" fitToHeight="0" orientation="portrait" r:id="rId1"/>
  <headerFooter>
    <oddHeader>&amp;C&amp;G</oddHeader>
    <oddFooter>&amp;L&amp;"-,Negrito"Documento elaborado em &amp;D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17</vt:i4>
      </vt:variant>
      <vt:variant>
        <vt:lpstr>Intervalos nomeados</vt:lpstr>
      </vt:variant>
      <vt:variant>
        <vt:i4>1</vt:i4>
      </vt:variant>
    </vt:vector>
  </HeadingPairs>
  <TitlesOfParts>
    <vt:vector size="18" baseType="lpstr">
      <vt:lpstr>auxtecop</vt:lpstr>
      <vt:lpstr>coordadm</vt:lpstr>
      <vt:lpstr>copeiro</vt:lpstr>
      <vt:lpstr>garcom</vt:lpstr>
      <vt:lpstr>maitre</vt:lpstr>
      <vt:lpstr>mensag</vt:lpstr>
      <vt:lpstr>recep1</vt:lpstr>
      <vt:lpstr>recep3</vt:lpstr>
      <vt:lpstr>recep4</vt:lpstr>
      <vt:lpstr>copeiroad</vt:lpstr>
      <vt:lpstr>garcomad</vt:lpstr>
      <vt:lpstr>mensagad</vt:lpstr>
      <vt:lpstr>recep1ad</vt:lpstr>
      <vt:lpstr>recep3ad</vt:lpstr>
      <vt:lpstr>horaextra</vt:lpstr>
      <vt:lpstr>diarias</vt:lpstr>
      <vt:lpstr>total</vt:lpstr>
      <vt:lpstr>horaextra!Titulos_de_impressao</vt:lpstr>
    </vt:vector>
  </TitlesOfParts>
  <Company>Justiça Eleitoral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Alcantara Santos</dc:creator>
  <cp:lastModifiedBy>Marconni Rodrigues de Alcantara Santos</cp:lastModifiedBy>
  <cp:lastPrinted>2025-02-17T17:12:59Z</cp:lastPrinted>
  <dcterms:created xsi:type="dcterms:W3CDTF">2019-01-29T18:54:26Z</dcterms:created>
  <dcterms:modified xsi:type="dcterms:W3CDTF">2025-02-19T11:09:31Z</dcterms:modified>
</cp:coreProperties>
</file>