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activeTab="27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r:id="rId15"/>
    <sheet name="Item16" sheetId="18" r:id="rId16"/>
    <sheet name="Item17" sheetId="19" state="hidden" r:id="rId17"/>
    <sheet name="Item18" sheetId="20" state="hidden" r:id="rId18"/>
    <sheet name="Item19" sheetId="21" state="hidden" r:id="rId19"/>
    <sheet name="Item20" sheetId="22" state="hidden" r:id="rId20"/>
    <sheet name="Item21" sheetId="24" state="hidden" r:id="rId21"/>
    <sheet name="Item22" sheetId="25" state="hidden" r:id="rId22"/>
    <sheet name="Item23" sheetId="26" state="hidden" r:id="rId23"/>
    <sheet name="Item24" sheetId="27" state="hidden" r:id="rId24"/>
    <sheet name="Item25" sheetId="28" state="hidden" r:id="rId25"/>
    <sheet name="Item26" sheetId="29" state="hidden" r:id="rId26"/>
    <sheet name="Item27" sheetId="30" state="hidden" r:id="rId27"/>
    <sheet name="total" sheetId="23" r:id="rId28"/>
  </sheets>
  <definedNames>
    <definedName name="_xlnm.Print_Area" localSheetId="27">total!$A$1:$G$21</definedName>
    <definedName name="_xlnm.Print_Titles" localSheetId="27">total!$1:$2</definedName>
  </definedNames>
  <calcPr calcId="145621"/>
</workbook>
</file>

<file path=xl/calcChain.xml><?xml version="1.0" encoding="utf-8"?>
<calcChain xmlns="http://schemas.openxmlformats.org/spreadsheetml/2006/main">
  <c r="F28" i="23" l="1"/>
  <c r="F20" i="30" l="1"/>
  <c r="D20" i="30"/>
  <c r="B20" i="30"/>
  <c r="F3" i="30"/>
  <c r="H20" i="30" s="1"/>
  <c r="G20" i="30" s="1"/>
  <c r="F20" i="29"/>
  <c r="D20" i="29"/>
  <c r="B20" i="29"/>
  <c r="A20" i="29" s="1"/>
  <c r="F3" i="29"/>
  <c r="H20" i="29" s="1"/>
  <c r="G20" i="29" s="1"/>
  <c r="F20" i="28"/>
  <c r="D20" i="28"/>
  <c r="B20" i="28"/>
  <c r="A20" i="28" s="1"/>
  <c r="C20" i="28" s="1"/>
  <c r="F3" i="28"/>
  <c r="H20" i="28" s="1"/>
  <c r="G20" i="28" s="1"/>
  <c r="F20" i="27"/>
  <c r="D20" i="27"/>
  <c r="B20" i="27"/>
  <c r="A20" i="27" s="1"/>
  <c r="F3" i="27"/>
  <c r="H20" i="27" s="1"/>
  <c r="G20" i="27" s="1"/>
  <c r="F20" i="26"/>
  <c r="D20" i="26"/>
  <c r="B20" i="26"/>
  <c r="A20" i="26" s="1"/>
  <c r="C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C20" i="24" l="1"/>
  <c r="I8" i="24" s="1"/>
  <c r="I15" i="28"/>
  <c r="I9" i="28"/>
  <c r="I3" i="28"/>
  <c r="I14" i="28"/>
  <c r="I8" i="28"/>
  <c r="I13" i="28"/>
  <c r="I7" i="28"/>
  <c r="I16" i="28"/>
  <c r="I4" i="28"/>
  <c r="I12" i="28"/>
  <c r="I6" i="28"/>
  <c r="I17" i="28"/>
  <c r="I11" i="28"/>
  <c r="I5" i="28"/>
  <c r="I10" i="28"/>
  <c r="I15" i="24"/>
  <c r="I14" i="24"/>
  <c r="I13" i="24"/>
  <c r="I16" i="24"/>
  <c r="I17" i="24"/>
  <c r="I15" i="26"/>
  <c r="I9" i="26"/>
  <c r="I3" i="26"/>
  <c r="I16" i="26"/>
  <c r="I14" i="26"/>
  <c r="I8" i="26"/>
  <c r="I13" i="26"/>
  <c r="I7" i="26"/>
  <c r="I12" i="26"/>
  <c r="I6" i="26"/>
  <c r="I10" i="26"/>
  <c r="I4" i="26"/>
  <c r="I17" i="26"/>
  <c r="I11" i="26"/>
  <c r="I5" i="26"/>
  <c r="C20" i="25"/>
  <c r="C20" i="27"/>
  <c r="C20" i="29"/>
  <c r="A20" i="30"/>
  <c r="C20" i="30" s="1"/>
  <c r="E23" i="23"/>
  <c r="C4" i="23"/>
  <c r="D4" i="23"/>
  <c r="E4" i="23"/>
  <c r="C5" i="23"/>
  <c r="D5" i="23"/>
  <c r="E5" i="23"/>
  <c r="C6" i="23"/>
  <c r="D6" i="23"/>
  <c r="E6" i="23"/>
  <c r="C7" i="23"/>
  <c r="D7" i="23"/>
  <c r="E7" i="23"/>
  <c r="C8" i="23"/>
  <c r="D8" i="23"/>
  <c r="E8" i="23"/>
  <c r="C9" i="23"/>
  <c r="D9" i="23"/>
  <c r="E9" i="23"/>
  <c r="C10" i="23"/>
  <c r="D10" i="23"/>
  <c r="E10" i="23"/>
  <c r="C11" i="23"/>
  <c r="D11" i="23"/>
  <c r="E11" i="23"/>
  <c r="C12" i="23"/>
  <c r="D12" i="23"/>
  <c r="E12" i="23"/>
  <c r="C13" i="23"/>
  <c r="D13" i="23"/>
  <c r="E13" i="23"/>
  <c r="C14" i="23"/>
  <c r="D14" i="23"/>
  <c r="E14" i="23"/>
  <c r="C15" i="23"/>
  <c r="D15" i="23"/>
  <c r="E15" i="23"/>
  <c r="C16" i="23"/>
  <c r="D16" i="23"/>
  <c r="E16" i="23"/>
  <c r="C17" i="23"/>
  <c r="D17" i="23"/>
  <c r="E17" i="23"/>
  <c r="C18" i="23"/>
  <c r="D18" i="23"/>
  <c r="E18" i="23"/>
  <c r="B18" i="23"/>
  <c r="B17" i="23"/>
  <c r="B16" i="23"/>
  <c r="B15" i="23"/>
  <c r="B14" i="23"/>
  <c r="B13" i="23"/>
  <c r="B12" i="23"/>
  <c r="B11" i="23"/>
  <c r="B10" i="23"/>
  <c r="B9" i="23"/>
  <c r="B8" i="23"/>
  <c r="B7" i="23"/>
  <c r="B6" i="23"/>
  <c r="B5" i="23"/>
  <c r="B4" i="23"/>
  <c r="C3" i="23"/>
  <c r="D3" i="23"/>
  <c r="E3" i="23"/>
  <c r="B3" i="23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9"/>
  <c r="D20" i="19"/>
  <c r="B20" i="19"/>
  <c r="A20" i="19" s="1"/>
  <c r="F3" i="19"/>
  <c r="H20" i="19" s="1"/>
  <c r="G20" i="19" s="1"/>
  <c r="F20" i="18"/>
  <c r="D20" i="18"/>
  <c r="B20" i="18"/>
  <c r="A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 s="1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A20" i="12" s="1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 s="1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C20" i="14" l="1"/>
  <c r="E20" i="28"/>
  <c r="H22" i="28" s="1"/>
  <c r="H23" i="28" s="1"/>
  <c r="I12" i="24"/>
  <c r="I3" i="24"/>
  <c r="I7" i="24"/>
  <c r="I11" i="24"/>
  <c r="I4" i="24"/>
  <c r="I10" i="24"/>
  <c r="I6" i="24"/>
  <c r="C20" i="16"/>
  <c r="I9" i="16" s="1"/>
  <c r="C20" i="5"/>
  <c r="I6" i="5" s="1"/>
  <c r="E20" i="26"/>
  <c r="H22" i="26" s="1"/>
  <c r="H23" i="26" s="1"/>
  <c r="I5" i="24"/>
  <c r="I9" i="24"/>
  <c r="C20" i="22"/>
  <c r="I3" i="22" s="1"/>
  <c r="C20" i="20"/>
  <c r="I5" i="20" s="1"/>
  <c r="C20" i="18"/>
  <c r="I6" i="18" s="1"/>
  <c r="C20" i="12"/>
  <c r="I9" i="12" s="1"/>
  <c r="C20" i="9"/>
  <c r="I10" i="9" s="1"/>
  <c r="C20" i="6"/>
  <c r="I8" i="6" s="1"/>
  <c r="A20" i="7"/>
  <c r="C20" i="7" s="1"/>
  <c r="I16" i="7" s="1"/>
  <c r="A20" i="8"/>
  <c r="C20" i="8" s="1"/>
  <c r="I4" i="8" s="1"/>
  <c r="E3" i="28"/>
  <c r="I15" i="30"/>
  <c r="I9" i="30"/>
  <c r="I3" i="30"/>
  <c r="I14" i="30"/>
  <c r="I8" i="30"/>
  <c r="I13" i="30"/>
  <c r="I7" i="30"/>
  <c r="I4" i="30"/>
  <c r="I12" i="30"/>
  <c r="I6" i="30"/>
  <c r="I17" i="30"/>
  <c r="I11" i="30"/>
  <c r="I5" i="30"/>
  <c r="I10" i="30"/>
  <c r="I16" i="30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7"/>
  <c r="I6" i="27"/>
  <c r="I17" i="27"/>
  <c r="I11" i="27"/>
  <c r="I5" i="27"/>
  <c r="I13" i="27"/>
  <c r="I16" i="27"/>
  <c r="I10" i="27"/>
  <c r="I4" i="27"/>
  <c r="E20" i="27" s="1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0"/>
  <c r="I13" i="20"/>
  <c r="I14" i="20"/>
  <c r="I12" i="20"/>
  <c r="I17" i="20"/>
  <c r="I11" i="20"/>
  <c r="I16" i="20"/>
  <c r="I15" i="22"/>
  <c r="I14" i="22"/>
  <c r="I13" i="22"/>
  <c r="I17" i="22"/>
  <c r="I16" i="22"/>
  <c r="I10" i="22"/>
  <c r="C20" i="19"/>
  <c r="C20" i="21"/>
  <c r="I15" i="12"/>
  <c r="I14" i="12"/>
  <c r="I13" i="12"/>
  <c r="I17" i="12"/>
  <c r="I11" i="12"/>
  <c r="I16" i="12"/>
  <c r="I15" i="16"/>
  <c r="I16" i="16"/>
  <c r="I17" i="16"/>
  <c r="I15" i="14"/>
  <c r="I9" i="14"/>
  <c r="I3" i="14"/>
  <c r="I16" i="14"/>
  <c r="I14" i="14"/>
  <c r="I8" i="14"/>
  <c r="I10" i="14"/>
  <c r="I13" i="14"/>
  <c r="I7" i="14"/>
  <c r="I12" i="14"/>
  <c r="I6" i="14"/>
  <c r="I17" i="14"/>
  <c r="I11" i="14"/>
  <c r="I5" i="14"/>
  <c r="I4" i="14"/>
  <c r="I15" i="18"/>
  <c r="I9" i="18"/>
  <c r="I3" i="18"/>
  <c r="I14" i="18"/>
  <c r="I8" i="18"/>
  <c r="I10" i="18"/>
  <c r="I13" i="18"/>
  <c r="I7" i="18"/>
  <c r="I16" i="18"/>
  <c r="I12" i="18"/>
  <c r="I17" i="18"/>
  <c r="I11" i="18"/>
  <c r="C20" i="11"/>
  <c r="C20" i="13"/>
  <c r="C20" i="15"/>
  <c r="C20" i="17"/>
  <c r="I15" i="8"/>
  <c r="I12" i="8"/>
  <c r="I13" i="8"/>
  <c r="I17" i="8"/>
  <c r="I16" i="8"/>
  <c r="I16" i="9"/>
  <c r="C20" i="10"/>
  <c r="I13" i="9"/>
  <c r="I15" i="9"/>
  <c r="I17" i="7"/>
  <c r="I17" i="9"/>
  <c r="I15" i="6"/>
  <c r="I14" i="6"/>
  <c r="I17" i="6"/>
  <c r="I16" i="6"/>
  <c r="I12" i="6"/>
  <c r="I12" i="5"/>
  <c r="I17" i="5"/>
  <c r="I11" i="5"/>
  <c r="I16" i="5"/>
  <c r="I8" i="5"/>
  <c r="I13" i="5"/>
  <c r="I15" i="5"/>
  <c r="I14" i="5"/>
  <c r="A20" i="4"/>
  <c r="C20" i="4" s="1"/>
  <c r="C20" i="1"/>
  <c r="I5" i="18" l="1"/>
  <c r="I8" i="16"/>
  <c r="I11" i="16"/>
  <c r="I13" i="16"/>
  <c r="I14" i="16"/>
  <c r="I12" i="16"/>
  <c r="I10" i="16"/>
  <c r="I11" i="9"/>
  <c r="I9" i="9"/>
  <c r="I12" i="9"/>
  <c r="I8" i="9"/>
  <c r="I14" i="8"/>
  <c r="I10" i="8"/>
  <c r="I8" i="8"/>
  <c r="I11" i="8"/>
  <c r="I9" i="8"/>
  <c r="I7" i="8"/>
  <c r="I15" i="7"/>
  <c r="I7" i="6"/>
  <c r="I5" i="6"/>
  <c r="I6" i="6"/>
  <c r="I7" i="9"/>
  <c r="I5" i="9"/>
  <c r="I3" i="9"/>
  <c r="I3" i="6"/>
  <c r="I6" i="16"/>
  <c r="E20" i="14"/>
  <c r="H22" i="14" s="1"/>
  <c r="H23" i="14" s="1"/>
  <c r="I6" i="9"/>
  <c r="E20" i="24"/>
  <c r="E3" i="24" s="1"/>
  <c r="I8" i="20"/>
  <c r="I3" i="20"/>
  <c r="I7" i="20"/>
  <c r="I6" i="20"/>
  <c r="I4" i="20"/>
  <c r="I10" i="20"/>
  <c r="I9" i="20"/>
  <c r="I4" i="18"/>
  <c r="E20" i="18" s="1"/>
  <c r="H22" i="18" s="1"/>
  <c r="H23" i="18" s="1"/>
  <c r="I4" i="16"/>
  <c r="I3" i="16"/>
  <c r="I5" i="16"/>
  <c r="I7" i="16"/>
  <c r="I10" i="12"/>
  <c r="I12" i="12"/>
  <c r="I4" i="12"/>
  <c r="I8" i="12"/>
  <c r="I6" i="12"/>
  <c r="I7" i="12"/>
  <c r="I3" i="12"/>
  <c r="I5" i="12"/>
  <c r="I6" i="8"/>
  <c r="I5" i="8"/>
  <c r="I3" i="8"/>
  <c r="I11" i="6"/>
  <c r="I9" i="6"/>
  <c r="I4" i="6"/>
  <c r="I13" i="6"/>
  <c r="I10" i="6"/>
  <c r="I3" i="5"/>
  <c r="I10" i="5"/>
  <c r="I4" i="5"/>
  <c r="I9" i="5"/>
  <c r="I7" i="5"/>
  <c r="I5" i="5"/>
  <c r="E20" i="30"/>
  <c r="E3" i="30" s="1"/>
  <c r="E20" i="29"/>
  <c r="H22" i="29" s="1"/>
  <c r="H23" i="29" s="1"/>
  <c r="E3" i="26"/>
  <c r="E20" i="25"/>
  <c r="H22" i="25" s="1"/>
  <c r="H23" i="25" s="1"/>
  <c r="I11" i="22"/>
  <c r="I12" i="22"/>
  <c r="I9" i="22"/>
  <c r="I6" i="22"/>
  <c r="I5" i="22"/>
  <c r="I8" i="22"/>
  <c r="I4" i="22"/>
  <c r="E20" i="22" s="1"/>
  <c r="H22" i="22" s="1"/>
  <c r="H23" i="22" s="1"/>
  <c r="I7" i="22"/>
  <c r="I4" i="9"/>
  <c r="I10" i="7"/>
  <c r="I14" i="7"/>
  <c r="I8" i="7"/>
  <c r="I6" i="7"/>
  <c r="I4" i="7"/>
  <c r="I12" i="7"/>
  <c r="I9" i="7"/>
  <c r="I3" i="7"/>
  <c r="I13" i="7"/>
  <c r="I7" i="7"/>
  <c r="I5" i="7"/>
  <c r="I11" i="7"/>
  <c r="E3" i="27"/>
  <c r="H22" i="27"/>
  <c r="H23" i="27" s="1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E20" i="16" l="1"/>
  <c r="H22" i="16" s="1"/>
  <c r="H23" i="16" s="1"/>
  <c r="E3" i="14"/>
  <c r="F14" i="23" s="1"/>
  <c r="G14" i="23" s="1"/>
  <c r="E20" i="9"/>
  <c r="H22" i="9" s="1"/>
  <c r="H23" i="9" s="1"/>
  <c r="E20" i="12"/>
  <c r="E3" i="12" s="1"/>
  <c r="F12" i="23" s="1"/>
  <c r="G12" i="23" s="1"/>
  <c r="E20" i="8"/>
  <c r="H22" i="8" s="1"/>
  <c r="H23" i="8" s="1"/>
  <c r="E20" i="6"/>
  <c r="H22" i="6" s="1"/>
  <c r="H23" i="6" s="1"/>
  <c r="H22" i="24"/>
  <c r="H23" i="24" s="1"/>
  <c r="E20" i="20"/>
  <c r="H22" i="20" s="1"/>
  <c r="H23" i="20" s="1"/>
  <c r="E20" i="5"/>
  <c r="E3" i="5" s="1"/>
  <c r="F5" i="23" s="1"/>
  <c r="G5" i="23" s="1"/>
  <c r="H22" i="30"/>
  <c r="H23" i="30" s="1"/>
  <c r="E3" i="29"/>
  <c r="E3" i="25"/>
  <c r="E3" i="22"/>
  <c r="E20" i="21"/>
  <c r="H22" i="21" s="1"/>
  <c r="H23" i="21" s="1"/>
  <c r="E20" i="19"/>
  <c r="H22" i="19" s="1"/>
  <c r="H23" i="19" s="1"/>
  <c r="E3" i="18"/>
  <c r="F18" i="23" s="1"/>
  <c r="G18" i="23" s="1"/>
  <c r="E20" i="15"/>
  <c r="H22" i="15" s="1"/>
  <c r="H23" i="15" s="1"/>
  <c r="E20" i="13"/>
  <c r="E3" i="13" s="1"/>
  <c r="F13" i="23" s="1"/>
  <c r="G13" i="23" s="1"/>
  <c r="E20" i="11"/>
  <c r="H22" i="11" s="1"/>
  <c r="H23" i="11" s="1"/>
  <c r="E20" i="10"/>
  <c r="H22" i="10" s="1"/>
  <c r="H23" i="10" s="1"/>
  <c r="E20" i="7"/>
  <c r="E20" i="4"/>
  <c r="E3" i="4" s="1"/>
  <c r="F4" i="23" s="1"/>
  <c r="G4" i="23" s="1"/>
  <c r="E20" i="17"/>
  <c r="E20" i="1"/>
  <c r="E3" i="16" l="1"/>
  <c r="F16" i="23" s="1"/>
  <c r="G16" i="23" s="1"/>
  <c r="E3" i="9"/>
  <c r="F9" i="23" s="1"/>
  <c r="G9" i="23" s="1"/>
  <c r="E3" i="6"/>
  <c r="F6" i="23" s="1"/>
  <c r="G6" i="23" s="1"/>
  <c r="H22" i="12"/>
  <c r="H23" i="12" s="1"/>
  <c r="E3" i="20"/>
  <c r="E3" i="8"/>
  <c r="F8" i="23" s="1"/>
  <c r="G8" i="23" s="1"/>
  <c r="F27" i="23"/>
  <c r="E3" i="21"/>
  <c r="E3" i="19"/>
  <c r="E3" i="15"/>
  <c r="F15" i="23" s="1"/>
  <c r="G15" i="23" s="1"/>
  <c r="H22" i="13"/>
  <c r="H23" i="13" s="1"/>
  <c r="E3" i="10"/>
  <c r="F10" i="23" s="1"/>
  <c r="G10" i="23" s="1"/>
  <c r="H22" i="5"/>
  <c r="H23" i="5" s="1"/>
  <c r="H22" i="4"/>
  <c r="H23" i="4" s="1"/>
  <c r="E3" i="11"/>
  <c r="F11" i="23" s="1"/>
  <c r="G11" i="23" s="1"/>
  <c r="H22" i="7"/>
  <c r="H23" i="7" s="1"/>
  <c r="E3" i="7"/>
  <c r="F7" i="23" s="1"/>
  <c r="G7" i="23" s="1"/>
  <c r="H22" i="17"/>
  <c r="H23" i="17" s="1"/>
  <c r="E3" i="17"/>
  <c r="F17" i="23" s="1"/>
  <c r="G17" i="23" s="1"/>
  <c r="E3" i="1"/>
  <c r="F3" i="23" s="1"/>
  <c r="G3" i="23" s="1"/>
  <c r="H22" i="1"/>
  <c r="H23" i="1" s="1"/>
  <c r="F26" i="23" l="1"/>
  <c r="F25" i="23"/>
  <c r="F21" i="23"/>
</calcChain>
</file>

<file path=xl/sharedStrings.xml><?xml version="1.0" encoding="utf-8"?>
<sst xmlns="http://schemas.openxmlformats.org/spreadsheetml/2006/main" count="961" uniqueCount="225">
  <si>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</si>
  <si>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</si>
  <si>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</si>
  <si>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</si>
  <si>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</si>
  <si>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</si>
  <si>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</si>
  <si>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</si>
  <si>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</si>
  <si>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</si>
  <si>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</si>
  <si>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</si>
  <si>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</si>
  <si>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</si>
  <si>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</si>
  <si>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</si>
  <si>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</si>
  <si>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</si>
  <si>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</si>
  <si>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</si>
  <si>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</si>
  <si>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</si>
  <si>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</si>
  <si>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</si>
  <si>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</si>
  <si>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</si>
  <si>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</si>
  <si>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</si>
  <si>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</si>
  <si>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</si>
  <si>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valor total do item</t>
  </si>
  <si>
    <t>total lote</t>
  </si>
  <si>
    <t>qtde lotes</t>
  </si>
  <si>
    <t>total estimado</t>
  </si>
  <si>
    <t>Microfone com fio
Tipo: dinâmico; Resposta de frequência: 50Hz - 15kHz; Padrão polar cardióide; Impedância de saída: 150 ohms; Conector de saída: XLR; Sensibilidade: -57,5 dBV / Pa a 1 kHz; Com sistema anti-choque; Possuir filtro esférico embutido para minimizar ruídos de vento ou respiração; Incluir adaptador para pedestal</t>
  </si>
  <si>
    <t>Caixa satélite ativa
Potência: 350W; Consumo máximo Senoidal (W): 570W; Consumo máximo de Pico (W): 285W; 2 Alto falantes de 6 Pol; dB SPL máximo contínuo (plano livre): 111 dB; dB SPL máximo de pico (plano livre): 123 dB; Sensibilidade de entrada em linha: 775mV; 1 Driver de Titânio para médias frequências; Resposta de Frequência: 80Hz à 17 Khz; Ângulo de Cobertura (60°H x 40°V); Controle de volume; Entrada e saída balanceadas com conectores XLR Macho e Fêmea In / Out; Proteção Contra Curto ; Proteção Térmica Eletrônica; Proteção Clip Limiter; Proteção Alto Rampa; Sistema de Ventilação Inteligente; Amplificador de classe AB; Tensão de alimentação:120-220V</t>
  </si>
  <si>
    <t>n/a</t>
  </si>
  <si>
    <t>CLAVES E NOTAS COMERCIO DE INSTRUMENTOS MUSICAIS LTDA</t>
  </si>
  <si>
    <t>CR3 COMERCIO ELETRONICO LTDA</t>
  </si>
  <si>
    <t>PEDRO G.FERNANDES</t>
  </si>
  <si>
    <t>17.410.769 VALNEIDES ARAUJO DA COSTA</t>
  </si>
  <si>
    <t>32.661.461 ROBSON SALVADOR PAIM</t>
  </si>
  <si>
    <t>ISALTEC COMERCIO DE INSTRUMENTOS DE MEDICAO LTDA</t>
  </si>
  <si>
    <t>NINJA SOM COMERCIO DE ELETRONICOS E MATERIAIS ELETRICOS LTDA</t>
  </si>
  <si>
    <t>R JUAREZ DE ALMEIDA</t>
  </si>
  <si>
    <t>46.555.218 MARLIANNE PINHEIRO ARAUJO</t>
  </si>
  <si>
    <t>JEB COMERCIO DE ELETRONICOS LTDA</t>
  </si>
  <si>
    <t>51.245.770 ISMAEL MENDONCA NOVAIS DE JESUS</t>
  </si>
  <si>
    <t>ASLA COMERCIO LTDA</t>
  </si>
  <si>
    <t>43.123.741 DANIEL ROCHA DOS SANTOS</t>
  </si>
  <si>
    <t>WAVE TECNOLOGIAS EM SISTEMAS AUDIOVISUAIS LTDA</t>
  </si>
  <si>
    <t>MAGAZINE LUIZA</t>
  </si>
  <si>
    <t>AKG</t>
  </si>
  <si>
    <t>X5 MUSIC</t>
  </si>
  <si>
    <t>CASAS BAHIA</t>
  </si>
  <si>
    <t>KALIFA</t>
  </si>
  <si>
    <t>gl</t>
  </si>
  <si>
    <t>Solvente para limpeza .</t>
  </si>
  <si>
    <t>5l</t>
  </si>
  <si>
    <t>18l</t>
  </si>
  <si>
    <t>Solvente Poliuretano (Thinner PU)- embalagem 5 litros.</t>
  </si>
  <si>
    <t>Tinta acrílica fosca, cor branco neve, sem cheiro.</t>
  </si>
  <si>
    <t>Tinta acrílica para concreto, cor cinza .</t>
  </si>
  <si>
    <t>Tinta acrílica para piso, cor amarelo</t>
  </si>
  <si>
    <t>FERRAMENTAS KENNEDY</t>
  </si>
  <si>
    <t>LOJA DO MECANICO</t>
  </si>
  <si>
    <t>LED MAIS COMERCIO ( PAINEL DE PREÇOS)</t>
  </si>
  <si>
    <t>JANINE RAMOS DA SILVA ( PAINEL DE PREÇOS)</t>
  </si>
  <si>
    <t>AEROQUALITY COMERCIO (PAINEL DE PREÇOS)</t>
  </si>
  <si>
    <t>BIANCA TEIXEIRA</t>
  </si>
  <si>
    <t>ELETROFEST IMPORTAÇÃO</t>
  </si>
  <si>
    <t>CASTRO ARANTES</t>
  </si>
  <si>
    <t>NOVA POMPEIA COMERCIO VAREJISTA E</t>
  </si>
  <si>
    <t xml:space="preserve">S VASCONCELOS ROSAS </t>
  </si>
  <si>
    <t>A. DONIZETE DA SILVA</t>
  </si>
  <si>
    <t>FERREIRA COSTA</t>
  </si>
  <si>
    <t xml:space="preserve">WOLVES GROUP AND </t>
  </si>
  <si>
    <t>NEDA LOPES DUARTE</t>
  </si>
  <si>
    <t>SOMARK DISTRIBUIDORA DE PEÇAS</t>
  </si>
  <si>
    <t>AMAZON PRIME</t>
  </si>
  <si>
    <t>PRIME COMERCIO DE MATERIAIS</t>
  </si>
  <si>
    <t>THS BEZERRA LTDA</t>
  </si>
  <si>
    <t>ACAL HOME CENTER TINTAS</t>
  </si>
  <si>
    <t xml:space="preserve">FERREIRA COSTA </t>
  </si>
  <si>
    <t>picareta</t>
  </si>
  <si>
    <t>Copo de papel biodegradável
Capacidade: 200 ml;
Material: papel biodegradável;
De acordo com RDC Nº 88/2016 - ANVISA.
Para bebidas frias ou quentes.
Acondicionados em tiras de 100 unidades.</t>
  </si>
  <si>
    <t>centena</t>
  </si>
  <si>
    <t>Copo de papel biodegradável
Capacidade: 100 ml;
Material: papel biodegradável;
De acordo com RDC Nº 88/2026 - ANVISA.
Para bebidas quentes.
Acondicionados em tiras de 100 unidades.</t>
  </si>
  <si>
    <t>Garrafa térmica de pressão
Capacidade: 0,5 litro
Material externo: Aço inoxidável (inox);
Com alça;
Conservar líquidos quentes;
Conservação térmica de, no mínimo, 6 horas;
Ampola de Vidro;
Indicação expressa de conformidade com a norma NBR 13282 da ABNT;</t>
  </si>
  <si>
    <t>Garrafa térmica de pressão
Capacidade: 1 litro.
Material: Revestimento interno e externo em aço inoxidável (ampola de aço inoxidável).
Sistema de Isolamento: Camada de vácuo.
Conservação térmica: Mantém líquidos quentes por até 12 horas e frios por até 24 horas.
Peso: Aproximadamente 700 g.
Recursos: Tampa com vedação hermética, alça para transporte, design à prova de vazamentos.</t>
  </si>
  <si>
    <t>Guardanapo de papel
100% em fibras virgens;
100% celulose;
Cor branca;
Dimensões mínimas: 20 x 20 cm (admitida variação + 1 cm)
Em embalagem contendo no mínimo 48 unidades</t>
  </si>
  <si>
    <t>Álcool Etílico Hidratado - Gel
Mínimo de 70º INPM;
Frasco com 500 ml com válvula “pump” profissional; 
Sem corantes, hipoalergênico, incolor, sem fragrância; 
Finalidade cosmética e indicações de rotulagem de acordo com a RDC 07/2015 – Anvisa;
Prazo de validade não inferior a 12 meses;
Álcool destinado à higienização das mãos;
O material deverá estar acondicionado em caixas com até 12 unidades;
Fabricados conforme critérios estabelecidos pela ANVISA, com informação de data de fabricação e número de lote;
Produto com Registro no Ministério da Saúde</t>
  </si>
  <si>
    <t>frasco</t>
  </si>
  <si>
    <t>pacote</t>
  </si>
  <si>
    <t>Cesto para lixo
Em plástico;
Capacidade: 10 L
Medidas: 26cm x 28,2cm (D x A);
Cor preta;
Variação permitida: ± 1,5 cm</t>
  </si>
  <si>
    <t>Detergente líquido
Com tensoativo biodegradável;
Aroma suave;
Dermatologicamente testado;
Em embalagem plástica de 500 ml com bico dosador, com rótulo indicando o nome do fabricante, CNPJ, químico responsável e nº CRQ, número de registro na Anvisa, lote de fabricação e prazo de validade do produto.</t>
  </si>
  <si>
    <t>Esponja dupla face
Em poliuretano e fibra têxtil;
Dimensões: 105 x 70 x 22 mm (comprimento, largura e espessura), admitida variação de ± 5 mm.
O material deverá estar acondicionado em caixas/fardos com até 120 unidades</t>
  </si>
  <si>
    <t>Flanela
100% Algodão;
Cor branca;
Dimensões: 60 x 40 cm (altura x largura). Variação permitida: ± 2cm;
O material deverá estar acondicionado em caixas/fardos com até 100 unidades</t>
  </si>
  <si>
    <t>Limpador instantâneo
Ingrediente ativo: tensoativo aniônico biodegradável;
Composição: Linear alquil benzeno, sulfonato de sódio, tensoativo não iônico, alcalinizante, sequestrante, solubilizante, éter glicólico, álcool, perfume e água;
Embalagem com impressão do nome do fabricante e indicação de registro na ANVISA/MS; 
Frasco com 500 ml, com tampa e bico econômico;
Prazo de validade impresso na embalagem e não inferior a 11 meses contados da data de recebimento definitivo;
O material deverá estar acondicionado em caixas com até 24 unidades</t>
  </si>
  <si>
    <t>Pá coletora lixo
Material da base: zinco;
Material do cabo: madeira;
Comprimento do cabo: 60 cm;
Para limpeza doméstica; Variação permitida: ± 5 cm</t>
  </si>
  <si>
    <t>Papel higiênico
Celulose virgem – 100% celulose;
Dimensões: mínimo de 30 m x 10 cm;
Dermatologicamente testado; Picotado;
Folha dupla; Sem perfume;
Cor branca (alva);
Pacote com 4 unidades.
PCT = Pacote</t>
  </si>
  <si>
    <t>Papel toalha
Celulose virgem – 100% celulose;
Cor branca (alva); 
Duas dobras; Texturizado;
Dimensões: folhas com 22 cm x 22 cm (± 2cm)
Tipo interfolhado; 
Macio e absorvente;
Pacote com 1000 folhas; 
Variação permitida: ± 3.0 cm</t>
  </si>
  <si>
    <t>Sabão em pó
Composição: alquil benzeno sulfato de sódio, corante;
Embalagem com 500 g;
Embalagem com impressão do nome do fabricante e indicação de registro na ANVISA/MS;
Tensoativo aniônico biodegradável;
Prazo de validade impresso na embalagem e não inferior a 11 meses contados da data de recebimento definitivo;
O material deverá estar acondicionado em caixas/fardos com até 24 unidades</t>
  </si>
  <si>
    <t>Vassoura 
Cerdas em Piaçava (natural ou sintética);
Com cabo
Comprimento do cabo: mínimo de 1,15m;
Cepa com 20 cm, admitida variação de ± 2 cm;
Comprimento das cerdas: mínimo 11 cm.</t>
  </si>
  <si>
    <t>49.625.476 LUCAS ALBANEZ CAMPOS LOPES</t>
  </si>
  <si>
    <t>PLANETA DA LIMPEZA LTDA</t>
  </si>
  <si>
    <t>THAIS MOREIRA CASTILLO ESCHER</t>
  </si>
  <si>
    <t>HANGAR DAS COMPRAS COMERCIO E SERVICOS LTDA</t>
  </si>
  <si>
    <t>E. N. MARQUES LTDA</t>
  </si>
  <si>
    <t>APOLO SERVICOS GRAFICOS LTDA</t>
  </si>
  <si>
    <t>58.491.452 BEATRIZ FELICIANO COUTINHO SANTOS</t>
  </si>
  <si>
    <t>SE LIGUE ACESSORIOS E ELETRONICOS LTDA</t>
  </si>
  <si>
    <t>MAAT SOLUCOES LTDA</t>
  </si>
  <si>
    <t>POLLYANA MELO DA SILVA LUSTOSA</t>
  </si>
  <si>
    <t>DISTRIBUIDORA HERZOG LTDA</t>
  </si>
  <si>
    <t>V&amp;W COMERCIO E SERVICOS LTDA</t>
  </si>
  <si>
    <t>R61 COMERCIAL DE ELETROELETRONICOS LTDA</t>
  </si>
  <si>
    <t>INOVARE COMERCIO E PLANEJAMENTO ADMINISTRATIVO LTDA</t>
  </si>
  <si>
    <t>DISTRIBUIDORA CAMPOS ELETRO E FERRAMENTAS LTDA</t>
  </si>
  <si>
    <t>SOARES COMERCIO E LICITACOES LTDA</t>
  </si>
  <si>
    <t>DPEL DISTRIBUIDORA DE PAPELARIA E LIMPEZA LTDA</t>
  </si>
  <si>
    <t>FX EMPREENDIMENTOS LTDA</t>
  </si>
  <si>
    <t>57.302.873 EDER DE SOUZA CABRAL</t>
  </si>
  <si>
    <t>UP CENTER COMERCIO DE ELETRONICOS LTDA</t>
  </si>
  <si>
    <t>CREATIVE THINGS COMERCIO DE DISTRIBUICAO LTDA</t>
  </si>
  <si>
    <t>HIPERMAT HOSPITALAR COMERCIO LTDA</t>
  </si>
  <si>
    <t>M S G SERVICOS E DISTRIBUIDORA LTDA</t>
  </si>
  <si>
    <t>AARO COMERCIO, DISTRIBUICAO E SERVICOS LTDA</t>
  </si>
  <si>
    <t>GILCILENE LIMA DE PONTES PEREIRA</t>
  </si>
  <si>
    <t>59.127.709 LUIS GUILHERME DE ARAUJO</t>
  </si>
  <si>
    <t>LOBO CLEAN DISTRIBUIDORA LTDA</t>
  </si>
  <si>
    <t>SMART CLEAN COMERCIO ATACADISTA LTDA</t>
  </si>
  <si>
    <t>JP INDUSTRIA DE PAPEIS LTDA</t>
  </si>
  <si>
    <t>J. V. S. FRANCO LTDA</t>
  </si>
  <si>
    <t>IRINEU VALENTIM TONELOTTO</t>
  </si>
  <si>
    <t>50.522.607 NATALIA CARDOSO BARATA</t>
  </si>
  <si>
    <t>A LOJA PRODUTOS DESCARTAVEIS LTDA</t>
  </si>
  <si>
    <t>PARA COMERCIO E SERVICOS DE PRODUTOS DE HIGIENE LIMPEZA LTDA</t>
  </si>
  <si>
    <t>MACRO DISTRIBUIDORA HOSPITALAR LTDA</t>
  </si>
  <si>
    <t>JD SAUDE HOSPITALAR LTDA</t>
  </si>
  <si>
    <t>PILLIAR DISTRIBUIDORA DE PRODUTOS, HIGIENE E LIMPEZA LTDA</t>
  </si>
  <si>
    <t>3 PODERES COMERCIO LTDA</t>
  </si>
  <si>
    <t>DIONAL DISTRIBUIDORA DE PRODUTOS LTDA</t>
  </si>
  <si>
    <t>MARCOS BIZELLO</t>
  </si>
  <si>
    <t>SUPERMERCADO VIDAL LTDA</t>
  </si>
  <si>
    <t>VIMASI - DISTRIBUIDORA DE PRODUTOS MEDICOS HOSPITALARES LTDA</t>
  </si>
  <si>
    <t>GLOBAL BRANDS COMERCIO LTDA</t>
  </si>
  <si>
    <t>ATLANTICO SOLUCOES E SERVICOS LTDA</t>
  </si>
  <si>
    <t>DELTA INDUSTRIA E COMERCIO LTDA</t>
  </si>
  <si>
    <t>ELEVATE UTILIDADES LTDA</t>
  </si>
  <si>
    <t>A M DOS SANTOS LTDA</t>
  </si>
  <si>
    <t>J.B COMERCIO E SERVICOS LTDA</t>
  </si>
  <si>
    <t>R F DA S SILVEIRA</t>
  </si>
  <si>
    <t>E P S COMERCIO E SERVICOS DE TRANSPORTE LTDA</t>
  </si>
  <si>
    <t>VIPE COMERCIAL LTDA</t>
  </si>
  <si>
    <t>LICITA MAIS HOFFMANN LTDA</t>
  </si>
  <si>
    <t>NL SANTOS COMERCIO LTDA</t>
  </si>
  <si>
    <t>OLIVEIRA &amp; EULALIO PRODUTOS DE LIMPEZA LTDA</t>
  </si>
  <si>
    <t>KF COMERCIO DE PRODUTOS DE LIMPEZA LTDA</t>
  </si>
  <si>
    <t>SUPRY OFFICE DISTRIBUIDORA DE MATERIAIS E SERVICOS LTDA</t>
  </si>
  <si>
    <t>MBEM COMERCIO E DISTRIBUICAO DE MATERIAIS ESCOLARES LTDA</t>
  </si>
  <si>
    <t>RVN DISTRIBUIDORA DE PRODUTOS LTDA</t>
  </si>
  <si>
    <t>J A SANTOS COMERCIO E SERVICOS LTDA</t>
  </si>
  <si>
    <t>MULTISUL COMERCIO E DISTRIBUICAO LTDA</t>
  </si>
  <si>
    <t>FHORMA COMERCIO E REPRESENTACOES LTDA</t>
  </si>
  <si>
    <t>DARLU INDUSTRIA TEXTIL LTDA</t>
  </si>
  <si>
    <t>BR VALE DISTRIBUIDORA DE PRODUTOS LTDA</t>
  </si>
  <si>
    <t>RBL SOLUCOES INTEGRADAS LTDA</t>
  </si>
  <si>
    <t>J A DISTRIBUIDORA LTDA</t>
  </si>
  <si>
    <t>RBX XAVIER COMERCIO E SERVICOS DE INFORMATICA LTDA</t>
  </si>
  <si>
    <t>M.F COMERCIO LTDA</t>
  </si>
  <si>
    <t>RAIMUNDO BERTO DA SILVA JUNIOR</t>
  </si>
  <si>
    <t>56.150.801 FRANCINEIDE GOMES SANTOS PAMPONET</t>
  </si>
  <si>
    <t>41.791.783 NAHONE NATALIA RIBEIRO SANTIAGO</t>
  </si>
  <si>
    <t>56.636.562 MARCIONE PEREIRA MONTEIRO DIAS</t>
  </si>
  <si>
    <t>JUSSARA S H SANTOS</t>
  </si>
  <si>
    <t>A D DA SILVA PAPELARIA</t>
  </si>
  <si>
    <t>EBENEZER COMERCIO DE VARIEDADES LTDA</t>
  </si>
  <si>
    <t>LUCK ATACADO DE PRODUTOS E SERVICOS LTDA</t>
  </si>
  <si>
    <t>EB DISTRIBUIDORA LTDA</t>
  </si>
  <si>
    <t>57.898.592 CLAUDIO ROBERTO BATISTA DE LUCENA</t>
  </si>
  <si>
    <t>VAREJAO BERGONCINI LTDA</t>
  </si>
  <si>
    <t>ADEMIR PRADO</t>
  </si>
  <si>
    <t>PAZ COMERCIO E SERVICO LTDA</t>
  </si>
  <si>
    <t>NOVA GUARU LIMPEZA E UTILIDADES EM GERAL LTDA</t>
  </si>
  <si>
    <t>GLOBAL SOLUTION IMPORTADORA E DISTRIBUIDORA LTDA</t>
  </si>
  <si>
    <t>DISTRIBRAS ATACADISTA LTDA</t>
  </si>
  <si>
    <t>MAKTUB DISTRIBUIDORA LTDA</t>
  </si>
  <si>
    <t>TREVO COMERCIO DE MATERIAL DE PAPELARIA LTDA</t>
  </si>
  <si>
    <t>29.524.989 ARNOU ARAUJO ROCHA</t>
  </si>
  <si>
    <t>J.P DE LIMA COMERCIO DE PRODUTOS DE LIMPEZA LTDA</t>
  </si>
  <si>
    <t>37.830.766 VAGNER DE MORAES</t>
  </si>
  <si>
    <t>MLJ DISTRIBUIDORA LTDA</t>
  </si>
  <si>
    <t>55.056.487 GEOVANY SEBASTIAN VALADARES DOS SANTOS</t>
  </si>
  <si>
    <t>SI ELETRICOM COMERCIO E TELECOMUNICACOES LTDA</t>
  </si>
  <si>
    <t>BIOLIMP LTDA</t>
  </si>
  <si>
    <t>J. S. COMERCIO IMP. E EXP. LTDA</t>
  </si>
  <si>
    <t>LIGA DISTRIBUIDORA LTDA</t>
  </si>
  <si>
    <t>CLEBER TADEU BRIDI</t>
  </si>
  <si>
    <t>R BARBOSA 2023 COMERCIO E SERVICOS LTDA</t>
  </si>
  <si>
    <t>SBORCHIA FABRICA DE PAPEIS LTDA</t>
  </si>
  <si>
    <t>CLIMAZOOM COMERCIO E SERVICOS LTDA</t>
  </si>
  <si>
    <t>C.F.EMBALAGENS PLASTICAS LTDA</t>
  </si>
  <si>
    <t>DM DISTRIBUIDORA DE DESCARTAVEIS LTDA</t>
  </si>
  <si>
    <t>DHARMA COMERCIO DE PRODUTOS DESCARTAVEIS HIGIENE E LIMPEZA EM GERAL LTDA</t>
  </si>
  <si>
    <t>J. R. COMERCIO E LOCACAO DE VEICULOS LTDA</t>
  </si>
  <si>
    <t>TORRES DISTRIBUIDORA LTDA</t>
  </si>
  <si>
    <t>MERCURIO COMERCIO DE EQUIPAMENTOS E SERVICOS LTDA</t>
  </si>
  <si>
    <t>SULPEL INDUSTRIA E COMERCIO DE PAPEIS LTDA.</t>
  </si>
  <si>
    <t>NICKVALLE COMERCIO DE PAPEIS LTDA</t>
  </si>
  <si>
    <t>M R COMERCIO E SERVICOS GERAIS LTDA</t>
  </si>
  <si>
    <t>ADELMO DOS SANTOS RAMOS</t>
  </si>
  <si>
    <t>D J DA SILVA MACIEL LTDA</t>
  </si>
  <si>
    <t>NORDESTE POTENCIAL LICITACOES LTDA</t>
  </si>
  <si>
    <t>T PINHEIRO PAIVA LTDA</t>
  </si>
  <si>
    <t>COMERCIAL RIOS PRODUTOS DE LIMPEZA, DESCARTAVEIS E PAPELARIA LTDA</t>
  </si>
  <si>
    <t>ANA VALERIA TONELOTTO</t>
  </si>
  <si>
    <t>VSB REPRESENTACOES LTDA</t>
  </si>
  <si>
    <t>STAR COMERCIO DE ALIMENTOS LTDA</t>
  </si>
  <si>
    <t>SOLUCOES EM LICITACOES LTDA</t>
  </si>
  <si>
    <t>AMAZON</t>
  </si>
  <si>
    <t>PIRAPACK</t>
  </si>
  <si>
    <t>COPOS BOLHA</t>
  </si>
  <si>
    <t>SOLLER EMBALAGENS</t>
  </si>
  <si>
    <t>NATURE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</si>
</sst>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center"/>
    </xf>
    <xf numFmtId="44" fontId="8" fillId="2" borderId="1" xfId="1" applyFont="1" applyFill="1" applyBorder="1" applyAlignment="1">
      <alignment horizontal="center"/>
    </xf>
    <xf numFmtId="0" fontId="8" fillId="2" borderId="1" xfId="0" applyFont="1" applyFill="1" applyBorder="1" applyAlignment="1">
      <alignment horizontal="right"/>
    </xf>
    <xf numFmtId="0" fontId="8" fillId="2" borderId="4" xfId="0" applyFont="1" applyFill="1" applyBorder="1"/>
    <xf numFmtId="0" fontId="8" fillId="2" borderId="5" xfId="0" applyFont="1" applyFill="1" applyBorder="1" applyAlignment="1">
      <alignment horizontal="right"/>
    </xf>
    <xf numFmtId="44" fontId="8" fillId="2" borderId="6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44" fontId="2" fillId="0" borderId="0" xfId="1" applyFont="1" applyBorder="1" applyAlignment="1">
      <alignment vertical="top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</v>
      </c>
      <c r="B3" s="34" t="s">
        <v>85</v>
      </c>
      <c r="C3" s="36" t="s">
        <v>86</v>
      </c>
      <c r="D3" s="36">
        <v>500</v>
      </c>
      <c r="E3" s="37">
        <f>IF(C20&lt;=25%,D20,MIN(E20:F20))</f>
        <v>47.24</v>
      </c>
      <c r="F3" s="37">
        <f>MIN(H3:H17)</f>
        <v>3.39</v>
      </c>
      <c r="G3" s="5" t="s">
        <v>104</v>
      </c>
      <c r="H3" s="16">
        <v>4.75</v>
      </c>
      <c r="I3" s="17">
        <f>IF(H3="","",(IF($C$20&lt;25%,"n/a",IF(H3&lt;=($D$20+$A$20),H3,"Descartado"))))</f>
        <v>4.75</v>
      </c>
    </row>
    <row r="4" spans="1:9" x14ac:dyDescent="0.25">
      <c r="A4" s="38"/>
      <c r="B4" s="35"/>
      <c r="C4" s="36"/>
      <c r="D4" s="36"/>
      <c r="E4" s="37"/>
      <c r="F4" s="37"/>
      <c r="G4" s="5" t="s">
        <v>105</v>
      </c>
      <c r="H4" s="16">
        <v>3.39</v>
      </c>
      <c r="I4" s="17">
        <f t="shared" ref="I4:I17" si="0">IF(H4="","",(IF($C$20&lt;25%,"n/a",IF(H4&lt;=($D$20+$A$20),H4,"Descartado"))))</f>
        <v>3.39</v>
      </c>
    </row>
    <row r="5" spans="1:9" x14ac:dyDescent="0.25">
      <c r="A5" s="38"/>
      <c r="B5" s="35"/>
      <c r="C5" s="36"/>
      <c r="D5" s="36"/>
      <c r="E5" s="37"/>
      <c r="F5" s="37"/>
      <c r="G5" s="5" t="s">
        <v>220</v>
      </c>
      <c r="H5" s="16">
        <v>49.84</v>
      </c>
      <c r="I5" s="17">
        <f t="shared" si="0"/>
        <v>49.84</v>
      </c>
    </row>
    <row r="6" spans="1:9" x14ac:dyDescent="0.25">
      <c r="A6" s="38"/>
      <c r="B6" s="35"/>
      <c r="C6" s="36"/>
      <c r="D6" s="36"/>
      <c r="E6" s="37"/>
      <c r="F6" s="37"/>
      <c r="G6" s="5" t="s">
        <v>222</v>
      </c>
      <c r="H6" s="16">
        <v>62.7</v>
      </c>
      <c r="I6" s="17">
        <f t="shared" si="0"/>
        <v>62.7</v>
      </c>
    </row>
    <row r="7" spans="1:9" x14ac:dyDescent="0.25">
      <c r="A7" s="38"/>
      <c r="B7" s="35"/>
      <c r="C7" s="36"/>
      <c r="D7" s="36"/>
      <c r="E7" s="37"/>
      <c r="F7" s="37"/>
      <c r="G7" s="5" t="s">
        <v>51</v>
      </c>
      <c r="H7" s="16">
        <v>67.900000000000006</v>
      </c>
      <c r="I7" s="17">
        <f t="shared" si="0"/>
        <v>67.900000000000006</v>
      </c>
    </row>
    <row r="8" spans="1:9" x14ac:dyDescent="0.25">
      <c r="A8" s="38"/>
      <c r="B8" s="35"/>
      <c r="C8" s="36"/>
      <c r="D8" s="36"/>
      <c r="E8" s="37"/>
      <c r="F8" s="37"/>
      <c r="G8" s="5" t="s">
        <v>224</v>
      </c>
      <c r="H8" s="16">
        <v>68.3</v>
      </c>
      <c r="I8" s="17">
        <f t="shared" si="0"/>
        <v>68.3</v>
      </c>
    </row>
    <row r="9" spans="1:9" x14ac:dyDescent="0.25">
      <c r="A9" s="38"/>
      <c r="B9" s="35"/>
      <c r="C9" s="36"/>
      <c r="D9" s="36"/>
      <c r="E9" s="37"/>
      <c r="F9" s="37"/>
      <c r="G9" s="5" t="s">
        <v>221</v>
      </c>
      <c r="H9" s="16">
        <v>60</v>
      </c>
      <c r="I9" s="17">
        <f t="shared" si="0"/>
        <v>60</v>
      </c>
    </row>
    <row r="10" spans="1:9" x14ac:dyDescent="0.25">
      <c r="A10" s="38"/>
      <c r="B10" s="35"/>
      <c r="C10" s="36"/>
      <c r="D10" s="36"/>
      <c r="E10" s="37"/>
      <c r="F10" s="37"/>
      <c r="G10" s="5" t="s">
        <v>223</v>
      </c>
      <c r="H10" s="16">
        <v>61</v>
      </c>
      <c r="I10" s="17">
        <f t="shared" si="0"/>
        <v>61</v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27.246253739865654</v>
      </c>
      <c r="B20" s="8">
        <f>COUNT(H3:H17)</f>
        <v>8</v>
      </c>
      <c r="C20" s="9">
        <f>IF(B20&lt;2,"n/a",(A20/D20))</f>
        <v>0.57676235689808752</v>
      </c>
      <c r="D20" s="10">
        <f>IFERROR(ROUND(AVERAGE(H3:H17),2),"")</f>
        <v>47.24</v>
      </c>
      <c r="E20" s="15">
        <f>IFERROR(ROUND(IF(B20&lt;2,"n/a",(IF(C20&lt;=25%,"n/a",AVERAGE(I3:I17)))),2),"n/a")</f>
        <v>47.24</v>
      </c>
      <c r="F20" s="10">
        <f>IFERROR(ROUND(MEDIAN(H3:H17),2),"")</f>
        <v>60.5</v>
      </c>
      <c r="G20" s="11" t="str">
        <f>IFERROR(INDEX(G3:G17,MATCH(H20,H3:H17,0)),"")</f>
        <v>PLANETA DA LIMPEZA LTDA</v>
      </c>
      <c r="H20" s="12">
        <f>F3</f>
        <v>3.39</v>
      </c>
    </row>
    <row r="22" spans="1:9" x14ac:dyDescent="0.25">
      <c r="G22" s="13" t="s">
        <v>20</v>
      </c>
      <c r="H22" s="14">
        <f>IF(C20&lt;=25%,D20,MIN(E20:F20))</f>
        <v>47.24</v>
      </c>
    </row>
    <row r="23" spans="1:9" x14ac:dyDescent="0.25">
      <c r="G23" s="13" t="s">
        <v>6</v>
      </c>
      <c r="H23" s="14">
        <f>ROUND(H22,2)*D3</f>
        <v>23620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sortState ref="G5:H10">
    <sortCondition ref="G5:G10"/>
  </sortState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10</v>
      </c>
      <c r="B3" s="34" t="s">
        <v>97</v>
      </c>
      <c r="C3" s="36" t="s">
        <v>7</v>
      </c>
      <c r="D3" s="36">
        <v>200</v>
      </c>
      <c r="E3" s="37">
        <f>IF(C20&lt;=25%,D20,MIN(E20:F20))</f>
        <v>1.44</v>
      </c>
      <c r="F3" s="37">
        <f>MIN(H3:H17)</f>
        <v>1</v>
      </c>
      <c r="G3" s="5" t="s">
        <v>170</v>
      </c>
      <c r="H3" s="16">
        <v>1.7</v>
      </c>
      <c r="I3" s="17">
        <f>IF(H3="","",(IF($C$20&lt;25%,"n/a",IF(H3&lt;=($D$20+$A$20),H3,"Descartado"))))</f>
        <v>1.7</v>
      </c>
    </row>
    <row r="4" spans="1:9" x14ac:dyDescent="0.25">
      <c r="A4" s="38"/>
      <c r="B4" s="35"/>
      <c r="C4" s="36"/>
      <c r="D4" s="36"/>
      <c r="E4" s="37"/>
      <c r="F4" s="37"/>
      <c r="G4" s="5" t="s">
        <v>113</v>
      </c>
      <c r="H4" s="16">
        <v>1.75</v>
      </c>
      <c r="I4" s="17">
        <f t="shared" ref="I4:I17" si="0">IF(H4="","",(IF($C$20&lt;25%,"n/a",IF(H4&lt;=($D$20+$A$20),H4,"Descartado"))))</f>
        <v>1.75</v>
      </c>
    </row>
    <row r="5" spans="1:9" x14ac:dyDescent="0.25">
      <c r="A5" s="38"/>
      <c r="B5" s="35"/>
      <c r="C5" s="36"/>
      <c r="D5" s="36"/>
      <c r="E5" s="37"/>
      <c r="F5" s="37"/>
      <c r="G5" s="5" t="s">
        <v>171</v>
      </c>
      <c r="H5" s="16">
        <v>1.75</v>
      </c>
      <c r="I5" s="17">
        <f t="shared" si="0"/>
        <v>1.75</v>
      </c>
    </row>
    <row r="6" spans="1:9" x14ac:dyDescent="0.25">
      <c r="A6" s="38"/>
      <c r="B6" s="35"/>
      <c r="C6" s="36"/>
      <c r="D6" s="36"/>
      <c r="E6" s="37"/>
      <c r="F6" s="37"/>
      <c r="G6" s="5" t="s">
        <v>172</v>
      </c>
      <c r="H6" s="16">
        <v>1.1000000000000001</v>
      </c>
      <c r="I6" s="17">
        <f t="shared" si="0"/>
        <v>1.1000000000000001</v>
      </c>
    </row>
    <row r="7" spans="1:9" x14ac:dyDescent="0.25">
      <c r="A7" s="38"/>
      <c r="B7" s="35"/>
      <c r="C7" s="36"/>
      <c r="D7" s="36"/>
      <c r="E7" s="37"/>
      <c r="F7" s="37"/>
      <c r="G7" s="5" t="s">
        <v>173</v>
      </c>
      <c r="H7" s="16">
        <v>3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 t="s">
        <v>174</v>
      </c>
      <c r="H8" s="16">
        <v>3</v>
      </c>
      <c r="I8" s="17" t="str">
        <f t="shared" si="0"/>
        <v>Descartado</v>
      </c>
    </row>
    <row r="9" spans="1:9" x14ac:dyDescent="0.25">
      <c r="A9" s="38"/>
      <c r="B9" s="35"/>
      <c r="C9" s="36"/>
      <c r="D9" s="36"/>
      <c r="E9" s="37"/>
      <c r="F9" s="37"/>
      <c r="G9" s="5" t="s">
        <v>175</v>
      </c>
      <c r="H9" s="16">
        <v>1</v>
      </c>
      <c r="I9" s="17">
        <f t="shared" si="0"/>
        <v>1</v>
      </c>
    </row>
    <row r="10" spans="1:9" x14ac:dyDescent="0.25">
      <c r="A10" s="38"/>
      <c r="B10" s="35"/>
      <c r="C10" s="36"/>
      <c r="D10" s="36"/>
      <c r="E10" s="37"/>
      <c r="F10" s="37"/>
      <c r="G10" s="5" t="s">
        <v>176</v>
      </c>
      <c r="H10" s="16">
        <v>1.33</v>
      </c>
      <c r="I10" s="17">
        <f t="shared" si="0"/>
        <v>1.33</v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0.77821108961515029</v>
      </c>
      <c r="B20" s="8">
        <f>COUNT(H3:H17)</f>
        <v>8</v>
      </c>
      <c r="C20" s="9">
        <f>IF(B20&lt;2,"n/a",(A20/D20))</f>
        <v>0.4252519615383335</v>
      </c>
      <c r="D20" s="10">
        <f>IFERROR(ROUND(AVERAGE(H3:H17),2),"")</f>
        <v>1.83</v>
      </c>
      <c r="E20" s="15">
        <f>IFERROR(ROUND(IF(B20&lt;2,"n/a",(IF(C20&lt;=25%,"n/a",AVERAGE(I3:I17)))),2),"n/a")</f>
        <v>1.44</v>
      </c>
      <c r="F20" s="10">
        <f>IFERROR(ROUND(MEDIAN(H3:H17),2),"")</f>
        <v>1.73</v>
      </c>
      <c r="G20" s="11" t="str">
        <f>IFERROR(INDEX(G3:G17,MATCH(H20,H3:H17,0)),"")</f>
        <v>JUSSARA S H SANTOS</v>
      </c>
      <c r="H20" s="12">
        <f>F3</f>
        <v>1</v>
      </c>
    </row>
    <row r="22" spans="1:9" x14ac:dyDescent="0.25">
      <c r="G22" s="13" t="s">
        <v>20</v>
      </c>
      <c r="H22" s="14">
        <f>IF(C20&lt;=25%,D20,MIN(E20:F20))</f>
        <v>1.44</v>
      </c>
    </row>
    <row r="23" spans="1:9" x14ac:dyDescent="0.25">
      <c r="G23" s="13" t="s">
        <v>6</v>
      </c>
      <c r="H23" s="14">
        <f>ROUND(H22,2)*D3</f>
        <v>288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11</v>
      </c>
      <c r="B3" s="34" t="s">
        <v>98</v>
      </c>
      <c r="C3" s="36" t="s">
        <v>92</v>
      </c>
      <c r="D3" s="36">
        <v>1500</v>
      </c>
      <c r="E3" s="37">
        <f>IF(C20&lt;=25%,D20,MIN(E20:F20))</f>
        <v>3.03</v>
      </c>
      <c r="F3" s="37">
        <f>MIN(H3:H17)</f>
        <v>1.49</v>
      </c>
      <c r="G3" s="5" t="s">
        <v>177</v>
      </c>
      <c r="H3" s="16">
        <v>5.4</v>
      </c>
      <c r="I3" s="17">
        <f>IF(H3="","",(IF($C$20&lt;25%,"n/a",IF(H3&lt;=($D$20+$A$20),H3,"Descartado"))))</f>
        <v>5.4</v>
      </c>
    </row>
    <row r="4" spans="1:9" x14ac:dyDescent="0.25">
      <c r="A4" s="38"/>
      <c r="B4" s="35"/>
      <c r="C4" s="36"/>
      <c r="D4" s="36"/>
      <c r="E4" s="37"/>
      <c r="F4" s="37"/>
      <c r="G4" s="5" t="s">
        <v>178</v>
      </c>
      <c r="H4" s="16">
        <v>2.87</v>
      </c>
      <c r="I4" s="17">
        <f t="shared" ref="I4:I17" si="0">IF(H4="","",(IF($C$20&lt;25%,"n/a",IF(H4&lt;=($D$20+$A$20),H4,"Descartado"))))</f>
        <v>2.87</v>
      </c>
    </row>
    <row r="5" spans="1:9" x14ac:dyDescent="0.25">
      <c r="A5" s="38"/>
      <c r="B5" s="35"/>
      <c r="C5" s="36"/>
      <c r="D5" s="36"/>
      <c r="E5" s="37"/>
      <c r="F5" s="37"/>
      <c r="G5" s="5" t="s">
        <v>179</v>
      </c>
      <c r="H5" s="16">
        <v>3.2</v>
      </c>
      <c r="I5" s="17">
        <f t="shared" si="0"/>
        <v>3.2</v>
      </c>
    </row>
    <row r="6" spans="1:9" x14ac:dyDescent="0.25">
      <c r="A6" s="38"/>
      <c r="B6" s="35"/>
      <c r="C6" s="36"/>
      <c r="D6" s="36"/>
      <c r="E6" s="37"/>
      <c r="F6" s="37"/>
      <c r="G6" s="5" t="s">
        <v>180</v>
      </c>
      <c r="H6" s="16">
        <v>4.0999999999999996</v>
      </c>
      <c r="I6" s="17">
        <f t="shared" si="0"/>
        <v>4.0999999999999996</v>
      </c>
    </row>
    <row r="7" spans="1:9" x14ac:dyDescent="0.25">
      <c r="A7" s="38"/>
      <c r="B7" s="35"/>
      <c r="C7" s="36"/>
      <c r="D7" s="36"/>
      <c r="E7" s="37"/>
      <c r="F7" s="37"/>
      <c r="G7" s="5" t="s">
        <v>181</v>
      </c>
      <c r="H7" s="16">
        <v>7.99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 t="s">
        <v>140</v>
      </c>
      <c r="H8" s="16">
        <v>2.29</v>
      </c>
      <c r="I8" s="17">
        <f t="shared" si="0"/>
        <v>2.29</v>
      </c>
    </row>
    <row r="9" spans="1:9" x14ac:dyDescent="0.25">
      <c r="A9" s="38"/>
      <c r="B9" s="35"/>
      <c r="C9" s="36"/>
      <c r="D9" s="36"/>
      <c r="E9" s="37"/>
      <c r="F9" s="37"/>
      <c r="G9" s="5" t="s">
        <v>182</v>
      </c>
      <c r="H9" s="16">
        <v>2</v>
      </c>
      <c r="I9" s="17">
        <f t="shared" si="0"/>
        <v>2</v>
      </c>
    </row>
    <row r="10" spans="1:9" x14ac:dyDescent="0.25">
      <c r="A10" s="38"/>
      <c r="B10" s="35"/>
      <c r="C10" s="36"/>
      <c r="D10" s="36"/>
      <c r="E10" s="37"/>
      <c r="F10" s="37"/>
      <c r="G10" s="5" t="s">
        <v>183</v>
      </c>
      <c r="H10" s="16">
        <v>3.99</v>
      </c>
      <c r="I10" s="17">
        <f t="shared" si="0"/>
        <v>3.99</v>
      </c>
    </row>
    <row r="11" spans="1:9" x14ac:dyDescent="0.25">
      <c r="A11" s="38"/>
      <c r="B11" s="35"/>
      <c r="C11" s="36"/>
      <c r="D11" s="36"/>
      <c r="E11" s="37"/>
      <c r="F11" s="37"/>
      <c r="G11" s="5" t="s">
        <v>184</v>
      </c>
      <c r="H11" s="16">
        <v>1.89</v>
      </c>
      <c r="I11" s="17">
        <f t="shared" si="0"/>
        <v>1.89</v>
      </c>
    </row>
    <row r="12" spans="1:9" x14ac:dyDescent="0.25">
      <c r="A12" s="38"/>
      <c r="B12" s="35"/>
      <c r="C12" s="36"/>
      <c r="D12" s="36"/>
      <c r="E12" s="37"/>
      <c r="F12" s="37"/>
      <c r="G12" s="5" t="s">
        <v>185</v>
      </c>
      <c r="H12" s="16">
        <v>1.49</v>
      </c>
      <c r="I12" s="17">
        <f t="shared" si="0"/>
        <v>1.49</v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1.9776124774867074</v>
      </c>
      <c r="B20" s="8">
        <f>COUNT(H3:H17)</f>
        <v>10</v>
      </c>
      <c r="C20" s="9">
        <f>IF(B20&lt;2,"n/a",(A20/D20))</f>
        <v>0.56182172655872364</v>
      </c>
      <c r="D20" s="10">
        <f>IFERROR(ROUND(AVERAGE(H3:H17),2),"")</f>
        <v>3.52</v>
      </c>
      <c r="E20" s="15">
        <f>IFERROR(ROUND(IF(B20&lt;2,"n/a",(IF(C20&lt;=25%,"n/a",AVERAGE(I3:I17)))),2),"n/a")</f>
        <v>3.03</v>
      </c>
      <c r="F20" s="10">
        <f>IFERROR(ROUND(MEDIAN(H3:H17),2),"")</f>
        <v>3.04</v>
      </c>
      <c r="G20" s="11" t="str">
        <f>IFERROR(INDEX(G3:G17,MATCH(H20,H3:H17,0)),"")</f>
        <v>GLOBAL SOLUTION IMPORTADORA E DISTRIBUIDORA LTDA</v>
      </c>
      <c r="H20" s="12">
        <f>F3</f>
        <v>1.49</v>
      </c>
    </row>
    <row r="22" spans="1:9" x14ac:dyDescent="0.25">
      <c r="G22" s="13" t="s">
        <v>20</v>
      </c>
      <c r="H22" s="14">
        <f>IF(C20&lt;=25%,D20,MIN(E20:F20))</f>
        <v>3.03</v>
      </c>
    </row>
    <row r="23" spans="1:9" x14ac:dyDescent="0.25">
      <c r="G23" s="13" t="s">
        <v>6</v>
      </c>
      <c r="H23" s="14">
        <f>ROUND(H22,2)*D3</f>
        <v>4545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12</v>
      </c>
      <c r="B3" s="34" t="s">
        <v>99</v>
      </c>
      <c r="C3" s="36" t="s">
        <v>7</v>
      </c>
      <c r="D3" s="36">
        <v>50</v>
      </c>
      <c r="E3" s="37">
        <f>IF(C20&lt;=25%,D20,MIN(E20:F20))</f>
        <v>7.16</v>
      </c>
      <c r="F3" s="37">
        <f>MIN(H3:H17)</f>
        <v>3</v>
      </c>
      <c r="G3" s="5" t="s">
        <v>186</v>
      </c>
      <c r="H3" s="16">
        <v>10.25</v>
      </c>
      <c r="I3" s="17">
        <f>IF(H3="","",(IF($C$20&lt;25%,"n/a",IF(H3&lt;=($D$20+$A$20),H3,"Descartado"))))</f>
        <v>10.25</v>
      </c>
    </row>
    <row r="4" spans="1:9" x14ac:dyDescent="0.25">
      <c r="A4" s="38"/>
      <c r="B4" s="35"/>
      <c r="C4" s="36"/>
      <c r="D4" s="36"/>
      <c r="E4" s="37"/>
      <c r="F4" s="37"/>
      <c r="G4" s="5" t="s">
        <v>162</v>
      </c>
      <c r="H4" s="16">
        <v>19.8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8"/>
      <c r="B5" s="35"/>
      <c r="C5" s="36"/>
      <c r="D5" s="36"/>
      <c r="E5" s="37"/>
      <c r="F5" s="37"/>
      <c r="G5" s="5" t="s">
        <v>187</v>
      </c>
      <c r="H5" s="16">
        <v>3</v>
      </c>
      <c r="I5" s="17">
        <f t="shared" si="0"/>
        <v>3</v>
      </c>
    </row>
    <row r="6" spans="1:9" x14ac:dyDescent="0.25">
      <c r="A6" s="38"/>
      <c r="B6" s="35"/>
      <c r="C6" s="36"/>
      <c r="D6" s="36"/>
      <c r="E6" s="37"/>
      <c r="F6" s="37"/>
      <c r="G6" s="5" t="s">
        <v>188</v>
      </c>
      <c r="H6" s="16">
        <v>4.38</v>
      </c>
      <c r="I6" s="17">
        <f t="shared" si="0"/>
        <v>4.38</v>
      </c>
    </row>
    <row r="7" spans="1:9" x14ac:dyDescent="0.25">
      <c r="A7" s="38"/>
      <c r="B7" s="35"/>
      <c r="C7" s="36"/>
      <c r="D7" s="36"/>
      <c r="E7" s="37"/>
      <c r="F7" s="37"/>
      <c r="G7" s="5" t="s">
        <v>189</v>
      </c>
      <c r="H7" s="16">
        <v>11</v>
      </c>
      <c r="I7" s="17">
        <f t="shared" si="0"/>
        <v>11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6.6557103302352347</v>
      </c>
      <c r="B20" s="8">
        <f>COUNT(H3:H17)</f>
        <v>5</v>
      </c>
      <c r="C20" s="9">
        <f>IF(B20&lt;2,"n/a",(A20/D20))</f>
        <v>0.6868638111697869</v>
      </c>
      <c r="D20" s="10">
        <f>IFERROR(ROUND(AVERAGE(H3:H17),2),"")</f>
        <v>9.69</v>
      </c>
      <c r="E20" s="15">
        <f>IFERROR(ROUND(IF(B20&lt;2,"n/a",(IF(C20&lt;=25%,"n/a",AVERAGE(I3:I17)))),2),"n/a")</f>
        <v>7.16</v>
      </c>
      <c r="F20" s="10">
        <f>IFERROR(ROUND(MEDIAN(H3:H17),2),"")</f>
        <v>10.25</v>
      </c>
      <c r="G20" s="11" t="str">
        <f>IFERROR(INDEX(G3:G17,MATCH(H20,H3:H17,0)),"")</f>
        <v>MAKTUB DISTRIBUIDORA LTDA</v>
      </c>
      <c r="H20" s="12">
        <f>F3</f>
        <v>3</v>
      </c>
    </row>
    <row r="22" spans="1:9" x14ac:dyDescent="0.25">
      <c r="G22" s="13" t="s">
        <v>20</v>
      </c>
      <c r="H22" s="14">
        <f>IF(C20&lt;=25%,D20,MIN(E20:F20))</f>
        <v>7.16</v>
      </c>
    </row>
    <row r="23" spans="1:9" x14ac:dyDescent="0.25">
      <c r="G23" s="13" t="s">
        <v>6</v>
      </c>
      <c r="H23" s="14">
        <f>ROUND(H22,2)*D3</f>
        <v>358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13</v>
      </c>
      <c r="B3" s="34" t="s">
        <v>100</v>
      </c>
      <c r="C3" s="36" t="s">
        <v>93</v>
      </c>
      <c r="D3" s="36">
        <v>500</v>
      </c>
      <c r="E3" s="37">
        <f>IF(C20&lt;=25%,D20,MIN(E20:F20))</f>
        <v>4.08</v>
      </c>
      <c r="F3" s="37">
        <f>MIN(H3:H17)</f>
        <v>3.13</v>
      </c>
      <c r="G3" s="5" t="s">
        <v>190</v>
      </c>
      <c r="H3" s="16">
        <v>4.1500000000000004</v>
      </c>
      <c r="I3" s="17">
        <f>IF(H3="","",(IF($C$20&lt;25%,"n/a",IF(H3&lt;=($D$20+$A$20),H3,"Descartado"))))</f>
        <v>4.1500000000000004</v>
      </c>
    </row>
    <row r="4" spans="1:9" x14ac:dyDescent="0.25">
      <c r="A4" s="38"/>
      <c r="B4" s="35"/>
      <c r="C4" s="36"/>
      <c r="D4" s="36"/>
      <c r="E4" s="37"/>
      <c r="F4" s="37"/>
      <c r="G4" s="5" t="s">
        <v>167</v>
      </c>
      <c r="H4" s="16">
        <v>5.96</v>
      </c>
      <c r="I4" s="17">
        <f t="shared" ref="I4:I17" si="0">IF(H4="","",(IF($C$20&lt;25%,"n/a",IF(H4&lt;=($D$20+$A$20),H4,"Descartado"))))</f>
        <v>5.96</v>
      </c>
    </row>
    <row r="5" spans="1:9" x14ac:dyDescent="0.25">
      <c r="A5" s="38"/>
      <c r="B5" s="35"/>
      <c r="C5" s="36"/>
      <c r="D5" s="36"/>
      <c r="E5" s="37"/>
      <c r="F5" s="37"/>
      <c r="G5" s="5" t="s">
        <v>191</v>
      </c>
      <c r="H5" s="16">
        <v>3.55</v>
      </c>
      <c r="I5" s="17">
        <f t="shared" si="0"/>
        <v>3.55</v>
      </c>
    </row>
    <row r="6" spans="1:9" x14ac:dyDescent="0.25">
      <c r="A6" s="38"/>
      <c r="B6" s="35"/>
      <c r="C6" s="36"/>
      <c r="D6" s="36"/>
      <c r="E6" s="37"/>
      <c r="F6" s="37"/>
      <c r="G6" s="5" t="s">
        <v>192</v>
      </c>
      <c r="H6" s="16">
        <v>3.13</v>
      </c>
      <c r="I6" s="17">
        <f t="shared" si="0"/>
        <v>3.13</v>
      </c>
    </row>
    <row r="7" spans="1:9" x14ac:dyDescent="0.25">
      <c r="A7" s="38"/>
      <c r="B7" s="35"/>
      <c r="C7" s="36"/>
      <c r="D7" s="36"/>
      <c r="E7" s="37"/>
      <c r="F7" s="37"/>
      <c r="G7" s="5" t="s">
        <v>193</v>
      </c>
      <c r="H7" s="16">
        <v>4</v>
      </c>
      <c r="I7" s="17">
        <f t="shared" si="0"/>
        <v>4</v>
      </c>
    </row>
    <row r="8" spans="1:9" x14ac:dyDescent="0.25">
      <c r="A8" s="38"/>
      <c r="B8" s="35"/>
      <c r="C8" s="36"/>
      <c r="D8" s="36"/>
      <c r="E8" s="37"/>
      <c r="F8" s="37"/>
      <c r="G8" s="5" t="s">
        <v>194</v>
      </c>
      <c r="H8" s="16">
        <v>3.2149999999999999</v>
      </c>
      <c r="I8" s="17">
        <f t="shared" si="0"/>
        <v>3.2149999999999999</v>
      </c>
    </row>
    <row r="9" spans="1:9" x14ac:dyDescent="0.25">
      <c r="A9" s="38"/>
      <c r="B9" s="35"/>
      <c r="C9" s="36"/>
      <c r="D9" s="36"/>
      <c r="E9" s="37"/>
      <c r="F9" s="37"/>
      <c r="G9" s="5" t="s">
        <v>195</v>
      </c>
      <c r="H9" s="16">
        <v>3.61</v>
      </c>
      <c r="I9" s="17">
        <f t="shared" si="0"/>
        <v>3.61</v>
      </c>
    </row>
    <row r="10" spans="1:9" x14ac:dyDescent="0.25">
      <c r="A10" s="38"/>
      <c r="B10" s="35"/>
      <c r="C10" s="36"/>
      <c r="D10" s="36"/>
      <c r="E10" s="37"/>
      <c r="F10" s="37"/>
      <c r="G10" s="5" t="s">
        <v>196</v>
      </c>
      <c r="H10" s="16">
        <v>5.7</v>
      </c>
      <c r="I10" s="17">
        <f t="shared" si="0"/>
        <v>5.7</v>
      </c>
    </row>
    <row r="11" spans="1:9" x14ac:dyDescent="0.25">
      <c r="A11" s="38"/>
      <c r="B11" s="35"/>
      <c r="C11" s="36"/>
      <c r="D11" s="36"/>
      <c r="E11" s="37"/>
      <c r="F11" s="37"/>
      <c r="G11" s="5" t="s">
        <v>197</v>
      </c>
      <c r="H11" s="16">
        <v>6.4</v>
      </c>
      <c r="I11" s="17" t="str">
        <f t="shared" si="0"/>
        <v>Descartado</v>
      </c>
    </row>
    <row r="12" spans="1:9" x14ac:dyDescent="0.25">
      <c r="A12" s="38"/>
      <c r="B12" s="35"/>
      <c r="C12" s="36"/>
      <c r="D12" s="36"/>
      <c r="E12" s="37"/>
      <c r="F12" s="37"/>
      <c r="G12" s="5" t="s">
        <v>168</v>
      </c>
      <c r="H12" s="16">
        <v>6.86</v>
      </c>
      <c r="I12" s="17" t="str">
        <f t="shared" si="0"/>
        <v>Descartado</v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1.4180723418312176</v>
      </c>
      <c r="B20" s="8">
        <f>COUNT(H3:H17)</f>
        <v>10</v>
      </c>
      <c r="C20" s="9">
        <f>IF(B20&lt;2,"n/a",(A20/D20))</f>
        <v>0.30430736949167758</v>
      </c>
      <c r="D20" s="10">
        <f>IFERROR(ROUND(AVERAGE(H3:H17),2),"")</f>
        <v>4.66</v>
      </c>
      <c r="E20" s="15">
        <f>IFERROR(ROUND(IF(B20&lt;2,"n/a",(IF(C20&lt;=25%,"n/a",AVERAGE(I3:I17)))),2),"n/a")</f>
        <v>4.16</v>
      </c>
      <c r="F20" s="10">
        <f>IFERROR(ROUND(MEDIAN(H3:H17),2),"")</f>
        <v>4.08</v>
      </c>
      <c r="G20" s="11" t="str">
        <f>IFERROR(INDEX(G3:G17,MATCH(H20,H3:H17,0)),"")</f>
        <v>MLJ DISTRIBUIDORA LTDA</v>
      </c>
      <c r="H20" s="12">
        <f>F3</f>
        <v>3.13</v>
      </c>
    </row>
    <row r="22" spans="1:9" x14ac:dyDescent="0.25">
      <c r="G22" s="13" t="s">
        <v>20</v>
      </c>
      <c r="H22" s="14">
        <f>IF(C20&lt;=25%,D20,MIN(E20:F20))</f>
        <v>4.08</v>
      </c>
    </row>
    <row r="23" spans="1:9" x14ac:dyDescent="0.25">
      <c r="G23" s="13" t="s">
        <v>6</v>
      </c>
      <c r="H23" s="14">
        <f>ROUND(H22,2)*D3</f>
        <v>2040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5" sqref="G1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14</v>
      </c>
      <c r="B3" s="34" t="s">
        <v>101</v>
      </c>
      <c r="C3" s="36" t="s">
        <v>93</v>
      </c>
      <c r="D3" s="36">
        <v>500</v>
      </c>
      <c r="E3" s="37">
        <f>IF(C20&lt;=25%,D20,MIN(E20:F20))</f>
        <v>8.17</v>
      </c>
      <c r="F3" s="37">
        <f>MIN(H3:H17)</f>
        <v>5.0999999999999996</v>
      </c>
      <c r="G3" s="5" t="s">
        <v>198</v>
      </c>
      <c r="H3" s="16">
        <v>7.28</v>
      </c>
      <c r="I3" s="17">
        <f>IF(H3="","",(IF($C$20&lt;25%,"n/a",IF(H3&lt;=($D$20+$A$20),H3,"Descartado"))))</f>
        <v>7.28</v>
      </c>
    </row>
    <row r="4" spans="1:9" x14ac:dyDescent="0.25">
      <c r="A4" s="38"/>
      <c r="B4" s="35"/>
      <c r="C4" s="36"/>
      <c r="D4" s="36"/>
      <c r="E4" s="37"/>
      <c r="F4" s="37"/>
      <c r="G4" s="5" t="s">
        <v>199</v>
      </c>
      <c r="H4" s="16">
        <v>5.0999999999999996</v>
      </c>
      <c r="I4" s="17">
        <f t="shared" ref="I4:I17" si="0">IF(H4="","",(IF($C$20&lt;25%,"n/a",IF(H4&lt;=($D$20+$A$20),H4,"Descartado"))))</f>
        <v>5.0999999999999996</v>
      </c>
    </row>
    <row r="5" spans="1:9" x14ac:dyDescent="0.25">
      <c r="A5" s="38"/>
      <c r="B5" s="35"/>
      <c r="C5" s="36"/>
      <c r="D5" s="36"/>
      <c r="E5" s="37"/>
      <c r="F5" s="37"/>
      <c r="G5" s="5" t="s">
        <v>200</v>
      </c>
      <c r="H5" s="16">
        <v>12.5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 t="s">
        <v>201</v>
      </c>
      <c r="H6" s="16">
        <v>8.6999999999999993</v>
      </c>
      <c r="I6" s="17">
        <f t="shared" si="0"/>
        <v>8.6999999999999993</v>
      </c>
    </row>
    <row r="7" spans="1:9" x14ac:dyDescent="0.25">
      <c r="A7" s="38"/>
      <c r="B7" s="35"/>
      <c r="C7" s="36"/>
      <c r="D7" s="36"/>
      <c r="E7" s="37"/>
      <c r="F7" s="37"/>
      <c r="G7" s="5" t="s">
        <v>202</v>
      </c>
      <c r="H7" s="16">
        <v>5.95</v>
      </c>
      <c r="I7" s="17">
        <f t="shared" si="0"/>
        <v>5.95</v>
      </c>
    </row>
    <row r="8" spans="1:9" x14ac:dyDescent="0.25">
      <c r="A8" s="38"/>
      <c r="B8" s="35"/>
      <c r="C8" s="36"/>
      <c r="D8" s="36"/>
      <c r="E8" s="37"/>
      <c r="F8" s="37"/>
      <c r="G8" s="5" t="s">
        <v>203</v>
      </c>
      <c r="H8" s="16">
        <v>10.67</v>
      </c>
      <c r="I8" s="17">
        <f t="shared" si="0"/>
        <v>10.67</v>
      </c>
    </row>
    <row r="9" spans="1:9" x14ac:dyDescent="0.25">
      <c r="A9" s="38"/>
      <c r="B9" s="35"/>
      <c r="C9" s="36"/>
      <c r="D9" s="36"/>
      <c r="E9" s="37"/>
      <c r="F9" s="37"/>
      <c r="G9" s="5" t="s">
        <v>204</v>
      </c>
      <c r="H9" s="16">
        <v>6.68</v>
      </c>
      <c r="I9" s="17">
        <f t="shared" si="0"/>
        <v>6.68</v>
      </c>
    </row>
    <row r="10" spans="1:9" x14ac:dyDescent="0.25">
      <c r="A10" s="38"/>
      <c r="B10" s="35"/>
      <c r="C10" s="36"/>
      <c r="D10" s="36"/>
      <c r="E10" s="37"/>
      <c r="F10" s="37"/>
      <c r="G10" s="5" t="s">
        <v>205</v>
      </c>
      <c r="H10" s="16">
        <v>12.5</v>
      </c>
      <c r="I10" s="17" t="str">
        <f t="shared" si="0"/>
        <v>Descartado</v>
      </c>
    </row>
    <row r="11" spans="1:9" x14ac:dyDescent="0.25">
      <c r="A11" s="38"/>
      <c r="B11" s="35"/>
      <c r="C11" s="36"/>
      <c r="D11" s="36"/>
      <c r="E11" s="37"/>
      <c r="F11" s="37"/>
      <c r="G11" s="5" t="s">
        <v>206</v>
      </c>
      <c r="H11" s="16">
        <v>10.85</v>
      </c>
      <c r="I11" s="17">
        <f t="shared" si="0"/>
        <v>10.85</v>
      </c>
    </row>
    <row r="12" spans="1:9" x14ac:dyDescent="0.25">
      <c r="A12" s="38"/>
      <c r="B12" s="35"/>
      <c r="C12" s="36"/>
      <c r="D12" s="36"/>
      <c r="E12" s="37"/>
      <c r="F12" s="37"/>
      <c r="G12" s="5" t="s">
        <v>207</v>
      </c>
      <c r="H12" s="16">
        <v>7.25</v>
      </c>
      <c r="I12" s="17">
        <f t="shared" si="0"/>
        <v>7.25</v>
      </c>
    </row>
    <row r="13" spans="1:9" x14ac:dyDescent="0.25">
      <c r="A13" s="38"/>
      <c r="B13" s="35"/>
      <c r="C13" s="36"/>
      <c r="D13" s="36"/>
      <c r="E13" s="37"/>
      <c r="F13" s="37"/>
      <c r="G13" s="5" t="s">
        <v>208</v>
      </c>
      <c r="H13" s="16">
        <v>10</v>
      </c>
      <c r="I13" s="17">
        <f t="shared" si="0"/>
        <v>10</v>
      </c>
    </row>
    <row r="14" spans="1:9" x14ac:dyDescent="0.25">
      <c r="A14" s="38"/>
      <c r="B14" s="35"/>
      <c r="C14" s="36"/>
      <c r="D14" s="36"/>
      <c r="E14" s="37"/>
      <c r="F14" s="37"/>
      <c r="G14" s="5" t="s">
        <v>209</v>
      </c>
      <c r="H14" s="16">
        <v>9.2100000000000009</v>
      </c>
      <c r="I14" s="17">
        <f t="shared" si="0"/>
        <v>9.2100000000000009</v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2.4793381020430521</v>
      </c>
      <c r="B20" s="8">
        <f>COUNT(H3:H17)</f>
        <v>12</v>
      </c>
      <c r="C20" s="9">
        <f>IF(B20&lt;2,"n/a",(A20/D20))</f>
        <v>0.27889067514545018</v>
      </c>
      <c r="D20" s="10">
        <f>IFERROR(ROUND(AVERAGE(H3:H17),2),"")</f>
        <v>8.89</v>
      </c>
      <c r="E20" s="15">
        <f>IFERROR(ROUND(IF(B20&lt;2,"n/a",(IF(C20&lt;=25%,"n/a",AVERAGE(I3:I17)))),2),"n/a")</f>
        <v>8.17</v>
      </c>
      <c r="F20" s="10">
        <f>IFERROR(ROUND(MEDIAN(H3:H17),2),"")</f>
        <v>8.9600000000000009</v>
      </c>
      <c r="G20" s="11" t="str">
        <f>IFERROR(INDEX(G3:G17,MATCH(H20,H3:H17,0)),"")</f>
        <v>R BARBOSA 2023 COMERCIO E SERVICOS LTDA</v>
      </c>
      <c r="H20" s="12">
        <f>F3</f>
        <v>5.0999999999999996</v>
      </c>
    </row>
    <row r="22" spans="1:9" x14ac:dyDescent="0.25">
      <c r="G22" s="13" t="s">
        <v>20</v>
      </c>
      <c r="H22" s="14">
        <f>IF(C20&lt;=25%,D20,MIN(E20:F20))</f>
        <v>8.17</v>
      </c>
    </row>
    <row r="23" spans="1:9" x14ac:dyDescent="0.25">
      <c r="G23" s="13" t="s">
        <v>6</v>
      </c>
      <c r="H23" s="14">
        <f>ROUND(H22,2)*D3</f>
        <v>4085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15</v>
      </c>
      <c r="B3" s="34" t="s">
        <v>102</v>
      </c>
      <c r="C3" s="36" t="s">
        <v>7</v>
      </c>
      <c r="D3" s="36">
        <v>200</v>
      </c>
      <c r="E3" s="37">
        <f>IF(C20&lt;=25%,D20,MIN(E20:F20))</f>
        <v>5.15</v>
      </c>
      <c r="F3" s="37">
        <f>MIN(H3:H17)</f>
        <v>1.4</v>
      </c>
      <c r="G3" s="5" t="s">
        <v>194</v>
      </c>
      <c r="H3" s="16">
        <v>8.9450000000000003</v>
      </c>
      <c r="I3" s="17">
        <f>IF(H3="","",(IF($C$20&lt;25%,"n/a",IF(H3&lt;=($D$20+$A$20),H3,"Descartado"))))</f>
        <v>8.9450000000000003</v>
      </c>
    </row>
    <row r="4" spans="1:9" x14ac:dyDescent="0.25">
      <c r="A4" s="38"/>
      <c r="B4" s="35"/>
      <c r="C4" s="36"/>
      <c r="D4" s="36"/>
      <c r="E4" s="37"/>
      <c r="F4" s="37"/>
      <c r="G4" s="5" t="s">
        <v>210</v>
      </c>
      <c r="H4" s="16">
        <v>2.48</v>
      </c>
      <c r="I4" s="17">
        <f t="shared" ref="I4:I17" si="0">IF(H4="","",(IF($C$20&lt;25%,"n/a",IF(H4&lt;=($D$20+$A$20),H4,"Descartado"))))</f>
        <v>2.48</v>
      </c>
    </row>
    <row r="5" spans="1:9" x14ac:dyDescent="0.25">
      <c r="A5" s="38"/>
      <c r="B5" s="35"/>
      <c r="C5" s="36"/>
      <c r="D5" s="36"/>
      <c r="E5" s="37"/>
      <c r="F5" s="37"/>
      <c r="G5" s="5" t="s">
        <v>113</v>
      </c>
      <c r="H5" s="16">
        <v>23.14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 t="s">
        <v>211</v>
      </c>
      <c r="H6" s="16">
        <v>4.9000000000000004</v>
      </c>
      <c r="I6" s="17">
        <f t="shared" si="0"/>
        <v>4.9000000000000004</v>
      </c>
    </row>
    <row r="7" spans="1:9" x14ac:dyDescent="0.25">
      <c r="A7" s="38"/>
      <c r="B7" s="35"/>
      <c r="C7" s="36"/>
      <c r="D7" s="36"/>
      <c r="E7" s="37"/>
      <c r="F7" s="37"/>
      <c r="G7" s="5" t="s">
        <v>212</v>
      </c>
      <c r="H7" s="16">
        <v>8</v>
      </c>
      <c r="I7" s="17">
        <f t="shared" si="0"/>
        <v>8</v>
      </c>
    </row>
    <row r="8" spans="1:9" x14ac:dyDescent="0.25">
      <c r="A8" s="38"/>
      <c r="B8" s="35"/>
      <c r="C8" s="36"/>
      <c r="D8" s="36"/>
      <c r="E8" s="37"/>
      <c r="F8" s="37"/>
      <c r="G8" s="5" t="s">
        <v>213</v>
      </c>
      <c r="H8" s="16">
        <v>1.4</v>
      </c>
      <c r="I8" s="17">
        <f t="shared" si="0"/>
        <v>1.4</v>
      </c>
    </row>
    <row r="9" spans="1:9" x14ac:dyDescent="0.25">
      <c r="A9" s="38"/>
      <c r="B9" s="35"/>
      <c r="C9" s="36"/>
      <c r="D9" s="36"/>
      <c r="E9" s="37"/>
      <c r="F9" s="37"/>
      <c r="G9" s="5" t="s">
        <v>214</v>
      </c>
      <c r="H9" s="16">
        <v>24.13</v>
      </c>
      <c r="I9" s="17" t="str">
        <f t="shared" si="0"/>
        <v>Descartado</v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9.4222121682149123</v>
      </c>
      <c r="B20" s="8">
        <f>COUNT(H3:H17)</f>
        <v>7</v>
      </c>
      <c r="C20" s="9">
        <f>IF(B20&lt;2,"n/a",(A20/D20))</f>
        <v>0.90337604680871642</v>
      </c>
      <c r="D20" s="10">
        <f>IFERROR(ROUND(AVERAGE(H3:H17),2),"")</f>
        <v>10.43</v>
      </c>
      <c r="E20" s="15">
        <f>IFERROR(ROUND(IF(B20&lt;2,"n/a",(IF(C20&lt;=25%,"n/a",AVERAGE(I3:I17)))),2),"n/a")</f>
        <v>5.15</v>
      </c>
      <c r="F20" s="10">
        <f>IFERROR(ROUND(MEDIAN(H3:H17),2),"")</f>
        <v>8</v>
      </c>
      <c r="G20" s="11" t="str">
        <f>IFERROR(INDEX(G3:G17,MATCH(H20,H3:H17,0)),"")</f>
        <v>NORDESTE POTENCIAL LICITACOES LTDA</v>
      </c>
      <c r="H20" s="12">
        <f>F3</f>
        <v>1.4</v>
      </c>
    </row>
    <row r="22" spans="1:9" x14ac:dyDescent="0.25">
      <c r="G22" s="13" t="s">
        <v>20</v>
      </c>
      <c r="H22" s="14">
        <f>IF(C20&lt;=25%,D20,MIN(E20:F20))</f>
        <v>5.15</v>
      </c>
    </row>
    <row r="23" spans="1:9" x14ac:dyDescent="0.25">
      <c r="G23" s="13" t="s">
        <v>6</v>
      </c>
      <c r="H23" s="14">
        <f>ROUND(H22,2)*D3</f>
        <v>1030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16</v>
      </c>
      <c r="B3" s="34" t="s">
        <v>103</v>
      </c>
      <c r="C3" s="36" t="s">
        <v>7</v>
      </c>
      <c r="D3" s="36">
        <v>50</v>
      </c>
      <c r="E3" s="37">
        <f>IF(C20&lt;=25%,D20,MIN(E20:F20))</f>
        <v>7.94</v>
      </c>
      <c r="F3" s="37">
        <f>MIN(H3:H17)</f>
        <v>6.23</v>
      </c>
      <c r="G3" s="5" t="s">
        <v>215</v>
      </c>
      <c r="H3" s="16">
        <v>7.38</v>
      </c>
      <c r="I3" s="17">
        <f>IF(H3="","",(IF($C$20&lt;25%,"n/a",IF(H3&lt;=($D$20+$A$20),H3,"Descartado"))))</f>
        <v>7.38</v>
      </c>
    </row>
    <row r="4" spans="1:9" x14ac:dyDescent="0.25">
      <c r="A4" s="38"/>
      <c r="B4" s="35"/>
      <c r="C4" s="36"/>
      <c r="D4" s="36"/>
      <c r="E4" s="37"/>
      <c r="F4" s="37"/>
      <c r="G4" s="5" t="s">
        <v>216</v>
      </c>
      <c r="H4" s="16">
        <v>24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8"/>
      <c r="B5" s="35"/>
      <c r="C5" s="36"/>
      <c r="D5" s="36"/>
      <c r="E5" s="37"/>
      <c r="F5" s="37"/>
      <c r="G5" s="5" t="s">
        <v>217</v>
      </c>
      <c r="H5" s="16">
        <v>6.27</v>
      </c>
      <c r="I5" s="17">
        <f t="shared" si="0"/>
        <v>6.27</v>
      </c>
    </row>
    <row r="6" spans="1:9" x14ac:dyDescent="0.25">
      <c r="A6" s="38"/>
      <c r="B6" s="35"/>
      <c r="C6" s="36"/>
      <c r="D6" s="36"/>
      <c r="E6" s="37"/>
      <c r="F6" s="37"/>
      <c r="G6" s="5" t="s">
        <v>218</v>
      </c>
      <c r="H6" s="16">
        <v>6.23</v>
      </c>
      <c r="I6" s="17">
        <f t="shared" si="0"/>
        <v>6.23</v>
      </c>
    </row>
    <row r="7" spans="1:9" x14ac:dyDescent="0.25">
      <c r="A7" s="38"/>
      <c r="B7" s="35"/>
      <c r="C7" s="36"/>
      <c r="D7" s="36"/>
      <c r="E7" s="37"/>
      <c r="F7" s="37"/>
      <c r="G7" s="5" t="s">
        <v>219</v>
      </c>
      <c r="H7" s="16">
        <v>10</v>
      </c>
      <c r="I7" s="17">
        <f t="shared" si="0"/>
        <v>10</v>
      </c>
    </row>
    <row r="8" spans="1:9" x14ac:dyDescent="0.25">
      <c r="A8" s="38"/>
      <c r="B8" s="35"/>
      <c r="C8" s="36"/>
      <c r="D8" s="36"/>
      <c r="E8" s="37"/>
      <c r="F8" s="37"/>
      <c r="G8" s="5" t="s">
        <v>158</v>
      </c>
      <c r="H8" s="16">
        <v>9.8000000000000007</v>
      </c>
      <c r="I8" s="17">
        <f t="shared" si="0"/>
        <v>9.8000000000000007</v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6.7642166336292551</v>
      </c>
      <c r="B20" s="8">
        <f>COUNT(H3:H17)</f>
        <v>6</v>
      </c>
      <c r="C20" s="9">
        <f>IF(B20&lt;2,"n/a",(A20/D20))</f>
        <v>0.63753219921105142</v>
      </c>
      <c r="D20" s="10">
        <f>IFERROR(ROUND(AVERAGE(H3:H17),2),"")</f>
        <v>10.61</v>
      </c>
      <c r="E20" s="15">
        <f>IFERROR(ROUND(IF(B20&lt;2,"n/a",(IF(C20&lt;=25%,"n/a",AVERAGE(I3:I17)))),2),"n/a")</f>
        <v>7.94</v>
      </c>
      <c r="F20" s="10">
        <f>IFERROR(ROUND(MEDIAN(H3:H17),2),"")</f>
        <v>8.59</v>
      </c>
      <c r="G20" s="11" t="str">
        <f>IFERROR(INDEX(G3:G17,MATCH(H20,H3:H17,0)),"")</f>
        <v>STAR COMERCIO DE ALIMENTOS LTDA</v>
      </c>
      <c r="H20" s="12">
        <f>F3</f>
        <v>6.23</v>
      </c>
    </row>
    <row r="22" spans="1:9" x14ac:dyDescent="0.25">
      <c r="G22" s="13" t="s">
        <v>20</v>
      </c>
      <c r="H22" s="14">
        <f>IF(C20&lt;=25%,D20,MIN(E20:F20))</f>
        <v>7.94</v>
      </c>
    </row>
    <row r="23" spans="1:9" x14ac:dyDescent="0.25">
      <c r="G23" s="13" t="s">
        <v>6</v>
      </c>
      <c r="H23" s="14">
        <f>ROUND(H22,2)*D3</f>
        <v>397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C3" sqref="C3:C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17</v>
      </c>
      <c r="B3" s="34" t="s">
        <v>84</v>
      </c>
      <c r="C3" s="36" t="s">
        <v>7</v>
      </c>
      <c r="D3" s="36">
        <v>1</v>
      </c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18</v>
      </c>
      <c r="B3" s="34" t="s">
        <v>57</v>
      </c>
      <c r="C3" s="36" t="s">
        <v>58</v>
      </c>
      <c r="D3" s="36">
        <v>100</v>
      </c>
      <c r="E3" s="37">
        <f>IF(C20&lt;=25%,D20,MIN(E20:F20))</f>
        <v>83.03</v>
      </c>
      <c r="F3" s="37">
        <f>MIN(H3:H17)</f>
        <v>45</v>
      </c>
      <c r="G3" s="5" t="s">
        <v>64</v>
      </c>
      <c r="H3" s="16">
        <v>103.19</v>
      </c>
      <c r="I3" s="17">
        <f>IF(H3="","",(IF($C$20&lt;25%,"n/a",IF(H3&lt;=($D$20+$A$20),H3,"Descartado"))))</f>
        <v>103.19</v>
      </c>
    </row>
    <row r="4" spans="1:9" x14ac:dyDescent="0.25">
      <c r="A4" s="38"/>
      <c r="B4" s="35"/>
      <c r="C4" s="36"/>
      <c r="D4" s="36"/>
      <c r="E4" s="37"/>
      <c r="F4" s="37"/>
      <c r="G4" s="5" t="s">
        <v>65</v>
      </c>
      <c r="H4" s="16">
        <v>107.9</v>
      </c>
      <c r="I4" s="17">
        <f t="shared" ref="I4:I17" si="0">IF(H4="","",(IF($C$20&lt;25%,"n/a",IF(H4&lt;=($D$20+$A$20),H4,"Descartado"))))</f>
        <v>107.9</v>
      </c>
    </row>
    <row r="5" spans="1:9" x14ac:dyDescent="0.25">
      <c r="A5" s="38"/>
      <c r="B5" s="35"/>
      <c r="C5" s="36"/>
      <c r="D5" s="36"/>
      <c r="E5" s="37"/>
      <c r="F5" s="37"/>
      <c r="G5" s="5" t="s">
        <v>66</v>
      </c>
      <c r="H5" s="16">
        <v>45</v>
      </c>
      <c r="I5" s="17">
        <f t="shared" si="0"/>
        <v>45</v>
      </c>
    </row>
    <row r="6" spans="1:9" x14ac:dyDescent="0.25">
      <c r="A6" s="38"/>
      <c r="B6" s="35"/>
      <c r="C6" s="36"/>
      <c r="D6" s="36"/>
      <c r="E6" s="37"/>
      <c r="F6" s="37"/>
      <c r="G6" s="5" t="s">
        <v>67</v>
      </c>
      <c r="H6" s="16">
        <v>67.25</v>
      </c>
      <c r="I6" s="17">
        <f t="shared" si="0"/>
        <v>67.25</v>
      </c>
    </row>
    <row r="7" spans="1:9" x14ac:dyDescent="0.25">
      <c r="A7" s="38"/>
      <c r="B7" s="35"/>
      <c r="C7" s="36"/>
      <c r="D7" s="36"/>
      <c r="E7" s="37"/>
      <c r="F7" s="37"/>
      <c r="G7" s="5" t="s">
        <v>68</v>
      </c>
      <c r="H7" s="16">
        <v>91.8</v>
      </c>
      <c r="I7" s="17">
        <f t="shared" si="0"/>
        <v>91.8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26.44401955074148</v>
      </c>
      <c r="B20" s="8">
        <f>COUNT(H3:H17)</f>
        <v>5</v>
      </c>
      <c r="C20" s="9">
        <f>IF(B20&lt;2,"n/a",(A20/D20))</f>
        <v>0.31848752921524121</v>
      </c>
      <c r="D20" s="10">
        <f>IFERROR(ROUND(AVERAGE(H3:H17),2),"")</f>
        <v>83.03</v>
      </c>
      <c r="E20" s="15">
        <f>IFERROR(ROUND(IF(B20&lt;2,"n/a",(IF(C20&lt;=25%,"n/a",AVERAGE(I3:I17)))),2),"n/a")</f>
        <v>83.03</v>
      </c>
      <c r="F20" s="10">
        <f>IFERROR(ROUND(MEDIAN(H3:H17),2),"")</f>
        <v>91.8</v>
      </c>
      <c r="G20" s="11" t="str">
        <f>IFERROR(INDEX(G3:G17,MATCH(H20,H3:H17,0)),"")</f>
        <v>LED MAIS COMERCIO ( PAINEL DE PREÇOS)</v>
      </c>
      <c r="H20" s="12">
        <f>F3</f>
        <v>45</v>
      </c>
    </row>
    <row r="22" spans="1:9" x14ac:dyDescent="0.25">
      <c r="G22" s="13" t="s">
        <v>20</v>
      </c>
      <c r="H22" s="14">
        <f>IF(C20&lt;=25%,D20,MIN(E20:F20))</f>
        <v>83.03</v>
      </c>
    </row>
    <row r="23" spans="1:9" x14ac:dyDescent="0.25">
      <c r="G23" s="13" t="s">
        <v>6</v>
      </c>
      <c r="H23" s="14">
        <f>ROUND(H22,2)*D3</f>
        <v>8303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19</v>
      </c>
      <c r="B3" s="34" t="s">
        <v>60</v>
      </c>
      <c r="C3" s="36" t="s">
        <v>7</v>
      </c>
      <c r="D3" s="36">
        <v>50</v>
      </c>
      <c r="E3" s="37">
        <f>IF(C20&lt;=25%,D20,MIN(E20:F20))</f>
        <v>68.7</v>
      </c>
      <c r="F3" s="37">
        <f>MIN(H3:H17)</f>
        <v>58.5</v>
      </c>
      <c r="G3" s="5" t="s">
        <v>69</v>
      </c>
      <c r="H3" s="16">
        <v>58.5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70</v>
      </c>
      <c r="H4" s="16">
        <v>62.61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71</v>
      </c>
      <c r="H5" s="16">
        <v>85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14.262153881280781</v>
      </c>
      <c r="B20" s="8">
        <f>COUNT(H3:H17)</f>
        <v>3</v>
      </c>
      <c r="C20" s="9">
        <f>IF(B20&lt;2,"n/a",(A20/D20))</f>
        <v>0.20760049317730395</v>
      </c>
      <c r="D20" s="10">
        <f>IFERROR(ROUND(AVERAGE(H3:H17),2),"")</f>
        <v>68.7</v>
      </c>
      <c r="E20" s="15" t="str">
        <f>IFERROR(ROUND(IF(B20&lt;2,"n/a",(IF(C20&lt;=25%,"n/a",AVERAGE(I3:I17)))),2),"n/a")</f>
        <v>n/a</v>
      </c>
      <c r="F20" s="10">
        <f>IFERROR(ROUND(MEDIAN(H3:H17),2),"")</f>
        <v>62.61</v>
      </c>
      <c r="G20" s="11" t="str">
        <f>IFERROR(INDEX(G3:G17,MATCH(H20,H3:H17,0)),"")</f>
        <v>BIANCA TEIXEIRA</v>
      </c>
      <c r="H20" s="12">
        <f>F3</f>
        <v>58.5</v>
      </c>
    </row>
    <row r="22" spans="1:9" x14ac:dyDescent="0.25">
      <c r="G22" s="13" t="s">
        <v>20</v>
      </c>
      <c r="H22" s="14">
        <f>IF(C20&lt;=25%,D20,MIN(E20:F20))</f>
        <v>68.7</v>
      </c>
    </row>
    <row r="23" spans="1:9" x14ac:dyDescent="0.25">
      <c r="G23" s="13" t="s">
        <v>6</v>
      </c>
      <c r="H23" s="14">
        <f>ROUND(H22,2)*D3</f>
        <v>3435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2</v>
      </c>
      <c r="B3" s="34" t="s">
        <v>87</v>
      </c>
      <c r="C3" s="36" t="s">
        <v>86</v>
      </c>
      <c r="D3" s="36">
        <v>500</v>
      </c>
      <c r="E3" s="37">
        <f>IF(C20&lt;=25%,D20,MIN(E20:F20))</f>
        <v>17.55</v>
      </c>
      <c r="F3" s="37">
        <f>MIN(H3:H17)</f>
        <v>15</v>
      </c>
      <c r="G3" s="5" t="s">
        <v>106</v>
      </c>
      <c r="H3" s="16">
        <v>15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107</v>
      </c>
      <c r="H4" s="16">
        <v>19.190000000000001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108</v>
      </c>
      <c r="H5" s="16">
        <v>17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109</v>
      </c>
      <c r="H6" s="16">
        <v>19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1.966136227901482</v>
      </c>
      <c r="B20" s="8">
        <f>COUNT(H3:H17)</f>
        <v>4</v>
      </c>
      <c r="C20" s="9">
        <f>IF(B20&lt;2,"n/a",(A20/D20))</f>
        <v>0.11203055429638074</v>
      </c>
      <c r="D20" s="10">
        <f>IFERROR(ROUND(AVERAGE(H3:H17),2),"")</f>
        <v>17.55</v>
      </c>
      <c r="E20" s="15" t="str">
        <f>IFERROR(ROUND(IF(B20&lt;2,"n/a",(IF(C20&lt;=25%,"n/a",AVERAGE(I3:I17)))),2),"n/a")</f>
        <v>n/a</v>
      </c>
      <c r="F20" s="10">
        <f>IFERROR(ROUND(MEDIAN(H3:H17),2),"")</f>
        <v>18</v>
      </c>
      <c r="G20" s="11" t="str">
        <f>IFERROR(INDEX(G3:G17,MATCH(H20,H3:H17,0)),"")</f>
        <v>THAIS MOREIRA CASTILLO ESCHER</v>
      </c>
      <c r="H20" s="12">
        <f>F3</f>
        <v>15</v>
      </c>
    </row>
    <row r="22" spans="1:9" x14ac:dyDescent="0.25">
      <c r="G22" s="13" t="s">
        <v>20</v>
      </c>
      <c r="H22" s="14">
        <f>IF(C20&lt;=25%,D20,MIN(E20:F20))</f>
        <v>17.55</v>
      </c>
    </row>
    <row r="23" spans="1:9" x14ac:dyDescent="0.25">
      <c r="G23" s="13" t="s">
        <v>6</v>
      </c>
      <c r="H23" s="14">
        <f>ROUND(H22,2)*D3</f>
        <v>8775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20</v>
      </c>
      <c r="B3" s="34" t="s">
        <v>61</v>
      </c>
      <c r="C3" s="36" t="s">
        <v>59</v>
      </c>
      <c r="D3" s="36">
        <v>50</v>
      </c>
      <c r="E3" s="37">
        <f>IF(C20&lt;=25%,D20,MIN(E20:F20))</f>
        <v>169.47</v>
      </c>
      <c r="F3" s="37">
        <f>MIN(H3:H17)</f>
        <v>53.9</v>
      </c>
      <c r="G3" s="5" t="s">
        <v>72</v>
      </c>
      <c r="H3" s="16">
        <v>53.9</v>
      </c>
      <c r="I3" s="17">
        <f>IF(H3="","",(IF($C$20&lt;25%,"n/a",IF(H3&lt;=($D$20+$A$20),H3,"Descartado"))))</f>
        <v>53.9</v>
      </c>
    </row>
    <row r="4" spans="1:9" x14ac:dyDescent="0.25">
      <c r="A4" s="38"/>
      <c r="B4" s="35"/>
      <c r="C4" s="36"/>
      <c r="D4" s="36"/>
      <c r="E4" s="37"/>
      <c r="F4" s="37"/>
      <c r="G4" s="5" t="s">
        <v>73</v>
      </c>
      <c r="H4" s="16">
        <v>114.5</v>
      </c>
      <c r="I4" s="17">
        <f t="shared" ref="I4:I17" si="0">IF(H4="","",(IF($C$20&lt;25%,"n/a",IF(H4&lt;=($D$20+$A$20),H4,"Descartado"))))</f>
        <v>114.5</v>
      </c>
    </row>
    <row r="5" spans="1:9" x14ac:dyDescent="0.25">
      <c r="A5" s="38"/>
      <c r="B5" s="35"/>
      <c r="C5" s="36"/>
      <c r="D5" s="36"/>
      <c r="E5" s="37"/>
      <c r="F5" s="37"/>
      <c r="G5" s="5" t="s">
        <v>74</v>
      </c>
      <c r="H5" s="16">
        <v>340</v>
      </c>
      <c r="I5" s="17">
        <f t="shared" si="0"/>
        <v>340</v>
      </c>
    </row>
    <row r="6" spans="1:9" x14ac:dyDescent="0.25">
      <c r="A6" s="38"/>
      <c r="B6" s="35"/>
      <c r="C6" s="36"/>
      <c r="D6" s="36"/>
      <c r="E6" s="37"/>
      <c r="F6" s="37"/>
      <c r="G6" s="5" t="s">
        <v>75</v>
      </c>
      <c r="H6" s="16">
        <v>489</v>
      </c>
      <c r="I6" s="17" t="str">
        <f t="shared" si="0"/>
        <v>Descartado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201.68851396811533</v>
      </c>
      <c r="B20" s="8">
        <f>COUNT(H3:H17)</f>
        <v>4</v>
      </c>
      <c r="C20" s="9">
        <f>IF(B20&lt;2,"n/a",(A20/D20))</f>
        <v>0.80885708429161951</v>
      </c>
      <c r="D20" s="10">
        <f>IFERROR(ROUND(AVERAGE(H3:H17),2),"")</f>
        <v>249.35</v>
      </c>
      <c r="E20" s="15">
        <f>IFERROR(ROUND(IF(B20&lt;2,"n/a",(IF(C20&lt;=25%,"n/a",AVERAGE(I3:I17)))),2),"n/a")</f>
        <v>169.47</v>
      </c>
      <c r="F20" s="10">
        <f>IFERROR(ROUND(MEDIAN(H3:H17),2),"")</f>
        <v>227.25</v>
      </c>
      <c r="G20" s="11" t="str">
        <f>IFERROR(INDEX(G3:G17,MATCH(H20,H3:H17,0)),"")</f>
        <v>NOVA POMPEIA COMERCIO VAREJISTA E</v>
      </c>
      <c r="H20" s="12">
        <f>F3</f>
        <v>53.9</v>
      </c>
    </row>
    <row r="22" spans="1:9" x14ac:dyDescent="0.25">
      <c r="G22" s="13" t="s">
        <v>20</v>
      </c>
      <c r="H22" s="14">
        <f>IF(C20&lt;=25%,D20,MIN(E20:F20))</f>
        <v>169.47</v>
      </c>
    </row>
    <row r="23" spans="1:9" x14ac:dyDescent="0.25">
      <c r="G23" s="13" t="s">
        <v>6</v>
      </c>
      <c r="H23" s="14">
        <f>ROUND(H22,2)*D3</f>
        <v>8473.5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21</v>
      </c>
      <c r="B3" s="34" t="s">
        <v>62</v>
      </c>
      <c r="C3" s="36" t="s">
        <v>59</v>
      </c>
      <c r="D3" s="36">
        <v>50</v>
      </c>
      <c r="E3" s="37">
        <f>IF(C20&lt;=25%,D20,MIN(E20:F20))</f>
        <v>203.92</v>
      </c>
      <c r="F3" s="37">
        <f>MIN(H3:H17)</f>
        <v>108.9</v>
      </c>
      <c r="G3" s="5" t="s">
        <v>76</v>
      </c>
      <c r="H3" s="16">
        <v>108.9</v>
      </c>
      <c r="I3" s="17">
        <f>IF(H3="","",(IF($C$20&lt;25%,"n/a",IF(H3&lt;=($D$20+$A$20),H3,"Descartado"))))</f>
        <v>108.9</v>
      </c>
    </row>
    <row r="4" spans="1:9" x14ac:dyDescent="0.25">
      <c r="A4" s="38"/>
      <c r="B4" s="35"/>
      <c r="C4" s="36"/>
      <c r="D4" s="36"/>
      <c r="E4" s="37"/>
      <c r="F4" s="37"/>
      <c r="G4" s="5" t="s">
        <v>77</v>
      </c>
      <c r="H4" s="16">
        <v>138.97999999999999</v>
      </c>
      <c r="I4" s="17">
        <f t="shared" ref="I4:I17" si="0">IF(H4="","",(IF($C$20&lt;25%,"n/a",IF(H4&lt;=($D$20+$A$20),H4,"Descartado"))))</f>
        <v>138.97999999999999</v>
      </c>
    </row>
    <row r="5" spans="1:9" x14ac:dyDescent="0.25">
      <c r="A5" s="38"/>
      <c r="B5" s="35"/>
      <c r="C5" s="36"/>
      <c r="D5" s="36"/>
      <c r="E5" s="37"/>
      <c r="F5" s="37"/>
      <c r="G5" s="5" t="s">
        <v>78</v>
      </c>
      <c r="H5" s="16">
        <v>307.89999999999998</v>
      </c>
      <c r="I5" s="17">
        <f t="shared" si="0"/>
        <v>307.89999999999998</v>
      </c>
    </row>
    <row r="6" spans="1:9" x14ac:dyDescent="0.25">
      <c r="A6" s="38"/>
      <c r="B6" s="35"/>
      <c r="C6" s="36"/>
      <c r="D6" s="36"/>
      <c r="E6" s="37"/>
      <c r="F6" s="37"/>
      <c r="G6" s="5" t="s">
        <v>75</v>
      </c>
      <c r="H6" s="16">
        <v>259.89999999999998</v>
      </c>
      <c r="I6" s="17">
        <f t="shared" si="0"/>
        <v>259.89999999999998</v>
      </c>
    </row>
    <row r="7" spans="1:9" x14ac:dyDescent="0.25">
      <c r="A7" s="38"/>
      <c r="B7" s="35"/>
      <c r="C7" s="36"/>
      <c r="D7" s="36"/>
      <c r="E7" s="37"/>
      <c r="F7" s="37"/>
      <c r="G7" s="5" t="s">
        <v>79</v>
      </c>
      <c r="H7" s="16">
        <v>379.9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113.98110931202594</v>
      </c>
      <c r="B20" s="8">
        <f>COUNT(H3:H17)</f>
        <v>5</v>
      </c>
      <c r="C20" s="9">
        <f>IF(B20&lt;2,"n/a",(A20/D20))</f>
        <v>0.47666907540994452</v>
      </c>
      <c r="D20" s="10">
        <f>IFERROR(ROUND(AVERAGE(H3:H17),2),"")</f>
        <v>239.12</v>
      </c>
      <c r="E20" s="15">
        <f>IFERROR(ROUND(IF(B20&lt;2,"n/a",(IF(C20&lt;=25%,"n/a",AVERAGE(I3:I17)))),2),"n/a")</f>
        <v>203.92</v>
      </c>
      <c r="F20" s="10">
        <f>IFERROR(ROUND(MEDIAN(H3:H17),2),"")</f>
        <v>259.89999999999998</v>
      </c>
      <c r="G20" s="11" t="str">
        <f>IFERROR(INDEX(G3:G17,MATCH(H20,H3:H17,0)),"")</f>
        <v xml:space="preserve">WOLVES GROUP AND </v>
      </c>
      <c r="H20" s="12">
        <f>F3</f>
        <v>108.9</v>
      </c>
    </row>
    <row r="22" spans="1:9" x14ac:dyDescent="0.25">
      <c r="G22" s="13" t="s">
        <v>20</v>
      </c>
      <c r="H22" s="14">
        <f>IF(C20&lt;=25%,D20,MIN(E20:F20))</f>
        <v>203.92</v>
      </c>
    </row>
    <row r="23" spans="1:9" x14ac:dyDescent="0.25">
      <c r="G23" s="13" t="s">
        <v>6</v>
      </c>
      <c r="H23" s="14">
        <f>ROUND(H22,2)*D3</f>
        <v>10196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22</v>
      </c>
      <c r="B3" s="34" t="s">
        <v>63</v>
      </c>
      <c r="C3" s="36" t="s">
        <v>56</v>
      </c>
      <c r="D3" s="36">
        <v>100</v>
      </c>
      <c r="E3" s="37">
        <f>IF(C20&lt;=25%,D20,MIN(E20:F20))</f>
        <v>64.989999999999995</v>
      </c>
      <c r="F3" s="37">
        <f>MIN(H3:H17)</f>
        <v>30.8</v>
      </c>
      <c r="G3" s="5" t="s">
        <v>80</v>
      </c>
      <c r="H3" s="16">
        <v>30.8</v>
      </c>
      <c r="I3" s="17">
        <f>IF(H3="","",(IF($C$20&lt;25%,"n/a",IF(H3&lt;=($D$20+$A$20),H3,"Descartado"))))</f>
        <v>30.8</v>
      </c>
    </row>
    <row r="4" spans="1:9" x14ac:dyDescent="0.25">
      <c r="A4" s="38"/>
      <c r="B4" s="35"/>
      <c r="C4" s="36"/>
      <c r="D4" s="36"/>
      <c r="E4" s="37"/>
      <c r="F4" s="37"/>
      <c r="G4" s="5" t="s">
        <v>70</v>
      </c>
      <c r="H4" s="16">
        <v>56</v>
      </c>
      <c r="I4" s="17">
        <f t="shared" ref="I4:I17" si="0">IF(H4="","",(IF($C$20&lt;25%,"n/a",IF(H4&lt;=($D$20+$A$20),H4,"Descartado"))))</f>
        <v>56</v>
      </c>
    </row>
    <row r="5" spans="1:9" x14ac:dyDescent="0.25">
      <c r="A5" s="38"/>
      <c r="B5" s="35"/>
      <c r="C5" s="36"/>
      <c r="D5" s="36"/>
      <c r="E5" s="37"/>
      <c r="F5" s="37"/>
      <c r="G5" s="5" t="s">
        <v>81</v>
      </c>
      <c r="H5" s="16">
        <v>83.25</v>
      </c>
      <c r="I5" s="17">
        <f t="shared" si="0"/>
        <v>83.25</v>
      </c>
    </row>
    <row r="6" spans="1:9" x14ac:dyDescent="0.25">
      <c r="A6" s="38"/>
      <c r="B6" s="35"/>
      <c r="C6" s="36"/>
      <c r="D6" s="36"/>
      <c r="E6" s="37"/>
      <c r="F6" s="37"/>
      <c r="G6" s="5" t="s">
        <v>82</v>
      </c>
      <c r="H6" s="16">
        <v>89.9</v>
      </c>
      <c r="I6" s="17">
        <f t="shared" si="0"/>
        <v>89.9</v>
      </c>
    </row>
    <row r="7" spans="1:9" x14ac:dyDescent="0.25">
      <c r="A7" s="38"/>
      <c r="B7" s="35"/>
      <c r="C7" s="36"/>
      <c r="D7" s="36"/>
      <c r="E7" s="37"/>
      <c r="F7" s="37"/>
      <c r="G7" s="5" t="s">
        <v>83</v>
      </c>
      <c r="H7" s="16">
        <v>122.9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34.952818198251194</v>
      </c>
      <c r="B20" s="8">
        <f>COUNT(H3:H17)</f>
        <v>5</v>
      </c>
      <c r="C20" s="9">
        <f>IF(B20&lt;2,"n/a",(A20/D20))</f>
        <v>0.45648188844522919</v>
      </c>
      <c r="D20" s="10">
        <f>IFERROR(ROUND(AVERAGE(H3:H17),2),"")</f>
        <v>76.569999999999993</v>
      </c>
      <c r="E20" s="15">
        <f>IFERROR(ROUND(IF(B20&lt;2,"n/a",(IF(C20&lt;=25%,"n/a",AVERAGE(I3:I17)))),2),"n/a")</f>
        <v>64.989999999999995</v>
      </c>
      <c r="F20" s="10">
        <f>IFERROR(ROUND(MEDIAN(H3:H17),2),"")</f>
        <v>83.25</v>
      </c>
      <c r="G20" s="11" t="str">
        <f>IFERROR(INDEX(G3:G17,MATCH(H20,H3:H17,0)),"")</f>
        <v>PRIME COMERCIO DE MATERIAIS</v>
      </c>
      <c r="H20" s="12">
        <f>F3</f>
        <v>30.8</v>
      </c>
    </row>
    <row r="22" spans="1:9" x14ac:dyDescent="0.25">
      <c r="G22" s="13" t="s">
        <v>20</v>
      </c>
      <c r="H22" s="14">
        <f>IF(C20&lt;=25%,D20,MIN(E20:F20))</f>
        <v>64.989999999999995</v>
      </c>
    </row>
    <row r="23" spans="1:9" x14ac:dyDescent="0.25">
      <c r="G23" s="13" t="s">
        <v>6</v>
      </c>
      <c r="H23" s="14">
        <f>ROUND(H22,2)*D3</f>
        <v>6498.9999999999991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23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24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25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26</v>
      </c>
      <c r="B3" s="34" t="s">
        <v>34</v>
      </c>
      <c r="C3" s="36" t="s">
        <v>7</v>
      </c>
      <c r="D3" s="36">
        <v>4</v>
      </c>
      <c r="E3" s="37">
        <f>IF(C20&lt;=25%,D20,MIN(E20:F20))</f>
        <v>314.5</v>
      </c>
      <c r="F3" s="37">
        <f>MIN(H3:H17)</f>
        <v>149.97</v>
      </c>
      <c r="G3" s="5" t="s">
        <v>43</v>
      </c>
      <c r="H3" s="16">
        <v>1257</v>
      </c>
      <c r="I3" s="17" t="str">
        <f>IF(H3="","",(IF($C$20&lt;25%,"n/a",IF(H3&lt;=($D$20+$A$20),H3,"Descartado"))))</f>
        <v>Descartado</v>
      </c>
    </row>
    <row r="4" spans="1:9" x14ac:dyDescent="0.25">
      <c r="A4" s="38"/>
      <c r="B4" s="35"/>
      <c r="C4" s="36"/>
      <c r="D4" s="36"/>
      <c r="E4" s="37"/>
      <c r="F4" s="37"/>
      <c r="G4" s="5" t="s">
        <v>37</v>
      </c>
      <c r="H4" s="16">
        <v>160</v>
      </c>
      <c r="I4" s="17">
        <f t="shared" ref="I4:I17" si="0">IF(H4="","",(IF($C$20&lt;25%,"n/a",IF(H4&lt;=($D$20+$A$20),H4,"Descartado"))))</f>
        <v>160</v>
      </c>
    </row>
    <row r="5" spans="1:9" x14ac:dyDescent="0.25">
      <c r="A5" s="38"/>
      <c r="B5" s="35"/>
      <c r="C5" s="36"/>
      <c r="D5" s="36"/>
      <c r="E5" s="37"/>
      <c r="F5" s="37"/>
      <c r="G5" s="5" t="s">
        <v>44</v>
      </c>
      <c r="H5" s="16">
        <v>330</v>
      </c>
      <c r="I5" s="17">
        <f t="shared" si="0"/>
        <v>330</v>
      </c>
    </row>
    <row r="6" spans="1:9" x14ac:dyDescent="0.25">
      <c r="A6" s="38"/>
      <c r="B6" s="35"/>
      <c r="C6" s="36"/>
      <c r="D6" s="36"/>
      <c r="E6" s="37"/>
      <c r="F6" s="37"/>
      <c r="G6" s="5" t="s">
        <v>39</v>
      </c>
      <c r="H6" s="16">
        <v>259</v>
      </c>
      <c r="I6" s="17">
        <f t="shared" si="0"/>
        <v>259</v>
      </c>
    </row>
    <row r="7" spans="1:9" x14ac:dyDescent="0.25">
      <c r="A7" s="38"/>
      <c r="B7" s="35"/>
      <c r="C7" s="36"/>
      <c r="D7" s="36"/>
      <c r="E7" s="37"/>
      <c r="F7" s="37"/>
      <c r="G7" s="5" t="s">
        <v>40</v>
      </c>
      <c r="H7" s="16">
        <v>1000</v>
      </c>
      <c r="I7" s="17">
        <f t="shared" si="0"/>
        <v>1000</v>
      </c>
    </row>
    <row r="8" spans="1:9" x14ac:dyDescent="0.25">
      <c r="A8" s="38"/>
      <c r="B8" s="35"/>
      <c r="C8" s="36"/>
      <c r="D8" s="36"/>
      <c r="E8" s="37"/>
      <c r="F8" s="37"/>
      <c r="G8" s="5" t="s">
        <v>45</v>
      </c>
      <c r="H8" s="16">
        <v>177.5</v>
      </c>
      <c r="I8" s="17">
        <f t="shared" si="0"/>
        <v>177.5</v>
      </c>
    </row>
    <row r="9" spans="1:9" x14ac:dyDescent="0.25">
      <c r="A9" s="38"/>
      <c r="B9" s="35"/>
      <c r="C9" s="36"/>
      <c r="D9" s="36"/>
      <c r="E9" s="37"/>
      <c r="F9" s="37"/>
      <c r="G9" s="5" t="s">
        <v>38</v>
      </c>
      <c r="H9" s="16">
        <v>160</v>
      </c>
      <c r="I9" s="17">
        <f t="shared" si="0"/>
        <v>160</v>
      </c>
    </row>
    <row r="10" spans="1:9" x14ac:dyDescent="0.25">
      <c r="A10" s="38"/>
      <c r="B10" s="35"/>
      <c r="C10" s="36"/>
      <c r="D10" s="36"/>
      <c r="E10" s="37"/>
      <c r="F10" s="37"/>
      <c r="G10" s="5" t="s">
        <v>46</v>
      </c>
      <c r="H10" s="16">
        <v>1342</v>
      </c>
      <c r="I10" s="17" t="str">
        <f t="shared" si="0"/>
        <v>Descartado</v>
      </c>
    </row>
    <row r="11" spans="1:9" x14ac:dyDescent="0.25">
      <c r="A11" s="38"/>
      <c r="B11" s="35"/>
      <c r="C11" s="36"/>
      <c r="D11" s="36"/>
      <c r="E11" s="37"/>
      <c r="F11" s="37"/>
      <c r="G11" s="5" t="s">
        <v>47</v>
      </c>
      <c r="H11" s="16">
        <v>1650</v>
      </c>
      <c r="I11" s="17" t="str">
        <f t="shared" si="0"/>
        <v>Descartado</v>
      </c>
    </row>
    <row r="12" spans="1:9" x14ac:dyDescent="0.25">
      <c r="A12" s="38"/>
      <c r="B12" s="35"/>
      <c r="C12" s="36"/>
      <c r="D12" s="36"/>
      <c r="E12" s="37"/>
      <c r="F12" s="37"/>
      <c r="G12" s="5" t="s">
        <v>42</v>
      </c>
      <c r="H12" s="16">
        <v>149.97</v>
      </c>
      <c r="I12" s="17">
        <f t="shared" si="0"/>
        <v>149.97</v>
      </c>
    </row>
    <row r="13" spans="1:9" x14ac:dyDescent="0.25">
      <c r="A13" s="38"/>
      <c r="B13" s="35"/>
      <c r="C13" s="36"/>
      <c r="D13" s="36"/>
      <c r="E13" s="37"/>
      <c r="F13" s="37"/>
      <c r="G13" s="5" t="s">
        <v>52</v>
      </c>
      <c r="H13" s="16">
        <v>299</v>
      </c>
      <c r="I13" s="17">
        <f t="shared" si="0"/>
        <v>299</v>
      </c>
    </row>
    <row r="14" spans="1:9" x14ac:dyDescent="0.25">
      <c r="A14" s="38"/>
      <c r="B14" s="35"/>
      <c r="C14" s="36"/>
      <c r="D14" s="36"/>
      <c r="E14" s="37"/>
      <c r="F14" s="37"/>
      <c r="G14" s="5" t="s">
        <v>54</v>
      </c>
      <c r="H14" s="16">
        <v>341.01</v>
      </c>
      <c r="I14" s="17">
        <f t="shared" si="0"/>
        <v>341.01</v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552.6252471612205</v>
      </c>
      <c r="B20" s="8">
        <f>COUNT(H3:H17)</f>
        <v>12</v>
      </c>
      <c r="C20" s="9">
        <f>IF(B20&lt;2,"n/a",(A20/D20))</f>
        <v>0.93067456030115114</v>
      </c>
      <c r="D20" s="10">
        <f>IFERROR(ROUND(AVERAGE(H3:H17),2),"")</f>
        <v>593.79</v>
      </c>
      <c r="E20" s="15">
        <f>IFERROR(ROUND(IF(B20&lt;2,"n/a",(IF(C20&lt;=25%,"n/a",AVERAGE(I3:I17)))),2),"n/a")</f>
        <v>319.61</v>
      </c>
      <c r="F20" s="10">
        <f>IFERROR(ROUND(MEDIAN(H3:H17),2),"")</f>
        <v>314.5</v>
      </c>
      <c r="G20" s="11" t="str">
        <f>IFERROR(INDEX(G3:G17,MATCH(H20,H3:H17,0)),"")</f>
        <v>ISALTEC COMERCIO DE INSTRUMENTOS DE MEDICAO LTDA</v>
      </c>
      <c r="H20" s="12">
        <f>F3</f>
        <v>149.97</v>
      </c>
    </row>
    <row r="22" spans="1:9" x14ac:dyDescent="0.25">
      <c r="G22" s="13" t="s">
        <v>20</v>
      </c>
      <c r="H22" s="14">
        <f>IF(C20&lt;=25%,D20,MIN(E20:F20))</f>
        <v>314.5</v>
      </c>
    </row>
    <row r="23" spans="1:9" x14ac:dyDescent="0.25">
      <c r="G23" s="13" t="s">
        <v>6</v>
      </c>
      <c r="H23" s="14">
        <f>ROUND(H22,2)*D3</f>
        <v>1258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27</v>
      </c>
      <c r="B3" s="34" t="s">
        <v>35</v>
      </c>
      <c r="C3" s="36" t="s">
        <v>7</v>
      </c>
      <c r="D3" s="36">
        <v>2</v>
      </c>
      <c r="E3" s="37">
        <f>IF(C20&lt;=25%,D20,MIN(E20:F20))</f>
        <v>2336.66</v>
      </c>
      <c r="F3" s="37">
        <f>MIN(H3:H17)</f>
        <v>985</v>
      </c>
      <c r="G3" s="5" t="s">
        <v>44</v>
      </c>
      <c r="H3" s="16">
        <v>985</v>
      </c>
      <c r="I3" s="17">
        <f>IF(H3="","",(IF($C$20&lt;25%,"n/a",IF(H3&lt;=($D$20+$A$20),H3,"Descartado"))))</f>
        <v>985</v>
      </c>
    </row>
    <row r="4" spans="1:9" x14ac:dyDescent="0.25">
      <c r="A4" s="38"/>
      <c r="B4" s="35"/>
      <c r="C4" s="36"/>
      <c r="D4" s="36"/>
      <c r="E4" s="37"/>
      <c r="F4" s="37"/>
      <c r="G4" s="5" t="s">
        <v>48</v>
      </c>
      <c r="H4" s="16">
        <v>1750</v>
      </c>
      <c r="I4" s="17">
        <f t="shared" ref="I4:I17" si="0">IF(H4="","",(IF($C$20&lt;25%,"n/a",IF(H4&lt;=($D$20+$A$20),H4,"Descartado"))))</f>
        <v>1750</v>
      </c>
    </row>
    <row r="5" spans="1:9" x14ac:dyDescent="0.25">
      <c r="A5" s="38"/>
      <c r="B5" s="35"/>
      <c r="C5" s="36"/>
      <c r="D5" s="36"/>
      <c r="E5" s="37"/>
      <c r="F5" s="37"/>
      <c r="G5" s="5" t="s">
        <v>49</v>
      </c>
      <c r="H5" s="16">
        <v>3775.12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 t="s">
        <v>37</v>
      </c>
      <c r="H6" s="16">
        <v>1449.99</v>
      </c>
      <c r="I6" s="17">
        <f t="shared" si="0"/>
        <v>1449.99</v>
      </c>
    </row>
    <row r="7" spans="1:9" x14ac:dyDescent="0.25">
      <c r="A7" s="38"/>
      <c r="B7" s="35"/>
      <c r="C7" s="36"/>
      <c r="D7" s="36"/>
      <c r="E7" s="37"/>
      <c r="F7" s="37"/>
      <c r="G7" s="5" t="s">
        <v>41</v>
      </c>
      <c r="H7" s="16">
        <v>1738.77</v>
      </c>
      <c r="I7" s="17">
        <f t="shared" si="0"/>
        <v>1738.77</v>
      </c>
    </row>
    <row r="8" spans="1:9" x14ac:dyDescent="0.25">
      <c r="A8" s="38"/>
      <c r="B8" s="35"/>
      <c r="C8" s="36"/>
      <c r="D8" s="36"/>
      <c r="E8" s="37"/>
      <c r="F8" s="37"/>
      <c r="G8" s="5" t="s">
        <v>50</v>
      </c>
      <c r="H8" s="16">
        <v>2582</v>
      </c>
      <c r="I8" s="17">
        <f t="shared" si="0"/>
        <v>2582</v>
      </c>
    </row>
    <row r="9" spans="1:9" x14ac:dyDescent="0.25">
      <c r="A9" s="38"/>
      <c r="B9" s="35"/>
      <c r="C9" s="36"/>
      <c r="D9" s="36"/>
      <c r="E9" s="37"/>
      <c r="F9" s="37"/>
      <c r="G9" s="5" t="s">
        <v>55</v>
      </c>
      <c r="H9" s="16">
        <v>3179.25</v>
      </c>
      <c r="I9" s="17">
        <f t="shared" si="0"/>
        <v>3179.25</v>
      </c>
    </row>
    <row r="10" spans="1:9" x14ac:dyDescent="0.25">
      <c r="A10" s="38"/>
      <c r="B10" s="35"/>
      <c r="C10" s="36"/>
      <c r="D10" s="36"/>
      <c r="E10" s="37"/>
      <c r="F10" s="37"/>
      <c r="G10" s="5" t="s">
        <v>51</v>
      </c>
      <c r="H10" s="16">
        <v>3484.8</v>
      </c>
      <c r="I10" s="17">
        <f t="shared" si="0"/>
        <v>3484.8</v>
      </c>
    </row>
    <row r="11" spans="1:9" x14ac:dyDescent="0.25">
      <c r="A11" s="38"/>
      <c r="B11" s="35"/>
      <c r="C11" s="36"/>
      <c r="D11" s="36"/>
      <c r="E11" s="37"/>
      <c r="F11" s="37"/>
      <c r="G11" s="5" t="s">
        <v>53</v>
      </c>
      <c r="H11" s="16">
        <v>3523.43</v>
      </c>
      <c r="I11" s="17">
        <f t="shared" si="0"/>
        <v>3523.43</v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1039.8846968908506</v>
      </c>
      <c r="B20" s="8">
        <f>COUNT(H3:H17)</f>
        <v>9</v>
      </c>
      <c r="C20" s="9">
        <f>IF(B20&lt;2,"n/a",(A20/D20))</f>
        <v>0.41654036759391244</v>
      </c>
      <c r="D20" s="10">
        <f>IFERROR(ROUND(AVERAGE(H3:H17),2),"")</f>
        <v>2496.48</v>
      </c>
      <c r="E20" s="15">
        <f>IFERROR(ROUND(IF(B20&lt;2,"n/a",(IF(C20&lt;=25%,"n/a",AVERAGE(I3:I17)))),2),"n/a")</f>
        <v>2336.66</v>
      </c>
      <c r="F20" s="10">
        <f>IFERROR(ROUND(MEDIAN(H3:H17),2),"")</f>
        <v>2582</v>
      </c>
      <c r="G20" s="11" t="str">
        <f>IFERROR(INDEX(G3:G17,MATCH(H20,H3:H17,0)),"")</f>
        <v>R JUAREZ DE ALMEIDA</v>
      </c>
      <c r="H20" s="12">
        <f>F3</f>
        <v>985</v>
      </c>
    </row>
    <row r="22" spans="1:9" x14ac:dyDescent="0.25">
      <c r="G22" s="13" t="s">
        <v>20</v>
      </c>
      <c r="H22" s="14">
        <f>IF(C20&lt;=25%,D20,MIN(E20:F20))</f>
        <v>2336.66</v>
      </c>
    </row>
    <row r="23" spans="1:9" x14ac:dyDescent="0.25">
      <c r="G23" s="13" t="s">
        <v>6</v>
      </c>
      <c r="H23" s="14">
        <f>ROUND(H22,2)*D3</f>
        <v>4673.32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view="pageBreakPreview" topLeftCell="A3" zoomScaleNormal="100" zoomScaleSheetLayoutView="100" workbookViewId="0">
      <selection activeCell="F21" sqref="F21"/>
    </sheetView>
  </sheetViews>
  <sheetFormatPr defaultRowHeight="15" x14ac:dyDescent="0.25"/>
  <cols>
    <col min="1" max="2" width="6.7109375" style="1" customWidth="1"/>
    <col min="3" max="3" width="36.7109375" style="4" customWidth="1"/>
    <col min="4" max="4" width="12.7109375" style="1" customWidth="1"/>
    <col min="5" max="5" width="9.28515625" style="1" bestFit="1" customWidth="1"/>
    <col min="6" max="7" width="15.7109375" style="1" customWidth="1"/>
    <col min="8" max="16384" width="9.140625" style="1"/>
  </cols>
  <sheetData>
    <row r="1" spans="1:7" ht="15.75" x14ac:dyDescent="0.25">
      <c r="A1" s="39" t="s">
        <v>0</v>
      </c>
      <c r="B1" s="39"/>
      <c r="C1" s="39"/>
      <c r="D1" s="39"/>
      <c r="E1" s="39"/>
      <c r="F1" s="39"/>
      <c r="G1" s="39"/>
    </row>
    <row r="2" spans="1:7" ht="24" x14ac:dyDescent="0.25">
      <c r="A2" s="6" t="s">
        <v>29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30</v>
      </c>
    </row>
    <row r="3" spans="1:7" ht="120" x14ac:dyDescent="0.25">
      <c r="A3" s="25" t="s">
        <v>36</v>
      </c>
      <c r="B3" s="25">
        <f>Item1!A3</f>
        <v>1</v>
      </c>
      <c r="C3" s="27" t="str">
        <f>Item1!B3</f>
        <v>Copo de papel biodegradável
Capacidade: 200 ml;
Material: papel biodegradável;
De acordo com RDC Nº 88/2016 - ANVISA.
Para bebidas frias ou quentes.
Acondicionados em tiras de 100 unidades.</v>
      </c>
      <c r="D3" s="25" t="str">
        <f>Item1!C3</f>
        <v>centena</v>
      </c>
      <c r="E3" s="25">
        <f>Item1!D3</f>
        <v>500</v>
      </c>
      <c r="F3" s="26">
        <f>Item1!E3</f>
        <v>47.24</v>
      </c>
      <c r="G3" s="26">
        <f>ROUND((E3*F3),2)</f>
        <v>23620</v>
      </c>
    </row>
    <row r="4" spans="1:7" ht="120" x14ac:dyDescent="0.25">
      <c r="A4" s="25" t="s">
        <v>36</v>
      </c>
      <c r="B4" s="25">
        <f>Item2!A3</f>
        <v>2</v>
      </c>
      <c r="C4" s="27" t="str">
        <f>Item2!B3</f>
        <v>Copo de papel biodegradável
Capacidade: 100 ml;
Material: papel biodegradável;
De acordo com RDC Nº 88/2026 - ANVISA.
Para bebidas quentes.
Acondicionados em tiras de 100 unidades.</v>
      </c>
      <c r="D4" s="25" t="str">
        <f>Item2!C3</f>
        <v>centena</v>
      </c>
      <c r="E4" s="25">
        <f>Item2!D3</f>
        <v>500</v>
      </c>
      <c r="F4" s="26">
        <f>Item2!E3</f>
        <v>17.55</v>
      </c>
      <c r="G4" s="26">
        <f t="shared" ref="G4:G18" si="0">ROUND((E4*F4),2)</f>
        <v>8775</v>
      </c>
    </row>
    <row r="5" spans="1:7" ht="150" x14ac:dyDescent="0.25">
      <c r="A5" s="25" t="s">
        <v>36</v>
      </c>
      <c r="B5" s="25">
        <f>Item3!A3</f>
        <v>3</v>
      </c>
      <c r="C5" s="27" t="str">
        <f>Item3!B3</f>
        <v>Garrafa térmica de pressão
Capacidade: 0,5 litro
Material externo: Aço inoxidável (inox);
Com alça;
Conservar líquidos quentes;
Conservação térmica de, no mínimo, 6 horas;
Ampola de Vidro;
Indicação expressa de conformidade com a norma NBR 13282 da ABNT;</v>
      </c>
      <c r="D5" s="25" t="str">
        <f>Item3!C3</f>
        <v>unidade</v>
      </c>
      <c r="E5" s="25">
        <f>Item3!D3</f>
        <v>100</v>
      </c>
      <c r="F5" s="26">
        <f>Item3!E3</f>
        <v>50.97</v>
      </c>
      <c r="G5" s="26">
        <f t="shared" si="0"/>
        <v>5097</v>
      </c>
    </row>
    <row r="6" spans="1:7" ht="210" x14ac:dyDescent="0.25">
      <c r="A6" s="25" t="s">
        <v>36</v>
      </c>
      <c r="B6" s="25">
        <f>Item4!A3</f>
        <v>4</v>
      </c>
      <c r="C6" s="27" t="str">
        <f>Item4!B3</f>
        <v>Garrafa térmica de pressão
Capacidade: 1 litro.
Material: Revestimento interno e externo em aço inoxidável (ampola de aço inoxidável).
Sistema de Isolamento: Camada de vácuo.
Conservação térmica: Mantém líquidos quentes por até 12 horas e frios por até 24 horas.
Peso: Aproximadamente 700 g.
Recursos: Tampa com vedação hermética, alça para transporte, design à prova de vazamentos.</v>
      </c>
      <c r="D6" s="25" t="str">
        <f>Item4!C3</f>
        <v>unidade</v>
      </c>
      <c r="E6" s="25">
        <f>Item4!D3</f>
        <v>50</v>
      </c>
      <c r="F6" s="26">
        <f>Item4!E3</f>
        <v>62.55</v>
      </c>
      <c r="G6" s="26">
        <f t="shared" si="0"/>
        <v>3127.5</v>
      </c>
    </row>
    <row r="7" spans="1:7" ht="120" x14ac:dyDescent="0.25">
      <c r="A7" s="25" t="s">
        <v>36</v>
      </c>
      <c r="B7" s="25">
        <f>Item5!A3</f>
        <v>5</v>
      </c>
      <c r="C7" s="27" t="str">
        <f>Item5!B3</f>
        <v>Guardanapo de papel
100% em fibras virgens;
100% celulose;
Cor branca;
Dimensões mínimas: 20 x 20 cm (admitida variação + 1 cm)
Em embalagem contendo no mínimo 48 unidades</v>
      </c>
      <c r="D7" s="25" t="str">
        <f>Item5!C3</f>
        <v>pacote</v>
      </c>
      <c r="E7" s="25">
        <f>Item5!D3</f>
        <v>500</v>
      </c>
      <c r="F7" s="26">
        <f>Item5!E3</f>
        <v>1.67</v>
      </c>
      <c r="G7" s="26">
        <f t="shared" si="0"/>
        <v>835</v>
      </c>
    </row>
    <row r="8" spans="1:7" ht="315" x14ac:dyDescent="0.25">
      <c r="A8" s="25" t="s">
        <v>36</v>
      </c>
      <c r="B8" s="25">
        <f>Item6!A3</f>
        <v>6</v>
      </c>
      <c r="C8" s="27" t="str">
        <f>Item6!B3</f>
        <v>Álcool Etílico Hidratado - Gel
Mínimo de 70º INPM;
Frasco com 500 ml com válvula “pump” profissional; 
Sem corantes, hipoalergênico, incolor, sem fragrância; 
Finalidade cosmética e indicações de rotulagem de acordo com a RDC 07/2015 – Anvisa;
Prazo de validade não inferior a 12 meses;
Álcool destinado à higienização das mãos;
O material deverá estar acondicionado em caixas com até 12 unidades;
Fabricados conforme critérios estabelecidos pela ANVISA, com informação de data de fabricação e número de lote;
Produto com Registro no Ministério da Saúde</v>
      </c>
      <c r="D8" s="25" t="str">
        <f>Item6!C3</f>
        <v>frasco</v>
      </c>
      <c r="E8" s="25">
        <f>Item6!D3</f>
        <v>500</v>
      </c>
      <c r="F8" s="26">
        <f>Item6!E3</f>
        <v>4.6500000000000004</v>
      </c>
      <c r="G8" s="26">
        <f t="shared" si="0"/>
        <v>2325</v>
      </c>
    </row>
    <row r="9" spans="1:7" ht="90" x14ac:dyDescent="0.25">
      <c r="A9" s="25" t="s">
        <v>36</v>
      </c>
      <c r="B9" s="25">
        <f>Item7!A3</f>
        <v>7</v>
      </c>
      <c r="C9" s="27" t="str">
        <f>Item7!B3</f>
        <v>Cesto para lixo
Em plástico;
Capacidade: 10 L
Medidas: 26cm x 28,2cm (D x A);
Cor preta;
Variação permitida: ± 1,5 cm</v>
      </c>
      <c r="D9" s="25" t="str">
        <f>Item7!C3</f>
        <v>unidade</v>
      </c>
      <c r="E9" s="25">
        <f>Item7!D3</f>
        <v>100</v>
      </c>
      <c r="F9" s="26">
        <f>Item7!E3</f>
        <v>5.4</v>
      </c>
      <c r="G9" s="26">
        <f t="shared" si="0"/>
        <v>540</v>
      </c>
    </row>
    <row r="10" spans="1:7" ht="150" x14ac:dyDescent="0.25">
      <c r="A10" s="25" t="s">
        <v>36</v>
      </c>
      <c r="B10" s="25">
        <f>Item8!A3</f>
        <v>8</v>
      </c>
      <c r="C10" s="27" t="str">
        <f>Item8!B3</f>
        <v>Detergente líquido
Com tensoativo biodegradável;
Aroma suave;
Dermatologicamente testado;
Em embalagem plástica de 500 ml com bico dosador, com rótulo indicando o nome do fabricante, CNPJ, químico responsável e nº CRQ, número de registro na Anvisa, lote de fabricação e prazo de validade do produto.</v>
      </c>
      <c r="D10" s="25" t="str">
        <f>Item8!C3</f>
        <v>frasco</v>
      </c>
      <c r="E10" s="25">
        <f>Item8!D3</f>
        <v>500</v>
      </c>
      <c r="F10" s="26">
        <f>Item8!E3</f>
        <v>1.22</v>
      </c>
      <c r="G10" s="26">
        <f t="shared" si="0"/>
        <v>610</v>
      </c>
    </row>
    <row r="11" spans="1:7" ht="105" x14ac:dyDescent="0.25">
      <c r="A11" s="25" t="s">
        <v>36</v>
      </c>
      <c r="B11" s="25">
        <f>Item9!A3</f>
        <v>9</v>
      </c>
      <c r="C11" s="27" t="str">
        <f>Item9!B3</f>
        <v>Esponja dupla face
Em poliuretano e fibra têxtil;
Dimensões: 105 x 70 x 22 mm (comprimento, largura e espessura), admitida variação de ± 5 mm.
O material deverá estar acondicionado em caixas/fardos com até 120 unidades</v>
      </c>
      <c r="D11" s="25" t="str">
        <f>Item9!C3</f>
        <v>unidade</v>
      </c>
      <c r="E11" s="25">
        <f>Item9!D3</f>
        <v>1250</v>
      </c>
      <c r="F11" s="26">
        <f>Item9!E3</f>
        <v>0.7</v>
      </c>
      <c r="G11" s="26">
        <f t="shared" si="0"/>
        <v>875</v>
      </c>
    </row>
    <row r="12" spans="1:7" ht="105" x14ac:dyDescent="0.25">
      <c r="A12" s="25" t="s">
        <v>36</v>
      </c>
      <c r="B12" s="25">
        <f>Item10!A3</f>
        <v>10</v>
      </c>
      <c r="C12" s="27" t="str">
        <f>Item10!B3</f>
        <v>Flanela
100% Algodão;
Cor branca;
Dimensões: 60 x 40 cm (altura x largura). Variação permitida: ± 2cm;
O material deverá estar acondicionado em caixas/fardos com até 100 unidades</v>
      </c>
      <c r="D12" s="25" t="str">
        <f>Item10!C3</f>
        <v>unidade</v>
      </c>
      <c r="E12" s="25">
        <f>Item10!D3</f>
        <v>200</v>
      </c>
      <c r="F12" s="26">
        <f>Item10!E3</f>
        <v>1.44</v>
      </c>
      <c r="G12" s="26">
        <f t="shared" si="0"/>
        <v>288</v>
      </c>
    </row>
    <row r="13" spans="1:7" ht="270" x14ac:dyDescent="0.25">
      <c r="A13" s="25" t="s">
        <v>36</v>
      </c>
      <c r="B13" s="25">
        <f>Item11!A3</f>
        <v>11</v>
      </c>
      <c r="C13" s="27" t="str">
        <f>Item11!B3</f>
        <v>Limpador instantâneo
Ingrediente ativo: tensoativo aniônico biodegradável;
Composição: Linear alquil benzeno, sulfonato de sódio, tensoativo não iônico, alcalinizante, sequestrante, solubilizante, éter glicólico, álcool, perfume e água;
Embalagem com impressão do nome do fabricante e indicação de registro na ANVISA/MS; 
Frasco com 500 ml, com tampa e bico econômico;
Prazo de validade impresso na embalagem e não inferior a 11 meses contados da data de recebimento definitivo;
O material deverá estar acondicionado em caixas com até 24 unidades</v>
      </c>
      <c r="D13" s="25" t="str">
        <f>Item11!C3</f>
        <v>frasco</v>
      </c>
      <c r="E13" s="25">
        <f>Item11!D3</f>
        <v>1500</v>
      </c>
      <c r="F13" s="26">
        <f>Item11!E3</f>
        <v>3.03</v>
      </c>
      <c r="G13" s="26">
        <f t="shared" si="0"/>
        <v>4545</v>
      </c>
    </row>
    <row r="14" spans="1:7" ht="90" x14ac:dyDescent="0.25">
      <c r="A14" s="25" t="s">
        <v>36</v>
      </c>
      <c r="B14" s="25">
        <f>Item12!A3</f>
        <v>12</v>
      </c>
      <c r="C14" s="27" t="str">
        <f>Item12!B3</f>
        <v>Pá coletora lixo
Material da base: zinco;
Material do cabo: madeira;
Comprimento do cabo: 60 cm;
Para limpeza doméstica; Variação permitida: ± 5 cm</v>
      </c>
      <c r="D14" s="25" t="str">
        <f>Item12!C3</f>
        <v>unidade</v>
      </c>
      <c r="E14" s="25">
        <f>Item12!D3</f>
        <v>50</v>
      </c>
      <c r="F14" s="26">
        <f>Item12!E3</f>
        <v>7.16</v>
      </c>
      <c r="G14" s="26">
        <f t="shared" si="0"/>
        <v>358</v>
      </c>
    </row>
    <row r="15" spans="1:7" ht="120" x14ac:dyDescent="0.25">
      <c r="A15" s="25" t="s">
        <v>36</v>
      </c>
      <c r="B15" s="25">
        <f>Item13!A3</f>
        <v>13</v>
      </c>
      <c r="C15" s="27" t="str">
        <f>Item13!B3</f>
        <v>Papel higiênico
Celulose virgem – 100% celulose;
Dimensões: mínimo de 30 m x 10 cm;
Dermatologicamente testado; Picotado;
Folha dupla; Sem perfume;
Cor branca (alva);
Pacote com 4 unidades.
PCT = Pacote</v>
      </c>
      <c r="D15" s="25" t="str">
        <f>Item13!C3</f>
        <v>pacote</v>
      </c>
      <c r="E15" s="25">
        <f>Item13!D3</f>
        <v>500</v>
      </c>
      <c r="F15" s="26">
        <f>Item13!E3</f>
        <v>4.08</v>
      </c>
      <c r="G15" s="26">
        <f t="shared" si="0"/>
        <v>2040</v>
      </c>
    </row>
    <row r="16" spans="1:7" ht="150" x14ac:dyDescent="0.25">
      <c r="A16" s="25" t="s">
        <v>36</v>
      </c>
      <c r="B16" s="25">
        <f>Item14!A3</f>
        <v>14</v>
      </c>
      <c r="C16" s="27" t="str">
        <f>Item14!B3</f>
        <v>Papel toalha
Celulose virgem – 100% celulose;
Cor branca (alva); 
Duas dobras; Texturizado;
Dimensões: folhas com 22 cm x 22 cm (± 2cm)
Tipo interfolhado; 
Macio e absorvente;
Pacote com 1000 folhas; 
Variação permitida: ± 3.0 cm</v>
      </c>
      <c r="D16" s="25" t="str">
        <f>Item14!C3</f>
        <v>pacote</v>
      </c>
      <c r="E16" s="25">
        <f>Item14!D3</f>
        <v>500</v>
      </c>
      <c r="F16" s="26">
        <f>Item14!E3</f>
        <v>8.17</v>
      </c>
      <c r="G16" s="26">
        <f t="shared" si="0"/>
        <v>4085</v>
      </c>
    </row>
    <row r="17" spans="1:7" ht="210" x14ac:dyDescent="0.25">
      <c r="A17" s="25" t="s">
        <v>36</v>
      </c>
      <c r="B17" s="25">
        <f>Item15!A3</f>
        <v>15</v>
      </c>
      <c r="C17" s="27" t="str">
        <f>Item15!B3</f>
        <v>Sabão em pó
Composição: alquil benzeno sulfato de sódio, corante;
Embalagem com 500 g;
Embalagem com impressão do nome do fabricante e indicação de registro na ANVISA/MS;
Tensoativo aniônico biodegradável;
Prazo de validade impresso na embalagem e não inferior a 11 meses contados da data de recebimento definitivo;
O material deverá estar acondicionado em caixas/fardos com até 24 unidades</v>
      </c>
      <c r="D17" s="25" t="str">
        <f>Item15!C3</f>
        <v>unidade</v>
      </c>
      <c r="E17" s="25">
        <f>Item15!D3</f>
        <v>200</v>
      </c>
      <c r="F17" s="26">
        <f>Item15!E3</f>
        <v>5.15</v>
      </c>
      <c r="G17" s="26">
        <f t="shared" si="0"/>
        <v>1030</v>
      </c>
    </row>
    <row r="18" spans="1:7" ht="105" x14ac:dyDescent="0.25">
      <c r="A18" s="25" t="s">
        <v>36</v>
      </c>
      <c r="B18" s="25">
        <f>Item16!A3</f>
        <v>16</v>
      </c>
      <c r="C18" s="27" t="str">
        <f>Item16!B3</f>
        <v>Vassoura 
Cerdas em Piaçava (natural ou sintética);
Com cabo
Comprimento do cabo: mínimo de 1,15m;
Cepa com 20 cm, admitida variação de ± 2 cm;
Comprimento das cerdas: mínimo 11 cm.</v>
      </c>
      <c r="D18" s="25" t="str">
        <f>Item16!C3</f>
        <v>unidade</v>
      </c>
      <c r="E18" s="25">
        <f>Item16!D3</f>
        <v>50</v>
      </c>
      <c r="F18" s="26">
        <f>Item16!E3</f>
        <v>7.94</v>
      </c>
      <c r="G18" s="26">
        <f t="shared" si="0"/>
        <v>397</v>
      </c>
    </row>
    <row r="19" spans="1:7" x14ac:dyDescent="0.25">
      <c r="A19" s="28"/>
      <c r="B19" s="28"/>
      <c r="C19" s="29"/>
      <c r="D19" s="30"/>
      <c r="E19" s="30"/>
      <c r="F19" s="31"/>
      <c r="G19" s="31"/>
    </row>
    <row r="20" spans="1:7" ht="15.75" thickBot="1" x14ac:dyDescent="0.3"/>
    <row r="21" spans="1:7" ht="16.5" thickTop="1" thickBot="1" x14ac:dyDescent="0.3">
      <c r="D21" s="22"/>
      <c r="E21" s="23" t="s">
        <v>33</v>
      </c>
      <c r="F21" s="24">
        <f>SUM(G:G)</f>
        <v>58547.5</v>
      </c>
    </row>
    <row r="22" spans="1:7" ht="15.75" thickTop="1" x14ac:dyDescent="0.25">
      <c r="F22" s="3"/>
    </row>
    <row r="23" spans="1:7" x14ac:dyDescent="0.25">
      <c r="D23" s="21" t="s">
        <v>32</v>
      </c>
      <c r="E23" s="13">
        <f>MAX(A:A)</f>
        <v>0</v>
      </c>
    </row>
    <row r="25" spans="1:7" x14ac:dyDescent="0.25">
      <c r="D25" s="18" t="s">
        <v>31</v>
      </c>
      <c r="E25" s="19">
        <v>1</v>
      </c>
      <c r="F25" s="20">
        <f>SUMIF(A:A,E25,G:G)</f>
        <v>0</v>
      </c>
    </row>
    <row r="26" spans="1:7" x14ac:dyDescent="0.25">
      <c r="D26" s="18" t="s">
        <v>31</v>
      </c>
      <c r="E26" s="19">
        <v>2</v>
      </c>
      <c r="F26" s="20">
        <f>SUMIF(A:A,E26,G:G)</f>
        <v>0</v>
      </c>
    </row>
    <row r="27" spans="1:7" x14ac:dyDescent="0.25">
      <c r="D27" s="18" t="s">
        <v>31</v>
      </c>
      <c r="E27" s="19">
        <v>3</v>
      </c>
      <c r="F27" s="20">
        <f>SUMIF(A:A,E27,G:G)</f>
        <v>0</v>
      </c>
    </row>
    <row r="28" spans="1:7" x14ac:dyDescent="0.25">
      <c r="D28" s="18" t="s">
        <v>31</v>
      </c>
      <c r="E28" s="19">
        <v>4</v>
      </c>
      <c r="F28" s="20">
        <f>SUMIF(A:A,E28,G:G)</f>
        <v>0</v>
      </c>
    </row>
  </sheetData>
  <mergeCells count="1">
    <mergeCell ref="A1:G1"/>
  </mergeCells>
  <pageMargins left="0.51181102362204722" right="0.51181102362204722" top="1.2598425196850394" bottom="0.78740157480314965" header="0.31496062992125984" footer="0.31496062992125984"/>
  <pageSetup paperSize="9" scale="89" orientation="portrait" r:id="rId1"/>
  <headerFooter>
    <oddHeader>&amp;C&amp;G</oddHeader>
    <oddFooter>&amp;L&amp;"-,Negrito"Estimativa em &amp;D&amp;Rn/a = não se aplica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3</v>
      </c>
      <c r="B3" s="34" t="s">
        <v>88</v>
      </c>
      <c r="C3" s="36" t="s">
        <v>7</v>
      </c>
      <c r="D3" s="36">
        <v>100</v>
      </c>
      <c r="E3" s="37">
        <f>IF(C20&lt;=25%,D20,MIN(E20:F20))</f>
        <v>50.97</v>
      </c>
      <c r="F3" s="37">
        <f>MIN(H3:H17)</f>
        <v>6.49</v>
      </c>
      <c r="G3" s="5" t="s">
        <v>110</v>
      </c>
      <c r="H3" s="16">
        <v>86.43</v>
      </c>
      <c r="I3" s="17">
        <f>IF(H3="","",(IF($C$20&lt;25%,"n/a",IF(H3&lt;=($D$20+$A$20),H3,"Descartado"))))</f>
        <v>86.43</v>
      </c>
    </row>
    <row r="4" spans="1:9" x14ac:dyDescent="0.25">
      <c r="A4" s="38"/>
      <c r="B4" s="35"/>
      <c r="C4" s="36"/>
      <c r="D4" s="36"/>
      <c r="E4" s="37"/>
      <c r="F4" s="37"/>
      <c r="G4" s="5" t="s">
        <v>111</v>
      </c>
      <c r="H4" s="16">
        <v>28.9</v>
      </c>
      <c r="I4" s="17">
        <f t="shared" ref="I4:I17" si="0">IF(H4="","",(IF($C$20&lt;25%,"n/a",IF(H4&lt;=($D$20+$A$20),H4,"Descartado"))))</f>
        <v>28.9</v>
      </c>
    </row>
    <row r="5" spans="1:9" x14ac:dyDescent="0.25">
      <c r="A5" s="38"/>
      <c r="B5" s="35"/>
      <c r="C5" s="36"/>
      <c r="D5" s="36"/>
      <c r="E5" s="37"/>
      <c r="F5" s="37"/>
      <c r="G5" s="5" t="s">
        <v>112</v>
      </c>
      <c r="H5" s="16">
        <v>6.49</v>
      </c>
      <c r="I5" s="17">
        <f t="shared" si="0"/>
        <v>6.49</v>
      </c>
    </row>
    <row r="6" spans="1:9" x14ac:dyDescent="0.25">
      <c r="A6" s="38"/>
      <c r="B6" s="35"/>
      <c r="C6" s="36"/>
      <c r="D6" s="36"/>
      <c r="E6" s="37"/>
      <c r="F6" s="37"/>
      <c r="G6" s="5" t="s">
        <v>113</v>
      </c>
      <c r="H6" s="16">
        <v>216</v>
      </c>
      <c r="I6" s="17" t="str">
        <f t="shared" si="0"/>
        <v>Descartado</v>
      </c>
    </row>
    <row r="7" spans="1:9" x14ac:dyDescent="0.25">
      <c r="A7" s="38"/>
      <c r="B7" s="35"/>
      <c r="C7" s="36"/>
      <c r="D7" s="36"/>
      <c r="E7" s="37"/>
      <c r="F7" s="37"/>
      <c r="G7" s="5" t="s">
        <v>114</v>
      </c>
      <c r="H7" s="16">
        <v>39.200000000000003</v>
      </c>
      <c r="I7" s="17">
        <f t="shared" si="0"/>
        <v>39.200000000000003</v>
      </c>
    </row>
    <row r="8" spans="1:9" x14ac:dyDescent="0.25">
      <c r="A8" s="38"/>
      <c r="B8" s="35"/>
      <c r="C8" s="36"/>
      <c r="D8" s="36"/>
      <c r="E8" s="37"/>
      <c r="F8" s="37"/>
      <c r="G8" s="5" t="s">
        <v>115</v>
      </c>
      <c r="H8" s="16">
        <v>72.8</v>
      </c>
      <c r="I8" s="17">
        <f t="shared" si="0"/>
        <v>72.8</v>
      </c>
    </row>
    <row r="9" spans="1:9" x14ac:dyDescent="0.25">
      <c r="A9" s="38"/>
      <c r="B9" s="35"/>
      <c r="C9" s="36"/>
      <c r="D9" s="36"/>
      <c r="E9" s="37"/>
      <c r="F9" s="37"/>
      <c r="G9" s="5" t="s">
        <v>116</v>
      </c>
      <c r="H9" s="16">
        <v>150</v>
      </c>
      <c r="I9" s="17" t="str">
        <f t="shared" si="0"/>
        <v>Descartado</v>
      </c>
    </row>
    <row r="10" spans="1:9" x14ac:dyDescent="0.25">
      <c r="A10" s="38"/>
      <c r="B10" s="35"/>
      <c r="C10" s="36"/>
      <c r="D10" s="36"/>
      <c r="E10" s="37"/>
      <c r="F10" s="37"/>
      <c r="G10" s="5" t="s">
        <v>117</v>
      </c>
      <c r="H10" s="16">
        <v>58</v>
      </c>
      <c r="I10" s="17">
        <f t="shared" si="0"/>
        <v>58</v>
      </c>
    </row>
    <row r="11" spans="1:9" x14ac:dyDescent="0.25">
      <c r="A11" s="38"/>
      <c r="B11" s="35"/>
      <c r="C11" s="36"/>
      <c r="D11" s="36"/>
      <c r="E11" s="37"/>
      <c r="F11" s="37"/>
      <c r="G11" s="5" t="s">
        <v>118</v>
      </c>
      <c r="H11" s="16">
        <v>65</v>
      </c>
      <c r="I11" s="17">
        <f t="shared" si="0"/>
        <v>65</v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65.073872829269973</v>
      </c>
      <c r="B20" s="8">
        <f>COUNT(H3:H17)</f>
        <v>9</v>
      </c>
      <c r="C20" s="9">
        <f>IF(B20&lt;2,"n/a",(A20/D20))</f>
        <v>0.81028356156481096</v>
      </c>
      <c r="D20" s="10">
        <f>IFERROR(ROUND(AVERAGE(H3:H17),2),"")</f>
        <v>80.31</v>
      </c>
      <c r="E20" s="15">
        <f>IFERROR(ROUND(IF(B20&lt;2,"n/a",(IF(C20&lt;=25%,"n/a",AVERAGE(I3:I17)))),2),"n/a")</f>
        <v>50.97</v>
      </c>
      <c r="F20" s="10">
        <f>IFERROR(ROUND(MEDIAN(H3:H17),2),"")</f>
        <v>65</v>
      </c>
      <c r="G20" s="11" t="str">
        <f>IFERROR(INDEX(G3:G17,MATCH(H20,H3:H17,0)),"")</f>
        <v>MAAT SOLUCOES LTDA</v>
      </c>
      <c r="H20" s="12">
        <f>F3</f>
        <v>6.49</v>
      </c>
    </row>
    <row r="22" spans="1:9" x14ac:dyDescent="0.25">
      <c r="G22" s="13" t="s">
        <v>20</v>
      </c>
      <c r="H22" s="14">
        <f>IF(C20&lt;=25%,D20,MIN(E20:F20))</f>
        <v>50.97</v>
      </c>
    </row>
    <row r="23" spans="1:9" x14ac:dyDescent="0.25">
      <c r="G23" s="13" t="s">
        <v>6</v>
      </c>
      <c r="H23" s="14">
        <f>ROUND(H22,2)*D3</f>
        <v>5097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4</v>
      </c>
      <c r="B3" s="34" t="s">
        <v>89</v>
      </c>
      <c r="C3" s="36" t="s">
        <v>7</v>
      </c>
      <c r="D3" s="36">
        <v>50</v>
      </c>
      <c r="E3" s="37">
        <f>IF(C20&lt;=25%,D20,MIN(E20:F20))</f>
        <v>62.55</v>
      </c>
      <c r="F3" s="37">
        <f>MIN(H3:H17)</f>
        <v>40.700000000000003</v>
      </c>
      <c r="G3" s="5" t="s">
        <v>119</v>
      </c>
      <c r="H3" s="16">
        <v>75</v>
      </c>
      <c r="I3" s="17">
        <f>IF(H3="","",(IF($C$20&lt;25%,"n/a",IF(H3&lt;=($D$20+$A$20),H3,"Descartado"))))</f>
        <v>75</v>
      </c>
    </row>
    <row r="4" spans="1:9" x14ac:dyDescent="0.25">
      <c r="A4" s="38"/>
      <c r="B4" s="35"/>
      <c r="C4" s="36"/>
      <c r="D4" s="36"/>
      <c r="E4" s="37"/>
      <c r="F4" s="37"/>
      <c r="G4" s="5" t="s">
        <v>120</v>
      </c>
      <c r="H4" s="16">
        <v>68.849999999999994</v>
      </c>
      <c r="I4" s="17">
        <f t="shared" ref="I4:I17" si="0">IF(H4="","",(IF($C$20&lt;25%,"n/a",IF(H4&lt;=($D$20+$A$20),H4,"Descartado"))))</f>
        <v>68.849999999999994</v>
      </c>
    </row>
    <row r="5" spans="1:9" x14ac:dyDescent="0.25">
      <c r="A5" s="38"/>
      <c r="B5" s="35"/>
      <c r="C5" s="36"/>
      <c r="D5" s="36"/>
      <c r="E5" s="37"/>
      <c r="F5" s="37"/>
      <c r="G5" s="5" t="s">
        <v>121</v>
      </c>
      <c r="H5" s="16">
        <v>40.700000000000003</v>
      </c>
      <c r="I5" s="17">
        <f t="shared" si="0"/>
        <v>40.700000000000003</v>
      </c>
    </row>
    <row r="6" spans="1:9" x14ac:dyDescent="0.25">
      <c r="A6" s="38"/>
      <c r="B6" s="35"/>
      <c r="C6" s="36"/>
      <c r="D6" s="36"/>
      <c r="E6" s="37"/>
      <c r="F6" s="37"/>
      <c r="G6" s="5" t="s">
        <v>122</v>
      </c>
      <c r="H6" s="16">
        <v>59.21</v>
      </c>
      <c r="I6" s="17">
        <f t="shared" si="0"/>
        <v>59.21</v>
      </c>
    </row>
    <row r="7" spans="1:9" x14ac:dyDescent="0.25">
      <c r="A7" s="38"/>
      <c r="B7" s="35"/>
      <c r="C7" s="36"/>
      <c r="D7" s="36"/>
      <c r="E7" s="37"/>
      <c r="F7" s="37"/>
      <c r="G7" s="5" t="s">
        <v>123</v>
      </c>
      <c r="H7" s="16">
        <v>128.25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 t="s">
        <v>124</v>
      </c>
      <c r="H8" s="16">
        <v>69</v>
      </c>
      <c r="I8" s="17">
        <f t="shared" si="0"/>
        <v>69</v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29.399758785858552</v>
      </c>
      <c r="B20" s="8">
        <f>COUNT(H3:H17)</f>
        <v>6</v>
      </c>
      <c r="C20" s="9">
        <f>IF(B20&lt;2,"n/a",(A20/D20))</f>
        <v>0.39999671817494631</v>
      </c>
      <c r="D20" s="10">
        <f>IFERROR(ROUND(AVERAGE(H3:H17),2),"")</f>
        <v>73.5</v>
      </c>
      <c r="E20" s="15">
        <f>IFERROR(ROUND(IF(B20&lt;2,"n/a",(IF(C20&lt;=25%,"n/a",AVERAGE(I3:I17)))),2),"n/a")</f>
        <v>62.55</v>
      </c>
      <c r="F20" s="10">
        <f>IFERROR(ROUND(MEDIAN(H3:H17),2),"")</f>
        <v>68.930000000000007</v>
      </c>
      <c r="G20" s="11" t="str">
        <f>IFERROR(INDEX(G3:G17,MATCH(H20,H3:H17,0)),"")</f>
        <v>FX EMPREENDIMENTOS LTDA</v>
      </c>
      <c r="H20" s="12">
        <f>F3</f>
        <v>40.700000000000003</v>
      </c>
    </row>
    <row r="22" spans="1:9" x14ac:dyDescent="0.25">
      <c r="G22" s="13" t="s">
        <v>20</v>
      </c>
      <c r="H22" s="14">
        <f>IF(C20&lt;=25%,D20,MIN(E20:F20))</f>
        <v>62.55</v>
      </c>
    </row>
    <row r="23" spans="1:9" x14ac:dyDescent="0.25">
      <c r="G23" s="13" t="s">
        <v>6</v>
      </c>
      <c r="H23" s="14">
        <f>ROUND(H22,2)*D3</f>
        <v>3127.5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6" sqref="G1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5</v>
      </c>
      <c r="B3" s="34" t="s">
        <v>90</v>
      </c>
      <c r="C3" s="36" t="s">
        <v>93</v>
      </c>
      <c r="D3" s="36">
        <v>500</v>
      </c>
      <c r="E3" s="37">
        <f>IF(C20&lt;=25%,D20,MIN(E20:F20))</f>
        <v>1.67</v>
      </c>
      <c r="F3" s="37">
        <f>MIN(H3:H17)</f>
        <v>0.7</v>
      </c>
      <c r="G3" s="5" t="s">
        <v>125</v>
      </c>
      <c r="H3" s="16">
        <v>2.2799999999999998</v>
      </c>
      <c r="I3" s="17">
        <f>IF(H3="","",(IF($C$20&lt;25%,"n/a",IF(H3&lt;=($D$20+$A$20),H3,"Descartado"))))</f>
        <v>2.2799999999999998</v>
      </c>
    </row>
    <row r="4" spans="1:9" x14ac:dyDescent="0.25">
      <c r="A4" s="38"/>
      <c r="B4" s="35"/>
      <c r="C4" s="36"/>
      <c r="D4" s="36"/>
      <c r="E4" s="37"/>
      <c r="F4" s="37"/>
      <c r="G4" s="5" t="s">
        <v>126</v>
      </c>
      <c r="H4" s="16">
        <v>1.1299999999999999</v>
      </c>
      <c r="I4" s="17">
        <f t="shared" ref="I4:I17" si="0">IF(H4="","",(IF($C$20&lt;25%,"n/a",IF(H4&lt;=($D$20+$A$20),H4,"Descartado"))))</f>
        <v>1.1299999999999999</v>
      </c>
    </row>
    <row r="5" spans="1:9" x14ac:dyDescent="0.25">
      <c r="A5" s="38"/>
      <c r="B5" s="35"/>
      <c r="C5" s="36"/>
      <c r="D5" s="36"/>
      <c r="E5" s="37"/>
      <c r="F5" s="37"/>
      <c r="G5" s="5" t="s">
        <v>127</v>
      </c>
      <c r="H5" s="16">
        <v>1.18</v>
      </c>
      <c r="I5" s="17">
        <f t="shared" si="0"/>
        <v>1.18</v>
      </c>
    </row>
    <row r="6" spans="1:9" x14ac:dyDescent="0.25">
      <c r="A6" s="38"/>
      <c r="B6" s="35"/>
      <c r="C6" s="36"/>
      <c r="D6" s="36"/>
      <c r="E6" s="37"/>
      <c r="F6" s="37"/>
      <c r="G6" s="5" t="s">
        <v>128</v>
      </c>
      <c r="H6" s="16">
        <v>2.5</v>
      </c>
      <c r="I6" s="17">
        <f t="shared" si="0"/>
        <v>2.5</v>
      </c>
    </row>
    <row r="7" spans="1:9" x14ac:dyDescent="0.25">
      <c r="A7" s="38"/>
      <c r="B7" s="35"/>
      <c r="C7" s="36"/>
      <c r="D7" s="36"/>
      <c r="E7" s="37"/>
      <c r="F7" s="37"/>
      <c r="G7" s="5" t="s">
        <v>129</v>
      </c>
      <c r="H7" s="16">
        <v>2</v>
      </c>
      <c r="I7" s="17">
        <f t="shared" si="0"/>
        <v>2</v>
      </c>
    </row>
    <row r="8" spans="1:9" x14ac:dyDescent="0.25">
      <c r="A8" s="38"/>
      <c r="B8" s="35"/>
      <c r="C8" s="36"/>
      <c r="D8" s="36"/>
      <c r="E8" s="37"/>
      <c r="F8" s="37"/>
      <c r="G8" s="5" t="s">
        <v>130</v>
      </c>
      <c r="H8" s="16">
        <v>2.04</v>
      </c>
      <c r="I8" s="17">
        <f t="shared" si="0"/>
        <v>2.04</v>
      </c>
    </row>
    <row r="9" spans="1:9" x14ac:dyDescent="0.25">
      <c r="A9" s="38"/>
      <c r="B9" s="35"/>
      <c r="C9" s="36"/>
      <c r="D9" s="36"/>
      <c r="E9" s="37"/>
      <c r="F9" s="37"/>
      <c r="G9" s="5" t="s">
        <v>131</v>
      </c>
      <c r="H9" s="16">
        <v>1.1100000000000001</v>
      </c>
      <c r="I9" s="17">
        <f t="shared" si="0"/>
        <v>1.1100000000000001</v>
      </c>
    </row>
    <row r="10" spans="1:9" x14ac:dyDescent="0.25">
      <c r="A10" s="38"/>
      <c r="B10" s="35"/>
      <c r="C10" s="36"/>
      <c r="D10" s="36"/>
      <c r="E10" s="37"/>
      <c r="F10" s="37"/>
      <c r="G10" s="5" t="s">
        <v>132</v>
      </c>
      <c r="H10" s="16">
        <v>0.7</v>
      </c>
      <c r="I10" s="17">
        <f t="shared" si="0"/>
        <v>0.7</v>
      </c>
    </row>
    <row r="11" spans="1:9" x14ac:dyDescent="0.25">
      <c r="A11" s="38"/>
      <c r="B11" s="35"/>
      <c r="C11" s="36"/>
      <c r="D11" s="36"/>
      <c r="E11" s="37"/>
      <c r="F11" s="37"/>
      <c r="G11" s="5" t="s">
        <v>133</v>
      </c>
      <c r="H11" s="16">
        <v>1.98</v>
      </c>
      <c r="I11" s="17">
        <f t="shared" si="0"/>
        <v>1.98</v>
      </c>
    </row>
    <row r="12" spans="1:9" x14ac:dyDescent="0.25">
      <c r="A12" s="38"/>
      <c r="B12" s="35"/>
      <c r="C12" s="36"/>
      <c r="D12" s="36"/>
      <c r="E12" s="37"/>
      <c r="F12" s="37"/>
      <c r="G12" s="5" t="s">
        <v>134</v>
      </c>
      <c r="H12" s="16">
        <v>1.76</v>
      </c>
      <c r="I12" s="17">
        <f t="shared" si="0"/>
        <v>1.76</v>
      </c>
    </row>
    <row r="13" spans="1:9" x14ac:dyDescent="0.25">
      <c r="A13" s="38"/>
      <c r="B13" s="35"/>
      <c r="C13" s="36"/>
      <c r="D13" s="36"/>
      <c r="E13" s="37"/>
      <c r="F13" s="37"/>
      <c r="G13" s="5" t="s">
        <v>135</v>
      </c>
      <c r="H13" s="16">
        <v>1.28</v>
      </c>
      <c r="I13" s="17">
        <f t="shared" si="0"/>
        <v>1.28</v>
      </c>
    </row>
    <row r="14" spans="1:9" x14ac:dyDescent="0.25">
      <c r="A14" s="38"/>
      <c r="B14" s="35"/>
      <c r="C14" s="36"/>
      <c r="D14" s="36"/>
      <c r="E14" s="37"/>
      <c r="F14" s="37"/>
      <c r="G14" s="5" t="s">
        <v>136</v>
      </c>
      <c r="H14" s="16">
        <v>4.95</v>
      </c>
      <c r="I14" s="17" t="str">
        <f t="shared" si="0"/>
        <v>Descartado</v>
      </c>
    </row>
    <row r="15" spans="1:9" x14ac:dyDescent="0.25">
      <c r="A15" s="38"/>
      <c r="B15" s="35"/>
      <c r="C15" s="36"/>
      <c r="D15" s="36"/>
      <c r="E15" s="37"/>
      <c r="F15" s="37"/>
      <c r="G15" s="5" t="s">
        <v>137</v>
      </c>
      <c r="H15" s="16">
        <v>2.11</v>
      </c>
      <c r="I15" s="17">
        <f t="shared" si="0"/>
        <v>2.11</v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1.0590295509302794</v>
      </c>
      <c r="B20" s="8">
        <f>COUNT(H3:H17)</f>
        <v>13</v>
      </c>
      <c r="C20" s="9">
        <f>IF(B20&lt;2,"n/a",(A20/D20))</f>
        <v>0.55157789110952049</v>
      </c>
      <c r="D20" s="10">
        <f>IFERROR(ROUND(AVERAGE(H3:H17),2),"")</f>
        <v>1.92</v>
      </c>
      <c r="E20" s="15">
        <f>IFERROR(ROUND(IF(B20&lt;2,"n/a",(IF(C20&lt;=25%,"n/a",AVERAGE(I3:I17)))),2),"n/a")</f>
        <v>1.67</v>
      </c>
      <c r="F20" s="10">
        <f>IFERROR(ROUND(MEDIAN(H3:H17),2),"")</f>
        <v>1.98</v>
      </c>
      <c r="G20" s="11" t="str">
        <f>IFERROR(INDEX(G3:G17,MATCH(H20,H3:H17,0)),"")</f>
        <v>JP INDUSTRIA DE PAPEIS LTDA</v>
      </c>
      <c r="H20" s="12">
        <f>F3</f>
        <v>0.7</v>
      </c>
    </row>
    <row r="22" spans="1:9" x14ac:dyDescent="0.25">
      <c r="G22" s="13" t="s">
        <v>20</v>
      </c>
      <c r="H22" s="14">
        <f>IF(C20&lt;=25%,D20,MIN(E20:F20))</f>
        <v>1.67</v>
      </c>
    </row>
    <row r="23" spans="1:9" x14ac:dyDescent="0.25">
      <c r="G23" s="13" t="s">
        <v>6</v>
      </c>
      <c r="H23" s="14">
        <f>ROUND(H22,2)*D3</f>
        <v>835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5" sqref="G1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6</v>
      </c>
      <c r="B3" s="34" t="s">
        <v>91</v>
      </c>
      <c r="C3" s="36" t="s">
        <v>92</v>
      </c>
      <c r="D3" s="36">
        <v>500</v>
      </c>
      <c r="E3" s="37">
        <f>IF(C20&lt;=25%,D20,MIN(E20:F20))</f>
        <v>4.6500000000000004</v>
      </c>
      <c r="F3" s="37">
        <f>MIN(H3:H17)</f>
        <v>3</v>
      </c>
      <c r="G3" s="5" t="s">
        <v>138</v>
      </c>
      <c r="H3" s="16">
        <v>5.8</v>
      </c>
      <c r="I3" s="17">
        <f>IF(H3="","",(IF($C$20&lt;25%,"n/a",IF(H3&lt;=($D$20+$A$20),H3,"Descartado"))))</f>
        <v>5.8</v>
      </c>
    </row>
    <row r="4" spans="1:9" x14ac:dyDescent="0.25">
      <c r="A4" s="38"/>
      <c r="B4" s="35"/>
      <c r="C4" s="36"/>
      <c r="D4" s="36"/>
      <c r="E4" s="37"/>
      <c r="F4" s="37"/>
      <c r="G4" s="5" t="s">
        <v>139</v>
      </c>
      <c r="H4" s="16">
        <v>5.5</v>
      </c>
      <c r="I4" s="17">
        <f t="shared" ref="I4:I17" si="0">IF(H4="","",(IF($C$20&lt;25%,"n/a",IF(H4&lt;=($D$20+$A$20),H4,"Descartado"))))</f>
        <v>5.5</v>
      </c>
    </row>
    <row r="5" spans="1:9" x14ac:dyDescent="0.25">
      <c r="A5" s="38"/>
      <c r="B5" s="35"/>
      <c r="C5" s="36"/>
      <c r="D5" s="36"/>
      <c r="E5" s="37"/>
      <c r="F5" s="37"/>
      <c r="G5" s="5" t="s">
        <v>140</v>
      </c>
      <c r="H5" s="16">
        <v>4.6900000000000004</v>
      </c>
      <c r="I5" s="17">
        <f t="shared" si="0"/>
        <v>4.6900000000000004</v>
      </c>
    </row>
    <row r="6" spans="1:9" x14ac:dyDescent="0.25">
      <c r="A6" s="38"/>
      <c r="B6" s="35"/>
      <c r="C6" s="36"/>
      <c r="D6" s="36"/>
      <c r="E6" s="37"/>
      <c r="F6" s="37"/>
      <c r="G6" s="5" t="s">
        <v>141</v>
      </c>
      <c r="H6" s="16">
        <v>3.37</v>
      </c>
      <c r="I6" s="17">
        <f t="shared" si="0"/>
        <v>3.37</v>
      </c>
    </row>
    <row r="7" spans="1:9" x14ac:dyDescent="0.25">
      <c r="A7" s="38"/>
      <c r="B7" s="35"/>
      <c r="C7" s="36"/>
      <c r="D7" s="36"/>
      <c r="E7" s="37"/>
      <c r="F7" s="37"/>
      <c r="G7" s="5" t="s">
        <v>142</v>
      </c>
      <c r="H7" s="16">
        <v>4.8</v>
      </c>
      <c r="I7" s="17">
        <f t="shared" si="0"/>
        <v>4.8</v>
      </c>
    </row>
    <row r="8" spans="1:9" x14ac:dyDescent="0.25">
      <c r="A8" s="38"/>
      <c r="B8" s="35"/>
      <c r="C8" s="36"/>
      <c r="D8" s="36"/>
      <c r="E8" s="37"/>
      <c r="F8" s="37"/>
      <c r="G8" s="5" t="s">
        <v>143</v>
      </c>
      <c r="H8" s="16">
        <v>5.3</v>
      </c>
      <c r="I8" s="17">
        <f t="shared" si="0"/>
        <v>5.3</v>
      </c>
    </row>
    <row r="9" spans="1:9" x14ac:dyDescent="0.25">
      <c r="A9" s="38"/>
      <c r="B9" s="35"/>
      <c r="C9" s="36"/>
      <c r="D9" s="36"/>
      <c r="E9" s="37"/>
      <c r="F9" s="37"/>
      <c r="G9" s="5" t="s">
        <v>142</v>
      </c>
      <c r="H9" s="16">
        <v>4.99</v>
      </c>
      <c r="I9" s="17">
        <f t="shared" si="0"/>
        <v>4.99</v>
      </c>
    </row>
    <row r="10" spans="1:9" x14ac:dyDescent="0.25">
      <c r="A10" s="38"/>
      <c r="B10" s="35"/>
      <c r="C10" s="36"/>
      <c r="D10" s="36"/>
      <c r="E10" s="37"/>
      <c r="F10" s="37"/>
      <c r="G10" s="5" t="s">
        <v>144</v>
      </c>
      <c r="H10" s="16">
        <v>3</v>
      </c>
      <c r="I10" s="17">
        <f t="shared" si="0"/>
        <v>3</v>
      </c>
    </row>
    <row r="11" spans="1:9" x14ac:dyDescent="0.25">
      <c r="A11" s="38"/>
      <c r="B11" s="35"/>
      <c r="C11" s="36"/>
      <c r="D11" s="36"/>
      <c r="E11" s="37"/>
      <c r="F11" s="37"/>
      <c r="G11" s="5" t="s">
        <v>145</v>
      </c>
      <c r="H11" s="16">
        <v>7.79</v>
      </c>
      <c r="I11" s="17" t="str">
        <f t="shared" si="0"/>
        <v>Descartado</v>
      </c>
    </row>
    <row r="12" spans="1:9" x14ac:dyDescent="0.25">
      <c r="A12" s="38"/>
      <c r="B12" s="35"/>
      <c r="C12" s="36"/>
      <c r="D12" s="36"/>
      <c r="E12" s="37"/>
      <c r="F12" s="37"/>
      <c r="G12" s="5" t="s">
        <v>146</v>
      </c>
      <c r="H12" s="16">
        <v>4.41</v>
      </c>
      <c r="I12" s="17">
        <f t="shared" si="0"/>
        <v>4.41</v>
      </c>
    </row>
    <row r="13" spans="1:9" x14ac:dyDescent="0.25">
      <c r="A13" s="38"/>
      <c r="B13" s="35"/>
      <c r="C13" s="36"/>
      <c r="D13" s="36"/>
      <c r="E13" s="37"/>
      <c r="F13" s="37"/>
      <c r="G13" s="5" t="s">
        <v>147</v>
      </c>
      <c r="H13" s="16">
        <v>7.61</v>
      </c>
      <c r="I13" s="17" t="str">
        <f t="shared" si="0"/>
        <v>Descartado</v>
      </c>
    </row>
    <row r="14" spans="1:9" x14ac:dyDescent="0.25">
      <c r="A14" s="38"/>
      <c r="B14" s="35"/>
      <c r="C14" s="36"/>
      <c r="D14" s="36"/>
      <c r="E14" s="37"/>
      <c r="F14" s="37"/>
      <c r="G14" s="5" t="s">
        <v>148</v>
      </c>
      <c r="H14" s="16">
        <v>6.89</v>
      </c>
      <c r="I14" s="17" t="str">
        <f t="shared" si="0"/>
        <v>Descartado</v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1.5031570312532418</v>
      </c>
      <c r="B20" s="8">
        <f>COUNT(H3:H17)</f>
        <v>12</v>
      </c>
      <c r="C20" s="9">
        <f>IF(B20&lt;2,"n/a",(A20/D20))</f>
        <v>0.28096393107537232</v>
      </c>
      <c r="D20" s="10">
        <f>IFERROR(ROUND(AVERAGE(H3:H17),2),"")</f>
        <v>5.35</v>
      </c>
      <c r="E20" s="15">
        <f>IFERROR(ROUND(IF(B20&lt;2,"n/a",(IF(C20&lt;=25%,"n/a",AVERAGE(I3:I17)))),2),"n/a")</f>
        <v>4.6500000000000004</v>
      </c>
      <c r="F20" s="10">
        <f>IFERROR(ROUND(MEDIAN(H3:H17),2),"")</f>
        <v>5.15</v>
      </c>
      <c r="G20" s="11" t="str">
        <f>IFERROR(INDEX(G3:G17,MATCH(H20,H3:H17,0)),"")</f>
        <v>SUPERMERCADO VIDAL LTDA</v>
      </c>
      <c r="H20" s="12">
        <f>F3</f>
        <v>3</v>
      </c>
    </row>
    <row r="22" spans="1:9" x14ac:dyDescent="0.25">
      <c r="G22" s="13" t="s">
        <v>20</v>
      </c>
      <c r="H22" s="14">
        <f>IF(C20&lt;=25%,D20,MIN(E20:F20))</f>
        <v>4.6500000000000004</v>
      </c>
    </row>
    <row r="23" spans="1:9" x14ac:dyDescent="0.25">
      <c r="G23" s="13" t="s">
        <v>6</v>
      </c>
      <c r="H23" s="14">
        <f>ROUND(H22,2)*D3</f>
        <v>2325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7</v>
      </c>
      <c r="B3" s="34" t="s">
        <v>94</v>
      </c>
      <c r="C3" s="36" t="s">
        <v>7</v>
      </c>
      <c r="D3" s="36">
        <v>100</v>
      </c>
      <c r="E3" s="37">
        <f>IF(C20&lt;=25%,D20,MIN(E20:F20))</f>
        <v>5.4</v>
      </c>
      <c r="F3" s="37">
        <f>MIN(H3:H17)</f>
        <v>4.05</v>
      </c>
      <c r="G3" s="5" t="s">
        <v>149</v>
      </c>
      <c r="H3" s="16">
        <v>4.54</v>
      </c>
      <c r="I3" s="17">
        <f>IF(H3="","",(IF($C$20&lt;25%,"n/a",IF(H3&lt;=($D$20+$A$20),H3,"Descartado"))))</f>
        <v>4.54</v>
      </c>
    </row>
    <row r="4" spans="1:9" x14ac:dyDescent="0.25">
      <c r="A4" s="38"/>
      <c r="B4" s="35"/>
      <c r="C4" s="36"/>
      <c r="D4" s="36"/>
      <c r="E4" s="37"/>
      <c r="F4" s="37"/>
      <c r="G4" s="5" t="s">
        <v>150</v>
      </c>
      <c r="H4" s="16">
        <v>4.05</v>
      </c>
      <c r="I4" s="17">
        <f t="shared" ref="I4:I17" si="0">IF(H4="","",(IF($C$20&lt;25%,"n/a",IF(H4&lt;=($D$20+$A$20),H4,"Descartado"))))</f>
        <v>4.05</v>
      </c>
    </row>
    <row r="5" spans="1:9" x14ac:dyDescent="0.25">
      <c r="A5" s="38"/>
      <c r="B5" s="35"/>
      <c r="C5" s="36"/>
      <c r="D5" s="36"/>
      <c r="E5" s="37"/>
      <c r="F5" s="37"/>
      <c r="G5" s="5" t="s">
        <v>151</v>
      </c>
      <c r="H5" s="16">
        <v>7.75</v>
      </c>
      <c r="I5" s="17">
        <f t="shared" si="0"/>
        <v>7.75</v>
      </c>
    </row>
    <row r="6" spans="1:9" x14ac:dyDescent="0.25">
      <c r="A6" s="38"/>
      <c r="B6" s="35"/>
      <c r="C6" s="36"/>
      <c r="D6" s="36"/>
      <c r="E6" s="37"/>
      <c r="F6" s="37"/>
      <c r="G6" s="5" t="s">
        <v>152</v>
      </c>
      <c r="H6" s="16">
        <v>20.9</v>
      </c>
      <c r="I6" s="17" t="str">
        <f t="shared" si="0"/>
        <v>Descartado</v>
      </c>
    </row>
    <row r="7" spans="1:9" x14ac:dyDescent="0.25">
      <c r="A7" s="38"/>
      <c r="B7" s="35"/>
      <c r="C7" s="36"/>
      <c r="D7" s="36"/>
      <c r="E7" s="37"/>
      <c r="F7" s="37"/>
      <c r="G7" s="5" t="s">
        <v>121</v>
      </c>
      <c r="H7" s="16">
        <v>16.940000000000001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 t="s">
        <v>153</v>
      </c>
      <c r="H8" s="16">
        <v>5.4</v>
      </c>
      <c r="I8" s="17">
        <f t="shared" si="0"/>
        <v>5.4</v>
      </c>
    </row>
    <row r="9" spans="1:9" x14ac:dyDescent="0.25">
      <c r="A9" s="38"/>
      <c r="B9" s="35"/>
      <c r="C9" s="36"/>
      <c r="D9" s="36"/>
      <c r="E9" s="37"/>
      <c r="F9" s="37"/>
      <c r="G9" s="5" t="s">
        <v>154</v>
      </c>
      <c r="H9" s="16">
        <v>7.25</v>
      </c>
      <c r="I9" s="17">
        <f t="shared" si="0"/>
        <v>7.25</v>
      </c>
    </row>
    <row r="10" spans="1:9" x14ac:dyDescent="0.25">
      <c r="A10" s="38"/>
      <c r="B10" s="35"/>
      <c r="C10" s="36"/>
      <c r="D10" s="36"/>
      <c r="E10" s="37"/>
      <c r="F10" s="37"/>
      <c r="G10" s="5" t="s">
        <v>155</v>
      </c>
      <c r="H10" s="16">
        <v>4.4000000000000004</v>
      </c>
      <c r="I10" s="17">
        <f t="shared" si="0"/>
        <v>4.4000000000000004</v>
      </c>
    </row>
    <row r="11" spans="1:9" x14ac:dyDescent="0.25">
      <c r="A11" s="38"/>
      <c r="B11" s="35"/>
      <c r="C11" s="36"/>
      <c r="D11" s="36"/>
      <c r="E11" s="37"/>
      <c r="F11" s="37"/>
      <c r="G11" s="5" t="s">
        <v>156</v>
      </c>
      <c r="H11" s="16">
        <v>5.258</v>
      </c>
      <c r="I11" s="17">
        <f t="shared" si="0"/>
        <v>5.258</v>
      </c>
    </row>
    <row r="12" spans="1:9" x14ac:dyDescent="0.25">
      <c r="A12" s="38"/>
      <c r="B12" s="35"/>
      <c r="C12" s="36"/>
      <c r="D12" s="36"/>
      <c r="E12" s="37"/>
      <c r="F12" s="37"/>
      <c r="G12" s="5" t="s">
        <v>157</v>
      </c>
      <c r="H12" s="16">
        <v>4.9800000000000004</v>
      </c>
      <c r="I12" s="17">
        <f t="shared" si="0"/>
        <v>4.9800000000000004</v>
      </c>
    </row>
    <row r="13" spans="1:9" x14ac:dyDescent="0.25">
      <c r="A13" s="38"/>
      <c r="B13" s="35"/>
      <c r="C13" s="36"/>
      <c r="D13" s="36"/>
      <c r="E13" s="37"/>
      <c r="F13" s="37"/>
      <c r="G13" s="5" t="s">
        <v>142</v>
      </c>
      <c r="H13" s="16">
        <v>7.77</v>
      </c>
      <c r="I13" s="17">
        <f t="shared" si="0"/>
        <v>7.77</v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5.5749908764703191</v>
      </c>
      <c r="B20" s="8">
        <f>COUNT(H3:H17)</f>
        <v>11</v>
      </c>
      <c r="C20" s="9">
        <f>IF(B20&lt;2,"n/a",(A20/D20))</f>
        <v>0.6874218096757484</v>
      </c>
      <c r="D20" s="10">
        <f>IFERROR(ROUND(AVERAGE(H3:H17),2),"")</f>
        <v>8.11</v>
      </c>
      <c r="E20" s="15">
        <f>IFERROR(ROUND(IF(B20&lt;2,"n/a",(IF(C20&lt;=25%,"n/a",AVERAGE(I3:I17)))),2),"n/a")</f>
        <v>5.71</v>
      </c>
      <c r="F20" s="10">
        <f>IFERROR(ROUND(MEDIAN(H3:H17),2),"")</f>
        <v>5.4</v>
      </c>
      <c r="G20" s="11" t="str">
        <f>IFERROR(INDEX(G3:G17,MATCH(H20,H3:H17,0)),"")</f>
        <v>A M DOS SANTOS LTDA</v>
      </c>
      <c r="H20" s="12">
        <f>F3</f>
        <v>4.05</v>
      </c>
    </row>
    <row r="22" spans="1:9" x14ac:dyDescent="0.25">
      <c r="G22" s="13" t="s">
        <v>20</v>
      </c>
      <c r="H22" s="14">
        <f>IF(C20&lt;=25%,D20,MIN(E20:F20))</f>
        <v>5.4</v>
      </c>
    </row>
    <row r="23" spans="1:9" x14ac:dyDescent="0.25">
      <c r="G23" s="13" t="s">
        <v>6</v>
      </c>
      <c r="H23" s="14">
        <f>ROUND(H22,2)*D3</f>
        <v>540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8</v>
      </c>
      <c r="B3" s="34" t="s">
        <v>95</v>
      </c>
      <c r="C3" s="36" t="s">
        <v>92</v>
      </c>
      <c r="D3" s="36">
        <v>500</v>
      </c>
      <c r="E3" s="37">
        <f>IF(C20&lt;=25%,D20,MIN(E20:F20))</f>
        <v>1.22</v>
      </c>
      <c r="F3" s="37">
        <f>MIN(H3:H17)</f>
        <v>0.6</v>
      </c>
      <c r="G3" s="5" t="s">
        <v>158</v>
      </c>
      <c r="H3" s="16">
        <v>1.35</v>
      </c>
      <c r="I3" s="17">
        <f>IF(H3="","",(IF($C$20&lt;25%,"n/a",IF(H3&lt;=($D$20+$A$20),H3,"Descartado"))))</f>
        <v>1.35</v>
      </c>
    </row>
    <row r="4" spans="1:9" x14ac:dyDescent="0.25">
      <c r="A4" s="38"/>
      <c r="B4" s="35"/>
      <c r="C4" s="36"/>
      <c r="D4" s="36"/>
      <c r="E4" s="37"/>
      <c r="F4" s="37"/>
      <c r="G4" s="5" t="s">
        <v>159</v>
      </c>
      <c r="H4" s="16">
        <v>0.6</v>
      </c>
      <c r="I4" s="17">
        <f t="shared" ref="I4:I17" si="0">IF(H4="","",(IF($C$20&lt;25%,"n/a",IF(H4&lt;=($D$20+$A$20),H4,"Descartado"))))</f>
        <v>0.6</v>
      </c>
    </row>
    <row r="5" spans="1:9" x14ac:dyDescent="0.25">
      <c r="A5" s="38"/>
      <c r="B5" s="35"/>
      <c r="C5" s="36"/>
      <c r="D5" s="36"/>
      <c r="E5" s="37"/>
      <c r="F5" s="37"/>
      <c r="G5" s="5" t="s">
        <v>160</v>
      </c>
      <c r="H5" s="16">
        <v>2.95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 t="s">
        <v>131</v>
      </c>
      <c r="H6" s="16">
        <v>1.51</v>
      </c>
      <c r="I6" s="17">
        <f t="shared" si="0"/>
        <v>1.51</v>
      </c>
    </row>
    <row r="7" spans="1:9" x14ac:dyDescent="0.25">
      <c r="A7" s="38"/>
      <c r="B7" s="35"/>
      <c r="C7" s="36"/>
      <c r="D7" s="36"/>
      <c r="E7" s="37"/>
      <c r="F7" s="37"/>
      <c r="G7" s="5" t="s">
        <v>161</v>
      </c>
      <c r="H7" s="16">
        <v>1.4</v>
      </c>
      <c r="I7" s="17">
        <f t="shared" si="0"/>
        <v>1.4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0.85526019432684941</v>
      </c>
      <c r="B20" s="8">
        <f>COUNT(H3:H17)</f>
        <v>5</v>
      </c>
      <c r="C20" s="9">
        <f>IF(B20&lt;2,"n/a",(A20/D20))</f>
        <v>0.54824371431208296</v>
      </c>
      <c r="D20" s="10">
        <f>IFERROR(ROUND(AVERAGE(H3:H17),2),"")</f>
        <v>1.56</v>
      </c>
      <c r="E20" s="15">
        <f>IFERROR(ROUND(IF(B20&lt;2,"n/a",(IF(C20&lt;=25%,"n/a",AVERAGE(I3:I17)))),2),"n/a")</f>
        <v>1.22</v>
      </c>
      <c r="F20" s="10">
        <f>IFERROR(ROUND(MEDIAN(H3:H17),2),"")</f>
        <v>1.4</v>
      </c>
      <c r="G20" s="11" t="str">
        <f>IFERROR(INDEX(G3:G17,MATCH(H20,H3:H17,0)),"")</f>
        <v>SUPRY OFFICE DISTRIBUIDORA DE MATERIAIS E SERVICOS LTDA</v>
      </c>
      <c r="H20" s="12">
        <f>F3</f>
        <v>0.6</v>
      </c>
    </row>
    <row r="22" spans="1:9" x14ac:dyDescent="0.25">
      <c r="G22" s="13" t="s">
        <v>20</v>
      </c>
      <c r="H22" s="14">
        <f>IF(C20&lt;=25%,D20,MIN(E20:F20))</f>
        <v>1.22</v>
      </c>
    </row>
    <row r="23" spans="1:9" x14ac:dyDescent="0.25">
      <c r="G23" s="13" t="s">
        <v>6</v>
      </c>
      <c r="H23" s="14">
        <f>ROUND(H22,2)*D3</f>
        <v>610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9</v>
      </c>
      <c r="B3" s="34" t="s">
        <v>96</v>
      </c>
      <c r="C3" s="36" t="s">
        <v>7</v>
      </c>
      <c r="D3" s="36">
        <v>1250</v>
      </c>
      <c r="E3" s="37">
        <f>IF(C20&lt;=25%,D20,MIN(E20:F20))</f>
        <v>0.7</v>
      </c>
      <c r="F3" s="37">
        <f>MIN(H3:H17)</f>
        <v>0.42</v>
      </c>
      <c r="G3" s="5" t="s">
        <v>162</v>
      </c>
      <c r="H3" s="16">
        <v>1.5</v>
      </c>
      <c r="I3" s="17">
        <f>IF(H3="","",(IF($C$20&lt;25%,"n/a",IF(H3&lt;=($D$20+$A$20),H3,"Descartado"))))</f>
        <v>1.5</v>
      </c>
    </row>
    <row r="4" spans="1:9" x14ac:dyDescent="0.25">
      <c r="A4" s="38"/>
      <c r="B4" s="35"/>
      <c r="C4" s="36"/>
      <c r="D4" s="36"/>
      <c r="E4" s="37"/>
      <c r="F4" s="37"/>
      <c r="G4" s="5" t="s">
        <v>163</v>
      </c>
      <c r="H4" s="16">
        <v>1.73</v>
      </c>
      <c r="I4" s="17">
        <f t="shared" ref="I4:I17" si="0">IF(H4="","",(IF($C$20&lt;25%,"n/a",IF(H4&lt;=($D$20+$A$20),H4,"Descartado"))))</f>
        <v>1.73</v>
      </c>
    </row>
    <row r="5" spans="1:9" x14ac:dyDescent="0.25">
      <c r="A5" s="38"/>
      <c r="B5" s="35"/>
      <c r="C5" s="36"/>
      <c r="D5" s="36"/>
      <c r="E5" s="37"/>
      <c r="F5" s="37"/>
      <c r="G5" s="5" t="s">
        <v>164</v>
      </c>
      <c r="H5" s="16">
        <v>0.64</v>
      </c>
      <c r="I5" s="17">
        <f t="shared" si="0"/>
        <v>0.64</v>
      </c>
    </row>
    <row r="6" spans="1:9" x14ac:dyDescent="0.25">
      <c r="A6" s="38"/>
      <c r="B6" s="35"/>
      <c r="C6" s="36"/>
      <c r="D6" s="36"/>
      <c r="E6" s="37"/>
      <c r="F6" s="37"/>
      <c r="G6" s="5" t="s">
        <v>165</v>
      </c>
      <c r="H6" s="16">
        <v>0.69</v>
      </c>
      <c r="I6" s="17">
        <f t="shared" si="0"/>
        <v>0.69</v>
      </c>
    </row>
    <row r="7" spans="1:9" x14ac:dyDescent="0.25">
      <c r="A7" s="38"/>
      <c r="B7" s="35"/>
      <c r="C7" s="36"/>
      <c r="D7" s="36"/>
      <c r="E7" s="37"/>
      <c r="F7" s="37"/>
      <c r="G7" s="5" t="s">
        <v>166</v>
      </c>
      <c r="H7" s="16">
        <v>0.67</v>
      </c>
      <c r="I7" s="17">
        <f t="shared" si="0"/>
        <v>0.67</v>
      </c>
    </row>
    <row r="8" spans="1:9" x14ac:dyDescent="0.25">
      <c r="A8" s="38"/>
      <c r="B8" s="35"/>
      <c r="C8" s="36"/>
      <c r="D8" s="36"/>
      <c r="E8" s="37"/>
      <c r="F8" s="37"/>
      <c r="G8" s="5" t="s">
        <v>113</v>
      </c>
      <c r="H8" s="16">
        <v>3.39</v>
      </c>
      <c r="I8" s="17" t="str">
        <f t="shared" si="0"/>
        <v>Descartado</v>
      </c>
    </row>
    <row r="9" spans="1:9" x14ac:dyDescent="0.25">
      <c r="A9" s="38"/>
      <c r="B9" s="35"/>
      <c r="C9" s="36"/>
      <c r="D9" s="36"/>
      <c r="E9" s="37"/>
      <c r="F9" s="37"/>
      <c r="G9" s="5" t="s">
        <v>167</v>
      </c>
      <c r="H9" s="16">
        <v>0.7</v>
      </c>
      <c r="I9" s="17">
        <f t="shared" si="0"/>
        <v>0.7</v>
      </c>
    </row>
    <row r="10" spans="1:9" x14ac:dyDescent="0.25">
      <c r="A10" s="38"/>
      <c r="B10" s="35"/>
      <c r="C10" s="36"/>
      <c r="D10" s="36"/>
      <c r="E10" s="37"/>
      <c r="F10" s="37"/>
      <c r="G10" s="5" t="s">
        <v>168</v>
      </c>
      <c r="H10" s="16">
        <v>0.71</v>
      </c>
      <c r="I10" s="17">
        <f t="shared" si="0"/>
        <v>0.71</v>
      </c>
    </row>
    <row r="11" spans="1:9" x14ac:dyDescent="0.25">
      <c r="A11" s="38"/>
      <c r="B11" s="35"/>
      <c r="C11" s="36"/>
      <c r="D11" s="36"/>
      <c r="E11" s="37"/>
      <c r="F11" s="37"/>
      <c r="G11" s="5" t="s">
        <v>169</v>
      </c>
      <c r="H11" s="16">
        <v>0.42</v>
      </c>
      <c r="I11" s="17">
        <f t="shared" si="0"/>
        <v>0.42</v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0.94250257883525757</v>
      </c>
      <c r="B20" s="8">
        <f>COUNT(H3:H17)</f>
        <v>9</v>
      </c>
      <c r="C20" s="9">
        <f>IF(B20&lt;2,"n/a",(A20/D20))</f>
        <v>0.81250222313384279</v>
      </c>
      <c r="D20" s="10">
        <f>IFERROR(ROUND(AVERAGE(H3:H17),2),"")</f>
        <v>1.1599999999999999</v>
      </c>
      <c r="E20" s="15">
        <f>IFERROR(ROUND(IF(B20&lt;2,"n/a",(IF(C20&lt;=25%,"n/a",AVERAGE(I3:I17)))),2),"n/a")</f>
        <v>0.88</v>
      </c>
      <c r="F20" s="10">
        <f>IFERROR(ROUND(MEDIAN(H3:H17),2),"")</f>
        <v>0.7</v>
      </c>
      <c r="G20" s="11" t="str">
        <f>IFERROR(INDEX(G3:G17,MATCH(H20,H3:H17,0)),"")</f>
        <v>RBX XAVIER COMERCIO E SERVICOS DE INFORMATICA LTDA</v>
      </c>
      <c r="H20" s="12">
        <f>F3</f>
        <v>0.42</v>
      </c>
    </row>
    <row r="22" spans="1:9" x14ac:dyDescent="0.25">
      <c r="G22" s="13" t="s">
        <v>20</v>
      </c>
      <c r="H22" s="14">
        <f>IF(C20&lt;=25%,D20,MIN(E20:F20))</f>
        <v>0.7</v>
      </c>
    </row>
    <row r="23" spans="1:9" x14ac:dyDescent="0.25">
      <c r="G23" s="13" t="s">
        <v>6</v>
      </c>
      <c r="H23" s="14">
        <f>ROUND(H22,2)*D3</f>
        <v>875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28</vt:i4>
      </vt:variant>
      <vt:variant>
        <vt:lpstr>Intervalos nomeados</vt:lpstr>
      </vt:variant>
      <vt:variant>
        <vt:i4>2</vt:i4>
      </vt:variant>
    </vt:vector>
  </HeadingPairs>
  <TitlesOfParts>
    <vt:vector size="30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2024-01-17T18:55:53Z</cp:lastPrinted>
  <dcterms:created xsi:type="dcterms:W3CDTF">2023-11-07T17:10:34Z</dcterms:created>
  <dcterms:modified xsi:type="dcterms:W3CDTF">2025-04-11T13:36:20Z</dcterms:modified>
</cp:coreProperties>
</file>