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10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state="hidden" r:id="rId12"/>
    <sheet name="Item13" sheetId="15" state="hidden" r:id="rId13"/>
    <sheet name="Item14" sheetId="16" state="hidden" r:id="rId14"/>
    <sheet name="Item15" sheetId="17" state="hidden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Item21" sheetId="24" state="hidden" r:id="rId21"/>
    <sheet name="Item22" sheetId="25" state="hidden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total" sheetId="23" r:id="rId28"/>
  </sheets>
  <definedNames>
    <definedName name="_xlnm.Print_Area" localSheetId="27">total!$A$1:$G$16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18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3" i="9" s="1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C20" i="10"/>
  <c r="I13" i="9"/>
  <c r="I9" i="9"/>
  <c r="I15" i="9"/>
  <c r="I15" i="7"/>
  <c r="I10" i="9"/>
  <c r="I17" i="7"/>
  <c r="I11" i="9"/>
  <c r="I17" i="9"/>
  <c r="I14" i="6"/>
  <c r="I17" i="6"/>
  <c r="I12" i="5"/>
  <c r="I17" i="5"/>
  <c r="I14" i="5"/>
  <c r="A20" i="4"/>
  <c r="C20" i="4" s="1"/>
  <c r="C20" i="1"/>
  <c r="I7" i="8" l="1"/>
  <c r="I7" i="9"/>
  <c r="I5" i="9"/>
  <c r="I16" i="6"/>
  <c r="I15" i="6"/>
  <c r="I7" i="6"/>
  <c r="I12" i="6"/>
  <c r="I6" i="6"/>
  <c r="I3" i="6"/>
  <c r="I5" i="6"/>
  <c r="I15" i="5"/>
  <c r="I16" i="5"/>
  <c r="I11" i="5"/>
  <c r="I13" i="5"/>
  <c r="I12" i="9"/>
  <c r="I8" i="9"/>
  <c r="I8" i="5"/>
  <c r="I6" i="16"/>
  <c r="E20" i="14"/>
  <c r="E3" i="14" s="1"/>
  <c r="I6" i="9"/>
  <c r="E20" i="24"/>
  <c r="E3" i="24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E20" i="9" s="1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2" l="1"/>
  <c r="E3" i="12" s="1"/>
  <c r="F12" i="23" s="1"/>
  <c r="G12" i="23" s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F23" i="23" s="1"/>
  <c r="E20" i="5"/>
  <c r="E3" i="5" s="1"/>
  <c r="F5" i="23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F13" i="23" s="1"/>
  <c r="G13" i="23" s="1"/>
  <c r="E20" i="11"/>
  <c r="H22" i="11" s="1"/>
  <c r="H23" i="11" s="1"/>
  <c r="E20" i="10"/>
  <c r="H22" i="10" s="1"/>
  <c r="H23" i="10" s="1"/>
  <c r="E3" i="9"/>
  <c r="F9" i="23" s="1"/>
  <c r="G9" i="23" s="1"/>
  <c r="E20" i="7"/>
  <c r="E20" i="4"/>
  <c r="E3" i="4" s="1"/>
  <c r="F4" i="23" s="1"/>
  <c r="G4" i="23" s="1"/>
  <c r="E20" i="17"/>
  <c r="E20" i="1"/>
  <c r="H22" i="12" l="1"/>
  <c r="H23" i="12" s="1"/>
  <c r="E3" i="6"/>
  <c r="F6" i="23" s="1"/>
  <c r="G6" i="23" s="1"/>
  <c r="E3" i="20"/>
  <c r="E3" i="8"/>
  <c r="F8" i="23" s="1"/>
  <c r="G8" i="23" s="1"/>
  <c r="F22" i="23"/>
  <c r="E3" i="21"/>
  <c r="E3" i="19"/>
  <c r="E3" i="15"/>
  <c r="H22" i="13"/>
  <c r="H23" i="13" s="1"/>
  <c r="E3" i="10"/>
  <c r="F10" i="23" s="1"/>
  <c r="G10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E3" i="17"/>
  <c r="E3" i="1"/>
  <c r="F3" i="23" s="1"/>
  <c r="G3" i="23" s="1"/>
  <c r="H22" i="1"/>
  <c r="H23" i="1" s="1"/>
  <c r="F21" i="23" l="1"/>
  <c r="F20" i="23"/>
  <c r="F16" i="23"/>
</calcChain>
</file>

<file path=xl/sharedStrings.xml><?xml version="1.0" encoding="utf-8"?>
<sst xmlns="http://schemas.openxmlformats.org/spreadsheetml/2006/main" count="912" uniqueCount="178">
  <si>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</si>
  <si>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</si>
  <si>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</si>
  <si>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</si>
  <si>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</si>
  <si>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</si>
  <si>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</si>
  <si>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</si>
  <si>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</si>
  <si>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</si>
  <si>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</si>
  <si>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</si>
  <si>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</si>
  <si>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</si>
  <si>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</si>
  <si>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</si>
  <si>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</si>
  <si>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</si>
  <si>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</si>
  <si>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</si>
  <si>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</si>
  <si>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</si>
  <si>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</si>
  <si>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</si>
  <si>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</si>
  <si>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</si>
  <si>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</si>
  <si>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</si>
  <si>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</si>
  <si>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</si>
  <si>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</si>
  <si>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</si>
  <si>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</si>
  <si>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</si>
  <si>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</si>
  <si>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</si>
  <si>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</si>
  <si>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</si>
  <si>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</si>
  <si>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</si>
  <si>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</si>
  <si>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</si>
  <si>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</si>
  <si>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</si>
  <si>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</si>
  <si>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</si>
  <si>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</si>
  <si>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</si>
  <si>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</si>
  <si>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</si>
  <si>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</si>
  <si>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</si>
  <si>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</si>
  <si>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</si>
  <si>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</si>
  <si>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</si>
  <si>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</si>
  <si>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</si>
  <si>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</si>
  <si>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</si>
  <si>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</si>
  <si>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</si>
  <si>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</si>
  <si>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</si>
  <si>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</si>
  <si>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</si>
  <si>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</si>
  <si>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</si>
  <si>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</si>
  <si>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</si>
  <si>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</si>
  <si>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</si>
  <si>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</si>
  <si>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</si>
  <si>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</si>
  <si>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</si>
  <si>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</si>
  <si>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</si>
  <si>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</si>
  <si>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</si>
  <si>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</si>
  <si>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</si>
  <si>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</si>
  <si>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</si>
  <si>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</si>
  <si>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</si>
  <si>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</si>
  <si>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</si>
  <si>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</si>
  <si>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</si>
  <si>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</si>
  <si>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</si>
  <si>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</si>
  <si>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TECNO2000 INDÚSTRIA E COMÉRCIO LTDA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</si>
  <si>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</si>
  <si>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</si>
  <si>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</si>
  <si>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</si>
  <si>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 xml:space="preserve">Lâmpada LED Tubular
Especificações técnicas:
· Tecnologia LED
· Tipo T8
· Comprimento: 120 cm
· Potência de 18W
· Base G13
· Tensão de alimentação 127/220V
· Fluxo luminoso mínimo de 1.800lm
· Luz branca (temperatura de cor 6000- 6500K)
· Vida útil estimada igual ou maior que 25.000 horas,
· Certificada pelo Inmetro.
Marcas de referência: Osram, Phillips ou similar. </t>
  </si>
  <si>
    <t>Lâmpada LED Bulbo
Especificações técnicas:
· Tecnologia LED
· Rosca padrão E-27 (rosca comum)
· Bivolt automática (100V a 240V/60Hz)
· Fluxo luminoso mínimo de 1.600 lúmens
· Potência nominal de 16W (ou potência comercial equivalente entre 15W e 17W, desde que atenda aos demais critérios técnicos, especialmente o fluxo luminoso mínimo)
· Temperatura de cor entre 6.000 K e 6.500 K (branco frio)
· Vida útil estimada igual ou maior que 25.000 horas
· Deve possuir selo do INMETRO, conforme legislação vigente.
Marca: Osram, Phillips ou similar.</t>
  </si>
  <si>
    <t>Lâmpada LED Bulbo
Especificações técnicas:
· Tecnologia LED
· Rosca padrão E-27 (rosca comum)
· Bivolt automática (100V a 240V/60Hz)
· Fluxo luminoso mínimo de 4.000 lúmens
· Potência nominal de 40W (ou potência comercial equivalente entre 30W e 40W, desde que atenda aos demais critérios técnicos, especialmente o fluxo luminoso mínimo)
· Temperatura de cor entre 6.000 K e 6.500 K (branco frio)
· Vida útil estimada igual ou maior que 25.000 horas
· Deve possuir selo do INMETRO, conforme legislação vigente.
Marca: Osram, Phillips ou similar.</t>
  </si>
  <si>
    <t>Patch Panel de Categoria 6
Especificações técnicas:
· O produto deve atender os requisitos estabelecidos nas normas para Categoria6/ Classe E;
· 24 posições RJ-45;
· Corpo fabricado em termoplástico de alto impacto não propagante a chama (UL 94V-0);
· Painel frontal em plástico com porta etiquetas para identificação;
· Possibilidade de crimpagem T568A ou T568B
· Deve possuir uma guia traseira feita em termoplástico para organizar os cabos
· Instalação em rack 19";
· Normas: EIA/TIA-569; ISO/IEC 11801; NBR 14565; ANSI/TIA-606.
· Garantia do Fabricante: 12 meses.
· Marcas de referência: FURUKAWA, NEXANS, FAG ou similar.</t>
  </si>
  <si>
    <t>Patch Panel de Categoria 5E
Especificações técnicas:
· O produto deve atender os requisitos estabelecidos nas normas para Categoria 5e;
· 24 posições RJ-45;
· Corpo fabricado em termoplástico de alto impacto não propagante a chama (UL 94V-0);
· Painel frontal em plástico com porta etiquetas para identificação;
· Possibilidade de crimpagem T568A ou T568B
· Deve possuir uma guia traseira feita em termoplástico para organizar os cabos
· Instalação em rack 19";
· Normas: EIA/TIA-569; ISO/IEC 11801; NBR 14565; ANSI/TIA-606.
· Garantia do Fabricante: 12 meses.
Marcas de referência: FURUKAWA, NEXANS, FAG ou similar.</t>
  </si>
  <si>
    <t>Bandeja Metálica Fixa P/ Rack 19", 1U X 500 mm
Especificações técnicas:
· Bandeja metálica fixa para instalação em racks padrão 19”, conforme especificações da norma EIA-310
· Profundidade de 500 mm
· Altura de 1U (aproximadamente 44,45 mm)
· Fabricada em aço carbono, com espessura mínima de 1,2 mm, tratado com processo anticorrosivo
· Pintura eletrostática na cor preta (fosco ou texturizado), resistente à abrasão e oxidação;
· Fixação por 4 (quatro) parafusos ou pontos de apoio, distribuídos lateralmente para encaixe direto nos trilhos do rack;
· Bandeja com furos ou ranhuras de ventilação (tipo slot ou perfurado) para favorecer a dissipação de calor e passagem de cabos;
· Deve suportar carga mínima de 20 kg, uniformemente distribuída;
· Deve acompanhar kit de instalação completo contendo, no mínimo, 4 parafusos, 4 porcas gaiola (rosca M5 ou M6) e arruelas (se necessário).
Marcas de referência: Gforce, Max Eletron, SOLLAN ou similar.</t>
  </si>
  <si>
    <t>Régua de tomadas de energia para montagem em rack
Especificações técnicas:
· Régua de tomadas elétrica para montagem horizontal em rack padrão 19”, com 1U de altura.
· Altura: 1U (aproximadamente 44,45 mm)
· Largura compatível com montagem frontal em racks de 19", conforme norma EIA-310-D
· Profundidade: variável, de acordo com o modelo, desde que compatível com instalação frontal
· Número de tomadas: 12 (doze) saídas/pontos do tipo 2P + T (dois polos + terra), padrão NBR 14136 (tomada tripolar brasileira)
· Tomadas fêmea padrão NBR 14136, horizontais ou inclinadas, com espaçamento adequado para conexão simultânea
· Corrente nominal de 10 A por tomada (mínimo), com capacidade total de carga de no mínimo 10 A.
· Tensão de operação Bivolt automático (127V a 220V, 50/60 Hz)
· Comprimento mínimo da tomada de 1,5 m, cabo PP ou equivalente com certificação, plugue macho tripolar, 10 A, padrão NBR 14136
· Possuir fusível ou disjuntor rearmável ou substituível, de fácil acesso
· Gabinete metálico ou em termoplástico de alta resistência, na cor preta ou cinza, com pintura eletrostática (em caso de estrutura metálica)
Marca: Gforce, IPEC, AMPLANET ou similar.</t>
  </si>
  <si>
    <t>Patch cord CAT-5E
Especificações técnicas:
· Tipo: Patch cord certificado de par trançado, Categoria 5e
· Comprimento: 2,5 metros
· Condutor: 100% cobre
· Bitola dos condutores: 24 AWG
· Tipo de cabo: UTP (Unshielded Twisted Pair – Par trançado sem blindagem)
· Conectores: RJ-45 padrão, com capa de proteção antiestresse (boot moldado)
· Padrão de montagem: T568A ou T568B, com ambos os lados iguais
· Cor: Azul
· Frequência de operação: mínimo de 100 MHz
· Suporte a velocidades de até 1 Gbps (Gigabit Ethernet)
· Compatível com os padrões ANSI/TIA-568-C.2 e ISO/IEC 11801</t>
  </si>
  <si>
    <t>Patch cord CAT-5E
Especificações técnicas:
· Tipo: Patch cord certificado de par trançado, Categoria 5e
· Comprimento: 5 metros
· Condutor: 100% cobre
· Bitola dos condutores: 24 AWG
· Tipo de cabo: UTP (Unshielded Twisted Pair – Par trançado sem blindagem)
· Conectores: RJ-45 padrão, com capa de proteção antiestresse (boot moldado)
· Padrão de montagem: T568A ou T568B, com ambos os lados iguais
· Cor: Azul
· Frequência de operação: mínimo de 100 MHz
· Suporte a velocidades de até 1 Gbps (Gigabit Ethernet)
· Compatível com os padrões ANSI/TIA-568-C.2 e ISO/IEC 11801</t>
  </si>
  <si>
    <t>Patch cord CAT-6
Especificações técnicas:
· Tipo: Patch cord certificado de par trançado, Categoria 6
· Comprimento: 2,5 metros
· Condutor: 100% cobre
· Bitola dos condutores: 24 AWG ou superior
· Tipo de cabo: UTP (Unshielded Twisted Pair)
· Conectores: RJ-45 padrão, com capa de proteção antiestresse (boot moldado)
· Padrão de montagem: T568A ou T568B, com ambos os lados iguais
· Cor: Azul
· Frequência de operação: mínimo de 250 MHz
· Suporte a velocidades de até 1 Gbps (compatível com 10/100/1000 Mbps Ethernet)
· Compatível com os padrões ANSI/TIA-568-C.2 e ISO/IEC 11801</t>
  </si>
  <si>
    <t>Patch cord CAT-6
Especificações técnicas:
· Tipo: Patch cord certificado de par trançado, Categoria 6
· Comprimento: 5 metros
· Condutor: 100% cobre
· Bitola dos condutores: 24 AWG ou superior
· Tipo de cabo: UTP (Unshielded Twisted Pair)
· Conectores: RJ-45 padrão, com capa de proteção antiestresse (boot moldado)
· Padrão de montagem: T568A ou T568B, com ambos os lados iguais
· Cor: Azul
· Frequência de operação: mínimo de 250 MHz
· Suporte a velocidades de até 1 Gbps (compatível com 10/100/1000 Mbps Ethernet)
· Compatível com os padrões ANSI/TIA-568-C.2 e ISO/IEC 11801</t>
  </si>
  <si>
    <t>n/a</t>
  </si>
  <si>
    <t>ATIATI SOLUCOES INTEGRADAS LTDA</t>
  </si>
  <si>
    <t>J. J. VITALLI</t>
  </si>
  <si>
    <t>QUALITY COMERCIO DE MATERIAIS ELETRICOS E HIDRAULICOS LTDA</t>
  </si>
  <si>
    <t>49.387.926 ANA LUCIA GERMANO SILVA</t>
  </si>
  <si>
    <t>BIDD PRIME COMPANY LTDA</t>
  </si>
  <si>
    <t>CONNEXAO ELETRICA, HIDRAULICA E INFORMATICA LTDA</t>
  </si>
  <si>
    <t>RLUX ILUMINACAO LTDA</t>
  </si>
  <si>
    <t>LAIS G DE SOUSA LTDA</t>
  </si>
  <si>
    <t>GCM COMERCIAL LTDA</t>
  </si>
  <si>
    <t>TRIUNFO ILUMINACAO LTDA</t>
  </si>
  <si>
    <t>JFL SOLUCOES LTDA</t>
  </si>
  <si>
    <t>EDUARDO DO VALE</t>
  </si>
  <si>
    <t>DEBORA EDUARDA GOMES DA SILVA</t>
  </si>
  <si>
    <t>RGB COMERCIO E SERVICOS LTDA</t>
  </si>
  <si>
    <t>MARLENE DOS SANTOS NEVES 09114808706</t>
  </si>
  <si>
    <t>C.R.M. MULTIELETRICA MATERIAIS ELETRICOS - LTDA</t>
  </si>
  <si>
    <t>FENIX COMERCIO E CONSTRUCOES LTDA</t>
  </si>
  <si>
    <t>PIX LED COMERCIO E IMPORTACAO E EXPORTACAO LTDA</t>
  </si>
  <si>
    <t>GENTILEZA COMERCIO DE MATERIAIS E SERVICOS LTDA</t>
  </si>
  <si>
    <t>M LICITACOES LTDA</t>
  </si>
  <si>
    <t>SUL.COM ATACADO E VAREJO LTDA</t>
  </si>
  <si>
    <t>VOGLIO IMPORTADORA, EXPORTADORA E REPRESENTACOES LTDA.</t>
  </si>
  <si>
    <t>ELETRO ELETRONICA SANTOS MAIA LTDA</t>
  </si>
  <si>
    <t>QUALITY LUX COMERCIO E INDUSTRIA DE MATERIAIS ELETRICOS E ILUMINACAO LTDA</t>
  </si>
  <si>
    <t>MASTERFER COMERCIO DE FERRAGENS LTDA</t>
  </si>
  <si>
    <t>PRIME COMERCIO E LICITACOES LTDA</t>
  </si>
  <si>
    <t>CENTRAL SUPRIMENTOS LTDA</t>
  </si>
  <si>
    <t>MANPARTS DISTRIBUIDORA COMERCIO E SERVICOS LTDA</t>
  </si>
  <si>
    <t>COMPUSET INFORMATICA LTDA</t>
  </si>
  <si>
    <t>VOLTELE CONECTA LTDA</t>
  </si>
  <si>
    <t>VITOR ALFREDO THOMAS LTDA</t>
  </si>
  <si>
    <t>TELCABOS TELECOMUNICACOES E INFORMATICA LTDA</t>
  </si>
  <si>
    <t>VIRTUAL FONE SISTEMAS DE SEGURANCA E COMUNICACAO LTDA</t>
  </si>
  <si>
    <t>IDEALNET PRODUTOS ELETRONICOS E TELEINFORMATICA LTDA</t>
  </si>
  <si>
    <t>JEISON LILLA</t>
  </si>
  <si>
    <t>UNNIT SOLUCOES TECNOLOGICAS LTDA</t>
  </si>
  <si>
    <t>TECNO COM INFORMATICA LTDA</t>
  </si>
  <si>
    <t>37.400.911 JOEL SILVA GOMES</t>
  </si>
  <si>
    <t>ELLEENE O DE LIMA ME LTDA</t>
  </si>
  <si>
    <t>DECIO CAMARGO - PRODUTOS E EQUIPAMENTOS LABORATORIAIS LTDA.</t>
  </si>
  <si>
    <t>N MARCHON OLIVEIRA COMERCIO ONLINE LTDA</t>
  </si>
  <si>
    <t>41.066.679 MATHEUS HENRIQUE SILVA DE MORAIS</t>
  </si>
  <si>
    <t>I.R. COMERCIO E MATERIAIS ELETRICOS LTDA</t>
  </si>
  <si>
    <t>LLST COMERCIO DE MATERIAIS ELETRICOS LTDA</t>
  </si>
  <si>
    <t>LOX COMERCIO E SERVICOS LTDA</t>
  </si>
  <si>
    <t>IVANETE APARECIDA MIRANDA</t>
  </si>
  <si>
    <t>ULTRA MAX COMERCIAL LTDA</t>
  </si>
  <si>
    <t>EXATA CONECTIVIDADE LTDA</t>
  </si>
  <si>
    <t>NIVA TECNOLOGIA DA INFORMACAO LTDA</t>
  </si>
  <si>
    <t>M. ALCIONE DOS SANTOS GONCALVES</t>
  </si>
  <si>
    <t>EXCELLENCE42 C&amp;T LTDA</t>
  </si>
  <si>
    <t>AWI INFORMATICA LTDA</t>
  </si>
  <si>
    <t>SECCON INDUSTRIA COMERCIO LTDA.</t>
  </si>
  <si>
    <t>COMERCIAL JANDAIA LTDA</t>
  </si>
  <si>
    <t>QUALITY ATACADO LTDA</t>
  </si>
  <si>
    <t>LICITEPRO SOLUCOES GOVERNAMENTAIS LTDA</t>
  </si>
  <si>
    <t>OLIVEIRA &amp; ALMEIDA INFORMATICA LTDA</t>
  </si>
  <si>
    <t>REAL CENTER MATERIAIS DE CONSTRUCAO LTDA</t>
  </si>
  <si>
    <t>VIP IMPORTACAO E COMERCIO DE PRODUTOS LTDA</t>
  </si>
  <si>
    <t>DOMINI TELECOM LTDA</t>
  </si>
  <si>
    <t>33.279.320 GABRIEL FERREIRA XAVIER</t>
  </si>
  <si>
    <t>GWC INDUSTRIA, IMPORTACAO E DISTRIBUICAO DE ELETRONICOS LTDA</t>
  </si>
  <si>
    <t>A2M COMERCIO E SERVICOS LTDA</t>
  </si>
  <si>
    <t>CENTRAL CABOS</t>
  </si>
  <si>
    <t>KABUM</t>
  </si>
  <si>
    <t>WONDER CABOS</t>
  </si>
  <si>
    <t>KALUNGA</t>
  </si>
  <si>
    <t>PJ NEBLINA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</si>
</sst>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</v>
      </c>
      <c r="B3" s="34" t="s">
        <v>98</v>
      </c>
      <c r="C3" s="36" t="s">
        <v>7</v>
      </c>
      <c r="D3" s="36">
        <v>500</v>
      </c>
      <c r="E3" s="37">
        <f>IF(C20&lt;=25%,D20,MIN(E20:F20))</f>
        <v>6.18</v>
      </c>
      <c r="F3" s="37">
        <f>MIN(H3:H17)</f>
        <v>4.62</v>
      </c>
      <c r="G3" s="5" t="s">
        <v>110</v>
      </c>
      <c r="H3" s="16">
        <v>7.96</v>
      </c>
      <c r="I3" s="17">
        <f>IF(H3="","",(IF($C$20&lt;25%,"n/a",IF(H3&lt;=($D$20+$A$20),H3,"Descartado"))))</f>
        <v>7.96</v>
      </c>
    </row>
    <row r="4" spans="1:9" x14ac:dyDescent="0.25">
      <c r="A4" s="38"/>
      <c r="B4" s="35"/>
      <c r="C4" s="36"/>
      <c r="D4" s="36"/>
      <c r="E4" s="37"/>
      <c r="F4" s="37"/>
      <c r="G4" s="5" t="s">
        <v>111</v>
      </c>
      <c r="H4" s="16">
        <v>6.19</v>
      </c>
      <c r="I4" s="17">
        <f t="shared" ref="I4:I17" si="0">IF(H4="","",(IF($C$20&lt;25%,"n/a",IF(H4&lt;=($D$20+$A$20),H4,"Descartado"))))</f>
        <v>6.19</v>
      </c>
    </row>
    <row r="5" spans="1:9" x14ac:dyDescent="0.25">
      <c r="A5" s="38"/>
      <c r="B5" s="35"/>
      <c r="C5" s="36"/>
      <c r="D5" s="36"/>
      <c r="E5" s="37"/>
      <c r="F5" s="37"/>
      <c r="G5" s="5" t="s">
        <v>112</v>
      </c>
      <c r="H5" s="16">
        <v>10.25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113</v>
      </c>
      <c r="H6" s="16">
        <v>8.8000000000000007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 t="s">
        <v>114</v>
      </c>
      <c r="H7" s="16">
        <v>4.62</v>
      </c>
      <c r="I7" s="17">
        <f t="shared" si="0"/>
        <v>4.62</v>
      </c>
    </row>
    <row r="8" spans="1:9" x14ac:dyDescent="0.25">
      <c r="A8" s="38"/>
      <c r="B8" s="35"/>
      <c r="C8" s="36"/>
      <c r="D8" s="36"/>
      <c r="E8" s="37"/>
      <c r="F8" s="37"/>
      <c r="G8" s="5" t="s">
        <v>115</v>
      </c>
      <c r="H8" s="16">
        <v>5.25</v>
      </c>
      <c r="I8" s="17">
        <f t="shared" si="0"/>
        <v>5.25</v>
      </c>
    </row>
    <row r="9" spans="1:9" x14ac:dyDescent="0.25">
      <c r="A9" s="38"/>
      <c r="B9" s="35"/>
      <c r="C9" s="36"/>
      <c r="D9" s="36"/>
      <c r="E9" s="37"/>
      <c r="F9" s="37"/>
      <c r="G9" s="5" t="s">
        <v>116</v>
      </c>
      <c r="H9" s="16">
        <v>6</v>
      </c>
      <c r="I9" s="17">
        <f t="shared" si="0"/>
        <v>6</v>
      </c>
    </row>
    <row r="10" spans="1:9" x14ac:dyDescent="0.25">
      <c r="A10" s="38"/>
      <c r="B10" s="35"/>
      <c r="C10" s="36"/>
      <c r="D10" s="36"/>
      <c r="E10" s="37"/>
      <c r="F10" s="37"/>
      <c r="G10" s="5" t="s">
        <v>117</v>
      </c>
      <c r="H10" s="16">
        <v>7.6</v>
      </c>
      <c r="I10" s="17">
        <f t="shared" si="0"/>
        <v>7.6</v>
      </c>
    </row>
    <row r="11" spans="1:9" x14ac:dyDescent="0.25">
      <c r="A11" s="38"/>
      <c r="B11" s="35"/>
      <c r="C11" s="36"/>
      <c r="D11" s="36"/>
      <c r="E11" s="37"/>
      <c r="F11" s="37"/>
      <c r="G11" s="5" t="s">
        <v>118</v>
      </c>
      <c r="H11" s="16">
        <v>6.08</v>
      </c>
      <c r="I11" s="17">
        <f t="shared" si="0"/>
        <v>6.08</v>
      </c>
    </row>
    <row r="12" spans="1:9" x14ac:dyDescent="0.25">
      <c r="A12" s="38"/>
      <c r="B12" s="35"/>
      <c r="C12" s="36"/>
      <c r="D12" s="36"/>
      <c r="E12" s="37"/>
      <c r="F12" s="37"/>
      <c r="G12" s="5" t="s">
        <v>119</v>
      </c>
      <c r="H12" s="16">
        <v>6.88</v>
      </c>
      <c r="I12" s="17">
        <f t="shared" si="0"/>
        <v>6.88</v>
      </c>
    </row>
    <row r="13" spans="1:9" x14ac:dyDescent="0.25">
      <c r="A13" s="38"/>
      <c r="B13" s="35"/>
      <c r="C13" s="36"/>
      <c r="D13" s="36"/>
      <c r="E13" s="37"/>
      <c r="F13" s="37"/>
      <c r="G13" s="5" t="s">
        <v>120</v>
      </c>
      <c r="H13" s="16">
        <v>5</v>
      </c>
      <c r="I13" s="17">
        <f t="shared" si="0"/>
        <v>5</v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1.7267678688020818</v>
      </c>
      <c r="B20" s="8">
        <f>COUNT(H3:H17)</f>
        <v>11</v>
      </c>
      <c r="C20" s="9">
        <f>IF(B20&lt;2,"n/a",(A20/D20))</f>
        <v>0.25468552637198844</v>
      </c>
      <c r="D20" s="10">
        <f>IFERROR(ROUND(AVERAGE(H3:H17),2),"")</f>
        <v>6.78</v>
      </c>
      <c r="E20" s="15">
        <f>IFERROR(ROUND(IF(B20&lt;2,"n/a",(IF(C20&lt;=25%,"n/a",AVERAGE(I3:I17)))),2),"n/a")</f>
        <v>6.18</v>
      </c>
      <c r="F20" s="10">
        <f>IFERROR(ROUND(MEDIAN(H3:H17),2),"")</f>
        <v>6.19</v>
      </c>
      <c r="G20" s="11" t="str">
        <f>IFERROR(INDEX(G3:G17,MATCH(H20,H3:H17,0)),"")</f>
        <v>BIDD PRIME COMPANY LTDA</v>
      </c>
      <c r="H20" s="12">
        <f>F3</f>
        <v>4.62</v>
      </c>
    </row>
    <row r="22" spans="1:9" x14ac:dyDescent="0.25">
      <c r="G22" s="13" t="s">
        <v>20</v>
      </c>
      <c r="H22" s="14">
        <f>IF(C20&lt;=25%,D20,MIN(E20:F20))</f>
        <v>6.18</v>
      </c>
    </row>
    <row r="23" spans="1:9" x14ac:dyDescent="0.25">
      <c r="G23" s="13" t="s">
        <v>6</v>
      </c>
      <c r="H23" s="14">
        <f>ROUND(H22,2)*D3</f>
        <v>3090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10</v>
      </c>
      <c r="B3" s="34" t="s">
        <v>107</v>
      </c>
      <c r="C3" s="36" t="s">
        <v>7</v>
      </c>
      <c r="D3" s="36">
        <v>400</v>
      </c>
      <c r="E3" s="37">
        <f>IF(C20&lt;=25%,D20,MIN(E20:F20))</f>
        <v>12.81</v>
      </c>
      <c r="F3" s="37">
        <f>MIN(H3:H17)</f>
        <v>8.89</v>
      </c>
      <c r="G3" s="5" t="s">
        <v>165</v>
      </c>
      <c r="H3" s="16">
        <v>13.3</v>
      </c>
      <c r="I3" s="17">
        <f>IF(H3="","",(IF($C$20&lt;25%,"n/a",IF(H3&lt;=($D$20+$A$20),H3,"Descartado"))))</f>
        <v>13.3</v>
      </c>
    </row>
    <row r="4" spans="1:9" x14ac:dyDescent="0.25">
      <c r="A4" s="38"/>
      <c r="B4" s="35"/>
      <c r="C4" s="36"/>
      <c r="D4" s="36"/>
      <c r="E4" s="37"/>
      <c r="F4" s="37"/>
      <c r="G4" s="5" t="s">
        <v>166</v>
      </c>
      <c r="H4" s="16">
        <v>8.89</v>
      </c>
      <c r="I4" s="17">
        <f t="shared" ref="I4:I17" si="0">IF(H4="","",(IF($C$20&lt;25%,"n/a",IF(H4&lt;=($D$20+$A$20),H4,"Descartado"))))</f>
        <v>8.89</v>
      </c>
    </row>
    <row r="5" spans="1:9" x14ac:dyDescent="0.25">
      <c r="A5" s="38"/>
      <c r="B5" s="35"/>
      <c r="C5" s="36"/>
      <c r="D5" s="36"/>
      <c r="E5" s="37"/>
      <c r="F5" s="37"/>
      <c r="G5" s="5" t="s">
        <v>167</v>
      </c>
      <c r="H5" s="16">
        <v>14.5</v>
      </c>
      <c r="I5" s="17">
        <f t="shared" si="0"/>
        <v>14.5</v>
      </c>
    </row>
    <row r="6" spans="1:9" x14ac:dyDescent="0.25">
      <c r="A6" s="38"/>
      <c r="B6" s="35"/>
      <c r="C6" s="36"/>
      <c r="D6" s="36"/>
      <c r="E6" s="37"/>
      <c r="F6" s="37"/>
      <c r="G6" s="5" t="s">
        <v>168</v>
      </c>
      <c r="H6" s="16">
        <v>24.5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 t="s">
        <v>142</v>
      </c>
      <c r="H7" s="16">
        <v>13.17</v>
      </c>
      <c r="I7" s="17">
        <f t="shared" si="0"/>
        <v>13.17</v>
      </c>
    </row>
    <row r="8" spans="1:9" x14ac:dyDescent="0.25">
      <c r="A8" s="38"/>
      <c r="B8" s="35"/>
      <c r="C8" s="36"/>
      <c r="D8" s="36"/>
      <c r="E8" s="37"/>
      <c r="F8" s="37"/>
      <c r="G8" s="5" t="s">
        <v>169</v>
      </c>
      <c r="H8" s="16">
        <v>26</v>
      </c>
      <c r="I8" s="17" t="str">
        <f t="shared" si="0"/>
        <v>Descartado</v>
      </c>
    </row>
    <row r="9" spans="1:9" x14ac:dyDescent="0.25">
      <c r="A9" s="38"/>
      <c r="B9" s="35"/>
      <c r="C9" s="36"/>
      <c r="D9" s="36"/>
      <c r="E9" s="37"/>
      <c r="F9" s="37"/>
      <c r="G9" s="5" t="s">
        <v>152</v>
      </c>
      <c r="H9" s="16">
        <v>16.88</v>
      </c>
      <c r="I9" s="17">
        <f t="shared" si="0"/>
        <v>16.88</v>
      </c>
    </row>
    <row r="10" spans="1:9" x14ac:dyDescent="0.25">
      <c r="A10" s="38"/>
      <c r="B10" s="35"/>
      <c r="C10" s="36"/>
      <c r="D10" s="36"/>
      <c r="E10" s="37"/>
      <c r="F10" s="37"/>
      <c r="G10" s="5" t="s">
        <v>147</v>
      </c>
      <c r="H10" s="16">
        <v>11</v>
      </c>
      <c r="I10" s="17">
        <f t="shared" si="0"/>
        <v>11</v>
      </c>
    </row>
    <row r="11" spans="1:9" x14ac:dyDescent="0.25">
      <c r="A11" s="38"/>
      <c r="B11" s="35"/>
      <c r="C11" s="36"/>
      <c r="D11" s="36"/>
      <c r="E11" s="37"/>
      <c r="F11" s="37"/>
      <c r="G11" s="5" t="s">
        <v>170</v>
      </c>
      <c r="H11" s="16">
        <v>11.9</v>
      </c>
      <c r="I11" s="17">
        <f t="shared" si="0"/>
        <v>11.9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5.9295856609978319</v>
      </c>
      <c r="B20" s="8">
        <f>COUNT(H3:H17)</f>
        <v>9</v>
      </c>
      <c r="C20" s="9">
        <f>IF(B20&lt;2,"n/a",(A20/D20))</f>
        <v>0.38083401804738803</v>
      </c>
      <c r="D20" s="10">
        <f>IFERROR(ROUND(AVERAGE(H3:H17),2),"")</f>
        <v>15.57</v>
      </c>
      <c r="E20" s="15">
        <f>IFERROR(ROUND(IF(B20&lt;2,"n/a",(IF(C20&lt;=25%,"n/a",AVERAGE(I3:I17)))),2),"n/a")</f>
        <v>12.81</v>
      </c>
      <c r="F20" s="10">
        <f>IFERROR(ROUND(MEDIAN(H3:H17),2),"")</f>
        <v>13.3</v>
      </c>
      <c r="G20" s="11" t="str">
        <f>IFERROR(INDEX(G3:G17,MATCH(H20,H3:H17,0)),"")</f>
        <v>OLIVEIRA &amp; ALMEIDA INFORMATICA LTDA</v>
      </c>
      <c r="H20" s="12">
        <f>F3</f>
        <v>8.89</v>
      </c>
    </row>
    <row r="22" spans="1:9" x14ac:dyDescent="0.25">
      <c r="G22" s="13" t="s">
        <v>20</v>
      </c>
      <c r="H22" s="14">
        <f>IF(C20&lt;=25%,D20,MIN(E20:F20))</f>
        <v>12.81</v>
      </c>
    </row>
    <row r="23" spans="1:9" x14ac:dyDescent="0.25">
      <c r="G23" s="13" t="s">
        <v>6</v>
      </c>
      <c r="H23" s="14">
        <f>ROUND(H22,2)*D3</f>
        <v>5124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11</v>
      </c>
      <c r="B3" s="34" t="s">
        <v>108</v>
      </c>
      <c r="C3" s="36" t="s">
        <v>7</v>
      </c>
      <c r="D3" s="36">
        <v>400</v>
      </c>
      <c r="E3" s="37">
        <f>IF(C20&lt;=25%,D20,MIN(E20:F20))</f>
        <v>55.99</v>
      </c>
      <c r="F3" s="37">
        <f>MIN(H3:H17)</f>
        <v>40.9</v>
      </c>
      <c r="G3" s="5" t="s">
        <v>171</v>
      </c>
      <c r="H3" s="16">
        <v>699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172</v>
      </c>
      <c r="H4" s="16">
        <v>75</v>
      </c>
      <c r="I4" s="17">
        <f t="shared" ref="I4:I17" si="0">IF(H4="","",(IF($C$20&lt;25%,"n/a",IF(H4&lt;=($D$20+$A$20),H4,"Descartado"))))</f>
        <v>75</v>
      </c>
    </row>
    <row r="5" spans="1:9" x14ac:dyDescent="0.25">
      <c r="A5" s="38"/>
      <c r="B5" s="35"/>
      <c r="C5" s="36"/>
      <c r="D5" s="36"/>
      <c r="E5" s="37"/>
      <c r="F5" s="37"/>
      <c r="G5" s="5" t="s">
        <v>173</v>
      </c>
      <c r="H5" s="16">
        <v>42.75</v>
      </c>
      <c r="I5" s="17">
        <f t="shared" si="0"/>
        <v>42.75</v>
      </c>
    </row>
    <row r="6" spans="1:9" x14ac:dyDescent="0.25">
      <c r="A6" s="38"/>
      <c r="B6" s="35"/>
      <c r="C6" s="36"/>
      <c r="D6" s="36"/>
      <c r="E6" s="37"/>
      <c r="F6" s="37"/>
      <c r="G6" s="5" t="s">
        <v>174</v>
      </c>
      <c r="H6" s="16">
        <v>65.3</v>
      </c>
      <c r="I6" s="17">
        <f t="shared" si="0"/>
        <v>65.3</v>
      </c>
    </row>
    <row r="7" spans="1:9" x14ac:dyDescent="0.25">
      <c r="A7" s="38"/>
      <c r="B7" s="35"/>
      <c r="C7" s="36"/>
      <c r="D7" s="36"/>
      <c r="E7" s="37"/>
      <c r="F7" s="37"/>
      <c r="G7" s="5" t="s">
        <v>176</v>
      </c>
      <c r="H7" s="16">
        <v>40.9</v>
      </c>
      <c r="I7" s="17">
        <f t="shared" si="0"/>
        <v>40.9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287.9336390559464</v>
      </c>
      <c r="B20" s="8">
        <f>COUNT(H3:H17)</f>
        <v>5</v>
      </c>
      <c r="C20" s="9">
        <f>IF(B20&lt;2,"n/a",(A20/D20))</f>
        <v>1.5598550249523073</v>
      </c>
      <c r="D20" s="10">
        <f>IFERROR(ROUND(AVERAGE(H3:H17),2),"")</f>
        <v>184.59</v>
      </c>
      <c r="E20" s="15">
        <f>IFERROR(ROUND(IF(B20&lt;2,"n/a",(IF(C20&lt;=25%,"n/a",AVERAGE(I3:I17)))),2),"n/a")</f>
        <v>55.99</v>
      </c>
      <c r="F20" s="10">
        <f>IFERROR(ROUND(MEDIAN(H3:H17),2),"")</f>
        <v>65.3</v>
      </c>
      <c r="G20" s="11" t="str">
        <f>IFERROR(INDEX(G3:G17,MATCH(H20,H3:H17,0)),"")</f>
        <v>KALUNGA</v>
      </c>
      <c r="H20" s="12">
        <f>F3</f>
        <v>40.9</v>
      </c>
    </row>
    <row r="22" spans="1:9" x14ac:dyDescent="0.25">
      <c r="G22" s="13" t="s">
        <v>20</v>
      </c>
      <c r="H22" s="14">
        <f>IF(C20&lt;=25%,D20,MIN(E20:F20))</f>
        <v>55.99</v>
      </c>
    </row>
    <row r="23" spans="1:9" x14ac:dyDescent="0.25">
      <c r="G23" s="13" t="s">
        <v>6</v>
      </c>
      <c r="H23" s="14">
        <f>ROUND(H22,2)*D3</f>
        <v>22396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12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15</v>
      </c>
      <c r="B3" s="34" t="s">
        <v>92</v>
      </c>
      <c r="C3" s="36" t="s">
        <v>7</v>
      </c>
      <c r="D3" s="36"/>
      <c r="E3" s="37">
        <f>IF(C20&lt;=25%,D20,MIN(E20:F20))</f>
        <v>4065.18</v>
      </c>
      <c r="F3" s="37">
        <f>MIN(H3:H17)</f>
        <v>2900</v>
      </c>
      <c r="G3" s="5" t="s">
        <v>93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38"/>
      <c r="B4" s="35"/>
      <c r="C4" s="36"/>
      <c r="D4" s="36"/>
      <c r="E4" s="37"/>
      <c r="F4" s="37"/>
      <c r="G4" s="5" t="s">
        <v>94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38"/>
      <c r="B5" s="35"/>
      <c r="C5" s="36"/>
      <c r="D5" s="36"/>
      <c r="E5" s="37"/>
      <c r="F5" s="37"/>
      <c r="G5" s="5" t="s">
        <v>95</v>
      </c>
      <c r="H5" s="16">
        <v>2987.5</v>
      </c>
      <c r="I5" s="17">
        <f t="shared" si="0"/>
        <v>2987.5</v>
      </c>
    </row>
    <row r="6" spans="1:9" x14ac:dyDescent="0.25">
      <c r="A6" s="38"/>
      <c r="B6" s="35"/>
      <c r="C6" s="36"/>
      <c r="D6" s="36"/>
      <c r="E6" s="37"/>
      <c r="F6" s="37"/>
      <c r="G6" s="5" t="s">
        <v>96</v>
      </c>
      <c r="H6" s="16">
        <v>5366.52</v>
      </c>
      <c r="I6" s="17">
        <f t="shared" si="0"/>
        <v>5366.52</v>
      </c>
    </row>
    <row r="7" spans="1:9" x14ac:dyDescent="0.25">
      <c r="A7" s="38"/>
      <c r="B7" s="35"/>
      <c r="C7" s="36"/>
      <c r="D7" s="36"/>
      <c r="E7" s="37"/>
      <c r="F7" s="37"/>
      <c r="G7" s="5" t="s">
        <v>97</v>
      </c>
      <c r="H7" s="16">
        <v>5847.17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16</v>
      </c>
      <c r="B3" s="34" t="s">
        <v>55</v>
      </c>
      <c r="C3" s="36" t="s">
        <v>7</v>
      </c>
      <c r="D3" s="36">
        <v>1000</v>
      </c>
      <c r="E3" s="37">
        <f>IF(C20&lt;=25%,D20,MIN(E20:F20))</f>
        <v>4.68</v>
      </c>
      <c r="F3" s="37">
        <f>MIN(H3:H17)</f>
        <v>3.57</v>
      </c>
      <c r="G3" s="5" t="s">
        <v>65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8"/>
      <c r="B4" s="35"/>
      <c r="C4" s="36"/>
      <c r="D4" s="36"/>
      <c r="E4" s="37"/>
      <c r="F4" s="37"/>
      <c r="G4" s="5" t="s">
        <v>66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8"/>
      <c r="B5" s="35"/>
      <c r="C5" s="36"/>
      <c r="D5" s="36"/>
      <c r="E5" s="37"/>
      <c r="F5" s="37"/>
      <c r="G5" s="5" t="s">
        <v>67</v>
      </c>
      <c r="H5" s="16">
        <v>6.79</v>
      </c>
      <c r="I5" s="17">
        <f t="shared" si="0"/>
        <v>6.79</v>
      </c>
    </row>
    <row r="6" spans="1:9" x14ac:dyDescent="0.25">
      <c r="A6" s="38"/>
      <c r="B6" s="35"/>
      <c r="C6" s="36"/>
      <c r="D6" s="36"/>
      <c r="E6" s="37"/>
      <c r="F6" s="37"/>
      <c r="G6" s="5" t="s">
        <v>68</v>
      </c>
      <c r="H6" s="16">
        <v>17.46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17</v>
      </c>
      <c r="B3" s="34" t="s">
        <v>56</v>
      </c>
      <c r="C3" s="36" t="s">
        <v>57</v>
      </c>
      <c r="D3" s="36">
        <v>100</v>
      </c>
      <c r="E3" s="37">
        <f>IF(C20&lt;=25%,D20,MIN(E20:F20))</f>
        <v>112.83</v>
      </c>
      <c r="F3" s="37">
        <f>MIN(H3:H17)</f>
        <v>95.67</v>
      </c>
      <c r="G3" s="5" t="s">
        <v>69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8"/>
      <c r="B4" s="35"/>
      <c r="C4" s="36"/>
      <c r="D4" s="36"/>
      <c r="E4" s="37"/>
      <c r="F4" s="37"/>
      <c r="G4" s="5" t="s">
        <v>70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8"/>
      <c r="B5" s="35"/>
      <c r="C5" s="36"/>
      <c r="D5" s="36"/>
      <c r="E5" s="37"/>
      <c r="F5" s="37"/>
      <c r="G5" s="5" t="s">
        <v>71</v>
      </c>
      <c r="H5" s="16">
        <v>543.89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18</v>
      </c>
      <c r="B3" s="34" t="s">
        <v>58</v>
      </c>
      <c r="C3" s="36" t="s">
        <v>59</v>
      </c>
      <c r="D3" s="36">
        <v>100</v>
      </c>
      <c r="E3" s="37">
        <f>IF(C20&lt;=25%,D20,MIN(E20:F20))</f>
        <v>83.03</v>
      </c>
      <c r="F3" s="37">
        <f>MIN(H3:H17)</f>
        <v>45</v>
      </c>
      <c r="G3" s="5" t="s">
        <v>72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8"/>
      <c r="B4" s="35"/>
      <c r="C4" s="36"/>
      <c r="D4" s="36"/>
      <c r="E4" s="37"/>
      <c r="F4" s="37"/>
      <c r="G4" s="5" t="s">
        <v>73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8"/>
      <c r="B5" s="35"/>
      <c r="C5" s="36"/>
      <c r="D5" s="36"/>
      <c r="E5" s="37"/>
      <c r="F5" s="37"/>
      <c r="G5" s="5" t="s">
        <v>74</v>
      </c>
      <c r="H5" s="16">
        <v>45</v>
      </c>
      <c r="I5" s="17">
        <f t="shared" si="0"/>
        <v>45</v>
      </c>
    </row>
    <row r="6" spans="1:9" x14ac:dyDescent="0.25">
      <c r="A6" s="38"/>
      <c r="B6" s="35"/>
      <c r="C6" s="36"/>
      <c r="D6" s="36"/>
      <c r="E6" s="37"/>
      <c r="F6" s="37"/>
      <c r="G6" s="5" t="s">
        <v>75</v>
      </c>
      <c r="H6" s="16">
        <v>67.25</v>
      </c>
      <c r="I6" s="17">
        <f t="shared" si="0"/>
        <v>67.25</v>
      </c>
    </row>
    <row r="7" spans="1:9" x14ac:dyDescent="0.25">
      <c r="A7" s="38"/>
      <c r="B7" s="35"/>
      <c r="C7" s="36"/>
      <c r="D7" s="36"/>
      <c r="E7" s="37"/>
      <c r="F7" s="37"/>
      <c r="G7" s="5" t="s">
        <v>76</v>
      </c>
      <c r="H7" s="16">
        <v>91.8</v>
      </c>
      <c r="I7" s="17">
        <f t="shared" si="0"/>
        <v>91.8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19</v>
      </c>
      <c r="B3" s="34" t="s">
        <v>61</v>
      </c>
      <c r="C3" s="36" t="s">
        <v>7</v>
      </c>
      <c r="D3" s="36">
        <v>50</v>
      </c>
      <c r="E3" s="37">
        <f>IF(C20&lt;=25%,D20,MIN(E20:F20))</f>
        <v>68.7</v>
      </c>
      <c r="F3" s="37">
        <f>MIN(H3:H17)</f>
        <v>58.5</v>
      </c>
      <c r="G3" s="5" t="s">
        <v>77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79</v>
      </c>
      <c r="H5" s="16">
        <v>85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</v>
      </c>
      <c r="B3" s="34" t="s">
        <v>99</v>
      </c>
      <c r="C3" s="36" t="s">
        <v>7</v>
      </c>
      <c r="D3" s="36">
        <v>300</v>
      </c>
      <c r="E3" s="37">
        <f>IF(C20&lt;=25%,D20,MIN(E20:F20))</f>
        <v>5.55</v>
      </c>
      <c r="F3" s="37">
        <f>MIN(H3:H17)</f>
        <v>4.63</v>
      </c>
      <c r="G3" s="5" t="s">
        <v>118</v>
      </c>
      <c r="H3" s="16">
        <v>4.63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121</v>
      </c>
      <c r="H4" s="16">
        <v>5.17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122</v>
      </c>
      <c r="H5" s="16">
        <v>5.93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123</v>
      </c>
      <c r="H6" s="16">
        <v>7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115</v>
      </c>
      <c r="H7" s="16">
        <v>5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0.94076033079631571</v>
      </c>
      <c r="B20" s="8">
        <f>COUNT(H3:H17)</f>
        <v>5</v>
      </c>
      <c r="C20" s="9">
        <f>IF(B20&lt;2,"n/a",(A20/D20))</f>
        <v>0.16950636590924609</v>
      </c>
      <c r="D20" s="10">
        <f>IFERROR(ROUND(AVERAGE(H3:H17),2),"")</f>
        <v>5.55</v>
      </c>
      <c r="E20" s="15" t="str">
        <f>IFERROR(ROUND(IF(B20&lt;2,"n/a",(IF(C20&lt;=25%,"n/a",AVERAGE(I3:I17)))),2),"n/a")</f>
        <v>n/a</v>
      </c>
      <c r="F20" s="10">
        <f>IFERROR(ROUND(MEDIAN(H3:H17),2),"")</f>
        <v>5.17</v>
      </c>
      <c r="G20" s="11" t="str">
        <f>IFERROR(INDEX(G3:G17,MATCH(H20,H3:H17,0)),"")</f>
        <v>GCM COMERCIAL LTDA</v>
      </c>
      <c r="H20" s="12">
        <f>F3</f>
        <v>4.63</v>
      </c>
    </row>
    <row r="22" spans="1:9" x14ac:dyDescent="0.25">
      <c r="G22" s="13" t="s">
        <v>20</v>
      </c>
      <c r="H22" s="14">
        <f>IF(C20&lt;=25%,D20,MIN(E20:F20))</f>
        <v>5.55</v>
      </c>
    </row>
    <row r="23" spans="1:9" x14ac:dyDescent="0.25">
      <c r="G23" s="13" t="s">
        <v>6</v>
      </c>
      <c r="H23" s="14">
        <f>ROUND(H22,2)*D3</f>
        <v>1665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20</v>
      </c>
      <c r="B3" s="34" t="s">
        <v>62</v>
      </c>
      <c r="C3" s="36" t="s">
        <v>60</v>
      </c>
      <c r="D3" s="36">
        <v>50</v>
      </c>
      <c r="E3" s="37">
        <f>IF(C20&lt;=25%,D20,MIN(E20:F20))</f>
        <v>169.47</v>
      </c>
      <c r="F3" s="37">
        <f>MIN(H3:H17)</f>
        <v>53.9</v>
      </c>
      <c r="G3" s="5" t="s">
        <v>80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8"/>
      <c r="B4" s="35"/>
      <c r="C4" s="36"/>
      <c r="D4" s="36"/>
      <c r="E4" s="37"/>
      <c r="F4" s="37"/>
      <c r="G4" s="5" t="s">
        <v>81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8"/>
      <c r="B5" s="35"/>
      <c r="C5" s="36"/>
      <c r="D5" s="36"/>
      <c r="E5" s="37"/>
      <c r="F5" s="37"/>
      <c r="G5" s="5" t="s">
        <v>82</v>
      </c>
      <c r="H5" s="16">
        <v>340</v>
      </c>
      <c r="I5" s="17">
        <f t="shared" si="0"/>
        <v>340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489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21</v>
      </c>
      <c r="B3" s="34" t="s">
        <v>63</v>
      </c>
      <c r="C3" s="36" t="s">
        <v>60</v>
      </c>
      <c r="D3" s="36">
        <v>50</v>
      </c>
      <c r="E3" s="37">
        <f>IF(C20&lt;=25%,D20,MIN(E20:F20))</f>
        <v>203.92</v>
      </c>
      <c r="F3" s="37">
        <f>MIN(H3:H17)</f>
        <v>108.9</v>
      </c>
      <c r="G3" s="5" t="s">
        <v>84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8"/>
      <c r="B4" s="35"/>
      <c r="C4" s="36"/>
      <c r="D4" s="36"/>
      <c r="E4" s="37"/>
      <c r="F4" s="37"/>
      <c r="G4" s="5" t="s">
        <v>85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8"/>
      <c r="B5" s="35"/>
      <c r="C5" s="36"/>
      <c r="D5" s="36"/>
      <c r="E5" s="37"/>
      <c r="F5" s="37"/>
      <c r="G5" s="5" t="s">
        <v>86</v>
      </c>
      <c r="H5" s="16">
        <v>307.89999999999998</v>
      </c>
      <c r="I5" s="17">
        <f t="shared" si="0"/>
        <v>307.89999999999998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259.89999999999998</v>
      </c>
      <c r="I6" s="17">
        <f t="shared" si="0"/>
        <v>259.89999999999998</v>
      </c>
    </row>
    <row r="7" spans="1:9" x14ac:dyDescent="0.25">
      <c r="A7" s="38"/>
      <c r="B7" s="35"/>
      <c r="C7" s="36"/>
      <c r="D7" s="36"/>
      <c r="E7" s="37"/>
      <c r="F7" s="37"/>
      <c r="G7" s="5" t="s">
        <v>87</v>
      </c>
      <c r="H7" s="16">
        <v>379.9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22</v>
      </c>
      <c r="B3" s="34" t="s">
        <v>64</v>
      </c>
      <c r="C3" s="36" t="s">
        <v>57</v>
      </c>
      <c r="D3" s="36">
        <v>100</v>
      </c>
      <c r="E3" s="37">
        <f>IF(C20&lt;=25%,D20,MIN(E20:F20))</f>
        <v>64.989999999999995</v>
      </c>
      <c r="F3" s="37">
        <f>MIN(H3:H17)</f>
        <v>30.8</v>
      </c>
      <c r="G3" s="5" t="s">
        <v>88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8"/>
      <c r="B5" s="35"/>
      <c r="C5" s="36"/>
      <c r="D5" s="36"/>
      <c r="E5" s="37"/>
      <c r="F5" s="37"/>
      <c r="G5" s="5" t="s">
        <v>89</v>
      </c>
      <c r="H5" s="16">
        <v>83.25</v>
      </c>
      <c r="I5" s="17">
        <f t="shared" si="0"/>
        <v>83.25</v>
      </c>
    </row>
    <row r="6" spans="1:9" x14ac:dyDescent="0.25">
      <c r="A6" s="38"/>
      <c r="B6" s="35"/>
      <c r="C6" s="36"/>
      <c r="D6" s="36"/>
      <c r="E6" s="37"/>
      <c r="F6" s="37"/>
      <c r="G6" s="5" t="s">
        <v>90</v>
      </c>
      <c r="H6" s="16">
        <v>89.9</v>
      </c>
      <c r="I6" s="17">
        <f t="shared" si="0"/>
        <v>89.9</v>
      </c>
    </row>
    <row r="7" spans="1:9" x14ac:dyDescent="0.25">
      <c r="A7" s="38"/>
      <c r="B7" s="35"/>
      <c r="C7" s="36"/>
      <c r="D7" s="36"/>
      <c r="E7" s="37"/>
      <c r="F7" s="37"/>
      <c r="G7" s="5" t="s">
        <v>91</v>
      </c>
      <c r="H7" s="16">
        <v>122.9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25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26</v>
      </c>
      <c r="B3" s="34" t="s">
        <v>34</v>
      </c>
      <c r="C3" s="36" t="s">
        <v>7</v>
      </c>
      <c r="D3" s="36">
        <v>4</v>
      </c>
      <c r="E3" s="37">
        <f>IF(C20&lt;=25%,D20,MIN(E20:F20))</f>
        <v>314.5</v>
      </c>
      <c r="F3" s="37">
        <f>MIN(H3:H17)</f>
        <v>149.97</v>
      </c>
      <c r="G3" s="5" t="s">
        <v>42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36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8"/>
      <c r="B5" s="35"/>
      <c r="C5" s="36"/>
      <c r="D5" s="36"/>
      <c r="E5" s="37"/>
      <c r="F5" s="37"/>
      <c r="G5" s="5" t="s">
        <v>43</v>
      </c>
      <c r="H5" s="16">
        <v>330</v>
      </c>
      <c r="I5" s="17">
        <f t="shared" si="0"/>
        <v>330</v>
      </c>
    </row>
    <row r="6" spans="1:9" x14ac:dyDescent="0.25">
      <c r="A6" s="38"/>
      <c r="B6" s="35"/>
      <c r="C6" s="36"/>
      <c r="D6" s="36"/>
      <c r="E6" s="37"/>
      <c r="F6" s="37"/>
      <c r="G6" s="5" t="s">
        <v>38</v>
      </c>
      <c r="H6" s="16">
        <v>259</v>
      </c>
      <c r="I6" s="17">
        <f t="shared" si="0"/>
        <v>259</v>
      </c>
    </row>
    <row r="7" spans="1:9" x14ac:dyDescent="0.25">
      <c r="A7" s="38"/>
      <c r="B7" s="35"/>
      <c r="C7" s="36"/>
      <c r="D7" s="36"/>
      <c r="E7" s="37"/>
      <c r="F7" s="37"/>
      <c r="G7" s="5" t="s">
        <v>39</v>
      </c>
      <c r="H7" s="16">
        <v>1000</v>
      </c>
      <c r="I7" s="17">
        <f t="shared" si="0"/>
        <v>1000</v>
      </c>
    </row>
    <row r="8" spans="1:9" x14ac:dyDescent="0.25">
      <c r="A8" s="38"/>
      <c r="B8" s="35"/>
      <c r="C8" s="36"/>
      <c r="D8" s="36"/>
      <c r="E8" s="37"/>
      <c r="F8" s="37"/>
      <c r="G8" s="5" t="s">
        <v>44</v>
      </c>
      <c r="H8" s="16">
        <v>177.5</v>
      </c>
      <c r="I8" s="17">
        <f t="shared" si="0"/>
        <v>177.5</v>
      </c>
    </row>
    <row r="9" spans="1:9" x14ac:dyDescent="0.25">
      <c r="A9" s="38"/>
      <c r="B9" s="35"/>
      <c r="C9" s="36"/>
      <c r="D9" s="36"/>
      <c r="E9" s="37"/>
      <c r="F9" s="37"/>
      <c r="G9" s="5" t="s">
        <v>37</v>
      </c>
      <c r="H9" s="16">
        <v>160</v>
      </c>
      <c r="I9" s="17">
        <f t="shared" si="0"/>
        <v>160</v>
      </c>
    </row>
    <row r="10" spans="1:9" x14ac:dyDescent="0.25">
      <c r="A10" s="38"/>
      <c r="B10" s="35"/>
      <c r="C10" s="36"/>
      <c r="D10" s="36"/>
      <c r="E10" s="37"/>
      <c r="F10" s="37"/>
      <c r="G10" s="5" t="s">
        <v>45</v>
      </c>
      <c r="H10" s="16">
        <v>1342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46</v>
      </c>
      <c r="H11" s="16">
        <v>1650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41</v>
      </c>
      <c r="H12" s="16">
        <v>149.97</v>
      </c>
      <c r="I12" s="17">
        <f t="shared" si="0"/>
        <v>149.97</v>
      </c>
    </row>
    <row r="13" spans="1:9" x14ac:dyDescent="0.25">
      <c r="A13" s="38"/>
      <c r="B13" s="35"/>
      <c r="C13" s="36"/>
      <c r="D13" s="36"/>
      <c r="E13" s="37"/>
      <c r="F13" s="37"/>
      <c r="G13" s="5" t="s">
        <v>51</v>
      </c>
      <c r="H13" s="16">
        <v>299</v>
      </c>
      <c r="I13" s="17">
        <f t="shared" si="0"/>
        <v>299</v>
      </c>
    </row>
    <row r="14" spans="1:9" x14ac:dyDescent="0.25">
      <c r="A14" s="38"/>
      <c r="B14" s="35"/>
      <c r="C14" s="36"/>
      <c r="D14" s="36"/>
      <c r="E14" s="37"/>
      <c r="F14" s="37"/>
      <c r="G14" s="5" t="s">
        <v>53</v>
      </c>
      <c r="H14" s="16">
        <v>341.01</v>
      </c>
      <c r="I14" s="17">
        <f t="shared" si="0"/>
        <v>341.01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27</v>
      </c>
      <c r="B3" s="34" t="s">
        <v>35</v>
      </c>
      <c r="C3" s="36" t="s">
        <v>7</v>
      </c>
      <c r="D3" s="36">
        <v>2</v>
      </c>
      <c r="E3" s="37">
        <f>IF(C20&lt;=25%,D20,MIN(E20:F20))</f>
        <v>2336.66</v>
      </c>
      <c r="F3" s="37">
        <f>MIN(H3:H17)</f>
        <v>985</v>
      </c>
      <c r="G3" s="5" t="s">
        <v>43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8"/>
      <c r="B4" s="35"/>
      <c r="C4" s="36"/>
      <c r="D4" s="36"/>
      <c r="E4" s="37"/>
      <c r="F4" s="37"/>
      <c r="G4" s="5" t="s">
        <v>47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8"/>
      <c r="B5" s="35"/>
      <c r="C5" s="36"/>
      <c r="D5" s="36"/>
      <c r="E5" s="37"/>
      <c r="F5" s="37"/>
      <c r="G5" s="5" t="s">
        <v>48</v>
      </c>
      <c r="H5" s="16">
        <v>3775.12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36</v>
      </c>
      <c r="H6" s="16">
        <v>1449.99</v>
      </c>
      <c r="I6" s="17">
        <f t="shared" si="0"/>
        <v>1449.99</v>
      </c>
    </row>
    <row r="7" spans="1:9" x14ac:dyDescent="0.25">
      <c r="A7" s="38"/>
      <c r="B7" s="35"/>
      <c r="C7" s="36"/>
      <c r="D7" s="36"/>
      <c r="E7" s="37"/>
      <c r="F7" s="37"/>
      <c r="G7" s="5" t="s">
        <v>40</v>
      </c>
      <c r="H7" s="16">
        <v>1738.77</v>
      </c>
      <c r="I7" s="17">
        <f t="shared" si="0"/>
        <v>1738.77</v>
      </c>
    </row>
    <row r="8" spans="1:9" x14ac:dyDescent="0.25">
      <c r="A8" s="38"/>
      <c r="B8" s="35"/>
      <c r="C8" s="36"/>
      <c r="D8" s="36"/>
      <c r="E8" s="37"/>
      <c r="F8" s="37"/>
      <c r="G8" s="5" t="s">
        <v>49</v>
      </c>
      <c r="H8" s="16">
        <v>2582</v>
      </c>
      <c r="I8" s="17">
        <f t="shared" si="0"/>
        <v>2582</v>
      </c>
    </row>
    <row r="9" spans="1:9" x14ac:dyDescent="0.25">
      <c r="A9" s="38"/>
      <c r="B9" s="35"/>
      <c r="C9" s="36"/>
      <c r="D9" s="36"/>
      <c r="E9" s="37"/>
      <c r="F9" s="37"/>
      <c r="G9" s="5" t="s">
        <v>54</v>
      </c>
      <c r="H9" s="16">
        <v>3179.25</v>
      </c>
      <c r="I9" s="17">
        <f t="shared" si="0"/>
        <v>3179.25</v>
      </c>
    </row>
    <row r="10" spans="1:9" x14ac:dyDescent="0.25">
      <c r="A10" s="38"/>
      <c r="B10" s="35"/>
      <c r="C10" s="36"/>
      <c r="D10" s="36"/>
      <c r="E10" s="37"/>
      <c r="F10" s="37"/>
      <c r="G10" s="5" t="s">
        <v>50</v>
      </c>
      <c r="H10" s="16">
        <v>3484.8</v>
      </c>
      <c r="I10" s="17">
        <f t="shared" si="0"/>
        <v>3484.8</v>
      </c>
    </row>
    <row r="11" spans="1:9" x14ac:dyDescent="0.25">
      <c r="A11" s="38"/>
      <c r="B11" s="35"/>
      <c r="C11" s="36"/>
      <c r="D11" s="36"/>
      <c r="E11" s="37"/>
      <c r="F11" s="37"/>
      <c r="G11" s="5" t="s">
        <v>52</v>
      </c>
      <c r="H11" s="16">
        <v>3523.43</v>
      </c>
      <c r="I11" s="17">
        <f t="shared" si="0"/>
        <v>3523.43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topLeftCell="A12" zoomScaleNormal="100" zoomScaleSheetLayoutView="100" workbookViewId="0">
      <selection activeCell="A3" sqref="A3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9" t="s">
        <v>0</v>
      </c>
      <c r="B1" s="39"/>
      <c r="C1" s="39"/>
      <c r="D1" s="39"/>
      <c r="E1" s="39"/>
      <c r="F1" s="39"/>
      <c r="G1" s="39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240" x14ac:dyDescent="0.25">
      <c r="A3" s="25" t="s">
        <v>109</v>
      </c>
      <c r="B3" s="25">
        <f>Item1!A3</f>
        <v>1</v>
      </c>
      <c r="C3" s="27" t="str">
        <f>Item1!B3</f>
        <v xml:space="preserve">Lâmpada LED Tubular
Especificações técnicas:
· Tecnologia LED
· Tipo T8
· Comprimento: 120 cm
· Potência de 18W
· Base G13
· Tensão de alimentação 127/220V
· Fluxo luminoso mínimo de 1.800lm
· Luz branca (temperatura de cor 6000- 6500K)
· Vida útil estimada igual ou maior que 25.000 horas,
· Certificada pelo Inmetro.
Marcas de referência: Osram, Phillips ou similar. </v>
      </c>
      <c r="D3" s="25" t="str">
        <f>Item1!C3</f>
        <v>unidade</v>
      </c>
      <c r="E3" s="25">
        <f>Item1!D3</f>
        <v>500</v>
      </c>
      <c r="F3" s="26">
        <f>Item1!E3</f>
        <v>6.18</v>
      </c>
      <c r="G3" s="26">
        <f>ROUND((E3*F3),2)</f>
        <v>3090</v>
      </c>
    </row>
    <row r="4" spans="1:7" ht="270" x14ac:dyDescent="0.25">
      <c r="A4" s="25" t="s">
        <v>109</v>
      </c>
      <c r="B4" s="25">
        <f>Item2!A3</f>
        <v>2</v>
      </c>
      <c r="C4" s="27" t="str">
        <f>Item2!B3</f>
        <v>Lâmpada LED Bulbo
Especificações técnicas:
· Tecnologia LED
· Rosca padrão E-27 (rosca comum)
· Bivolt automática (100V a 240V/60Hz)
· Fluxo luminoso mínimo de 1.600 lúmens
· Potência nominal de 16W (ou potência comercial equivalente entre 15W e 17W, desde que atenda aos demais critérios técnicos, especialmente o fluxo luminoso mínimo)
· Temperatura de cor entre 6.000 K e 6.500 K (branco frio)
· Vida útil estimada igual ou maior que 25.000 horas
· Deve possuir selo do INMETRO, conforme legislação vigente.
Marca: Osram, Phillips ou similar.</v>
      </c>
      <c r="D4" s="25" t="str">
        <f>Item2!C3</f>
        <v>unidade</v>
      </c>
      <c r="E4" s="25">
        <f>Item2!D3</f>
        <v>300</v>
      </c>
      <c r="F4" s="26">
        <f>Item2!E3</f>
        <v>5.55</v>
      </c>
      <c r="G4" s="26">
        <f t="shared" ref="G4:G13" si="0">ROUND((E4*F4),2)</f>
        <v>1665</v>
      </c>
    </row>
    <row r="5" spans="1:7" ht="270" x14ac:dyDescent="0.25">
      <c r="A5" s="25" t="s">
        <v>109</v>
      </c>
      <c r="B5" s="25">
        <f>Item3!A3</f>
        <v>3</v>
      </c>
      <c r="C5" s="27" t="str">
        <f>Item3!B3</f>
        <v>Lâmpada LED Bulbo
Especificações técnicas:
· Tecnologia LED
· Rosca padrão E-27 (rosca comum)
· Bivolt automática (100V a 240V/60Hz)
· Fluxo luminoso mínimo de 4.000 lúmens
· Potência nominal de 40W (ou potência comercial equivalente entre 30W e 40W, desde que atenda aos demais critérios técnicos, especialmente o fluxo luminoso mínimo)
· Temperatura de cor entre 6.000 K e 6.500 K (branco frio)
· Vida útil estimada igual ou maior que 25.000 horas
· Deve possuir selo do INMETRO, conforme legislação vigente.
Marca: Osram, Phillips ou similar.</v>
      </c>
      <c r="D5" s="25" t="str">
        <f>Item3!C3</f>
        <v>unidade</v>
      </c>
      <c r="E5" s="25">
        <f>Item3!D3</f>
        <v>300</v>
      </c>
      <c r="F5" s="26">
        <f>Item3!E3</f>
        <v>11.12</v>
      </c>
      <c r="G5" s="26">
        <f t="shared" si="0"/>
        <v>3336</v>
      </c>
    </row>
    <row r="6" spans="1:7" ht="315" x14ac:dyDescent="0.25">
      <c r="A6" s="25" t="s">
        <v>109</v>
      </c>
      <c r="B6" s="25">
        <f>Item4!A3</f>
        <v>4</v>
      </c>
      <c r="C6" s="27" t="str">
        <f>Item4!B3</f>
        <v>Patch Panel de Categoria 6
Especificações técnicas:
· O produto deve atender os requisitos estabelecidos nas normas para Categoria6/ Classe E;
· 24 posições RJ-45;
· Corpo fabricado em termoplástico de alto impacto não propagante a chama (UL 94V-0);
· Painel frontal em plástico com porta etiquetas para identificação;
· Possibilidade de crimpagem T568A ou T568B
· Deve possuir uma guia traseira feita em termoplástico para organizar os cabos
· Instalação em rack 19";
· Normas: EIA/TIA-569; ISO/IEC 11801; NBR 14565; ANSI/TIA-606.
· Garantia do Fabricante: 12 meses.
· Marcas de referência: FURUKAWA, NEXANS, FAG ou similar.</v>
      </c>
      <c r="D6" s="25" t="str">
        <f>Item4!C3</f>
        <v>unidade</v>
      </c>
      <c r="E6" s="25">
        <f>Item4!D3</f>
        <v>200</v>
      </c>
      <c r="F6" s="26">
        <f>Item4!E3</f>
        <v>178.11</v>
      </c>
      <c r="G6" s="26">
        <f t="shared" si="0"/>
        <v>35622</v>
      </c>
    </row>
    <row r="7" spans="1:7" ht="315" x14ac:dyDescent="0.25">
      <c r="A7" s="25" t="s">
        <v>109</v>
      </c>
      <c r="B7" s="25">
        <f>Item5!A3</f>
        <v>5</v>
      </c>
      <c r="C7" s="27" t="str">
        <f>Item5!B3</f>
        <v>Patch Panel de Categoria 5E
Especificações técnicas:
· O produto deve atender os requisitos estabelecidos nas normas para Categoria 5e;
· 24 posições RJ-45;
· Corpo fabricado em termoplástico de alto impacto não propagante a chama (UL 94V-0);
· Painel frontal em plástico com porta etiquetas para identificação;
· Possibilidade de crimpagem T568A ou T568B
· Deve possuir uma guia traseira feita em termoplástico para organizar os cabos
· Instalação em rack 19";
· Normas: EIA/TIA-569; ISO/IEC 11801; NBR 14565; ANSI/TIA-606.
· Garantia do Fabricante: 12 meses.
Marcas de referência: FURUKAWA, NEXANS, FAG ou similar.</v>
      </c>
      <c r="D7" s="25" t="str">
        <f>Item5!C3</f>
        <v>unidade</v>
      </c>
      <c r="E7" s="25">
        <f>Item5!D3</f>
        <v>200</v>
      </c>
      <c r="F7" s="26">
        <f>Item5!E3</f>
        <v>120.84</v>
      </c>
      <c r="G7" s="26">
        <f t="shared" si="0"/>
        <v>24168</v>
      </c>
    </row>
    <row r="8" spans="1:7" ht="409.5" x14ac:dyDescent="0.25">
      <c r="A8" s="25" t="s">
        <v>109</v>
      </c>
      <c r="B8" s="25">
        <f>Item6!A3</f>
        <v>6</v>
      </c>
      <c r="C8" s="27" t="str">
        <f>Item6!B3</f>
        <v>Bandeja Metálica Fixa P/ Rack 19", 1U X 500 mm
Especificações técnicas:
· Bandeja metálica fixa para instalação em racks padrão 19”, conforme especificações da norma EIA-310
· Profundidade de 500 mm
· Altura de 1U (aproximadamente 44,45 mm)
· Fabricada em aço carbono, com espessura mínima de 1,2 mm, tratado com processo anticorrosivo
· Pintura eletrostática na cor preta (fosco ou texturizado), resistente à abrasão e oxidação;
· Fixação por 4 (quatro) parafusos ou pontos de apoio, distribuídos lateralmente para encaixe direto nos trilhos do rack;
· Bandeja com furos ou ranhuras de ventilação (tipo slot ou perfurado) para favorecer a dissipação de calor e passagem de cabos;
· Deve suportar carga mínima de 20 kg, uniformemente distribuída;
· Deve acompanhar kit de instalação completo contendo, no mínimo, 4 parafusos, 4 porcas gaiola (rosca M5 ou M6) e arruelas (se necessário).
Marcas de referência: Gforce, Max Eletron, SOLLAN ou similar.</v>
      </c>
      <c r="D8" s="25" t="str">
        <f>Item6!C3</f>
        <v>unidade</v>
      </c>
      <c r="E8" s="25">
        <f>Item6!D3</f>
        <v>500</v>
      </c>
      <c r="F8" s="26">
        <f>Item6!E3</f>
        <v>69.209999999999994</v>
      </c>
      <c r="G8" s="26">
        <f t="shared" si="0"/>
        <v>34605</v>
      </c>
    </row>
    <row r="9" spans="1:7" ht="409.5" x14ac:dyDescent="0.25">
      <c r="A9" s="25" t="s">
        <v>109</v>
      </c>
      <c r="B9" s="25">
        <f>Item7!A3</f>
        <v>7</v>
      </c>
      <c r="C9" s="27" t="str">
        <f>Item7!B3</f>
        <v>Régua de tomadas de energia para montagem em rack
Especificações técnicas:
· Régua de tomadas elétrica para montagem horizontal em rack padrão 19”, com 1U de altura.
· Altura: 1U (aproximadamente 44,45 mm)
· Largura compatível com montagem frontal em racks de 19", conforme norma EIA-310-D
· Profundidade: variável, de acordo com o modelo, desde que compatível com instalação frontal
· Número de tomadas: 12 (doze) saídas/pontos do tipo 2P + T (dois polos + terra), padrão NBR 14136 (tomada tripolar brasileira)
· Tomadas fêmea padrão NBR 14136, horizontais ou inclinadas, com espaçamento adequado para conexão simultânea
· Corrente nominal de 10 A por tomada (mínimo), com capacidade total de carga de no mínimo 10 A.
· Tensão de operação Bivolt automático (127V a 220V, 50/60 Hz)
· Comprimento mínimo da tomada de 1,5 m, cabo PP ou equivalente com certificação, plugue macho tripolar, 10 A, padrão NBR 14136
· Possuir fusível ou disjuntor rearmável ou substituível, de fácil acesso
· Gabinete metálico ou em termoplástico de alta resistência, na cor preta ou cinza, com pintura eletrostática (em caso de estrutura metálica)
Marca: Gforce, IPEC, AMPLANET ou similar.</v>
      </c>
      <c r="D9" s="25" t="str">
        <f>Item7!C3</f>
        <v>unidade</v>
      </c>
      <c r="E9" s="25">
        <f>Item7!D3</f>
        <v>200</v>
      </c>
      <c r="F9" s="26">
        <f>Item7!E3</f>
        <v>75.510000000000005</v>
      </c>
      <c r="G9" s="26">
        <f t="shared" si="0"/>
        <v>15102</v>
      </c>
    </row>
    <row r="10" spans="1:7" ht="315" x14ac:dyDescent="0.25">
      <c r="A10" s="25" t="s">
        <v>109</v>
      </c>
      <c r="B10" s="25">
        <f>Item8!A3</f>
        <v>8</v>
      </c>
      <c r="C10" s="27" t="str">
        <f>Item8!B3</f>
        <v>Patch cord CAT-5E
Especificações técnicas:
· Tipo: Patch cord certificado de par trançado, Categoria 5e
· Comprimento: 2,5 metros
· Condutor: 100% cobre
· Bitola dos condutores: 24 AWG
· Tipo de cabo: UTP (Unshielded Twisted Pair – Par trançado sem blindagem)
· Conectores: RJ-45 padrão, com capa de proteção antiestresse (boot moldado)
· Padrão de montagem: T568A ou T568B, com ambos os lados iguais
· Cor: Azul
· Frequência de operação: mínimo de 100 MHz
· Suporte a velocidades de até 1 Gbps (Gigabit Ethernet)
· Compatível com os padrões ANSI/TIA-568-C.2 e ISO/IEC 11801</v>
      </c>
      <c r="D10" s="25" t="str">
        <f>Item8!C3</f>
        <v>unidade</v>
      </c>
      <c r="E10" s="25">
        <f>Item8!D3</f>
        <v>200</v>
      </c>
      <c r="F10" s="26">
        <f>Item8!E3</f>
        <v>10.75</v>
      </c>
      <c r="G10" s="26">
        <f t="shared" si="0"/>
        <v>2150</v>
      </c>
    </row>
    <row r="11" spans="1:7" ht="315" x14ac:dyDescent="0.25">
      <c r="A11" s="25" t="s">
        <v>109</v>
      </c>
      <c r="B11" s="25">
        <f>Item9!A3</f>
        <v>9</v>
      </c>
      <c r="C11" s="27" t="str">
        <f>Item9!B3</f>
        <v>Patch cord CAT-5E
Especificações técnicas:
· Tipo: Patch cord certificado de par trançado, Categoria 5e
· Comprimento: 5 metros
· Condutor: 100% cobre
· Bitola dos condutores: 24 AWG
· Tipo de cabo: UTP (Unshielded Twisted Pair – Par trançado sem blindagem)
· Conectores: RJ-45 padrão, com capa de proteção antiestresse (boot moldado)
· Padrão de montagem: T568A ou T568B, com ambos os lados iguais
· Cor: Azul
· Frequência de operação: mínimo de 100 MHz
· Suporte a velocidades de até 1 Gbps (Gigabit Ethernet)
· Compatível com os padrões ANSI/TIA-568-C.2 e ISO/IEC 11801</v>
      </c>
      <c r="D11" s="25" t="str">
        <f>Item9!C3</f>
        <v>unidade</v>
      </c>
      <c r="E11" s="25">
        <f>Item9!D3</f>
        <v>200</v>
      </c>
      <c r="F11" s="26">
        <f>Item9!E3</f>
        <v>28.41</v>
      </c>
      <c r="G11" s="26">
        <f t="shared" si="0"/>
        <v>5682</v>
      </c>
    </row>
    <row r="12" spans="1:7" ht="330" x14ac:dyDescent="0.25">
      <c r="A12" s="25" t="s">
        <v>109</v>
      </c>
      <c r="B12" s="25">
        <f>Item10!A3</f>
        <v>10</v>
      </c>
      <c r="C12" s="27" t="str">
        <f>Item10!B3</f>
        <v>Patch cord CAT-6
Especificações técnicas:
· Tipo: Patch cord certificado de par trançado, Categoria 6
· Comprimento: 2,5 metros
· Condutor: 100% cobre
· Bitola dos condutores: 24 AWG ou superior
· Tipo de cabo: UTP (Unshielded Twisted Pair)
· Conectores: RJ-45 padrão, com capa de proteção antiestresse (boot moldado)
· Padrão de montagem: T568A ou T568B, com ambos os lados iguais
· Cor: Azul
· Frequência de operação: mínimo de 250 MHz
· Suporte a velocidades de até 1 Gbps (compatível com 10/100/1000 Mbps Ethernet)
· Compatível com os padrões ANSI/TIA-568-C.2 e ISO/IEC 11801</v>
      </c>
      <c r="D12" s="25" t="str">
        <f>Item10!C3</f>
        <v>unidade</v>
      </c>
      <c r="E12" s="25">
        <f>Item10!D3</f>
        <v>400</v>
      </c>
      <c r="F12" s="26">
        <f>Item10!E3</f>
        <v>12.81</v>
      </c>
      <c r="G12" s="26">
        <f t="shared" si="0"/>
        <v>5124</v>
      </c>
    </row>
    <row r="13" spans="1:7" ht="330" x14ac:dyDescent="0.25">
      <c r="A13" s="25" t="s">
        <v>109</v>
      </c>
      <c r="B13" s="25">
        <f>Item11!A3</f>
        <v>11</v>
      </c>
      <c r="C13" s="27" t="str">
        <f>Item11!B3</f>
        <v>Patch cord CAT-6
Especificações técnicas:
· Tipo: Patch cord certificado de par trançado, Categoria 6
· Comprimento: 5 metros
· Condutor: 100% cobre
· Bitola dos condutores: 24 AWG ou superior
· Tipo de cabo: UTP (Unshielded Twisted Pair)
· Conectores: RJ-45 padrão, com capa de proteção antiestresse (boot moldado)
· Padrão de montagem: T568A ou T568B, com ambos os lados iguais
· Cor: Azul
· Frequência de operação: mínimo de 250 MHz
· Suporte a velocidades de até 1 Gbps (compatível com 10/100/1000 Mbps Ethernet)
· Compatível com os padrões ANSI/TIA-568-C.2 e ISO/IEC 11801</v>
      </c>
      <c r="D13" s="25" t="str">
        <f>Item11!C3</f>
        <v>unidade</v>
      </c>
      <c r="E13" s="25">
        <f>Item11!D3</f>
        <v>400</v>
      </c>
      <c r="F13" s="26">
        <f>Item11!E3</f>
        <v>55.99</v>
      </c>
      <c r="G13" s="26">
        <f t="shared" si="0"/>
        <v>22396</v>
      </c>
    </row>
    <row r="14" spans="1:7" x14ac:dyDescent="0.25">
      <c r="A14" s="28"/>
      <c r="B14" s="28"/>
      <c r="C14" s="29"/>
      <c r="D14" s="30"/>
      <c r="E14" s="30"/>
      <c r="F14" s="31"/>
      <c r="G14" s="31"/>
    </row>
    <row r="15" spans="1:7" ht="15.75" thickBot="1" x14ac:dyDescent="0.3"/>
    <row r="16" spans="1:7" ht="16.5" thickTop="1" thickBot="1" x14ac:dyDescent="0.3">
      <c r="D16" s="22"/>
      <c r="E16" s="23" t="s">
        <v>33</v>
      </c>
      <c r="F16" s="24">
        <f>SUM(G:G)</f>
        <v>152940</v>
      </c>
    </row>
    <row r="17" spans="4:6" ht="15.75" thickTop="1" x14ac:dyDescent="0.25">
      <c r="F17" s="3"/>
    </row>
    <row r="18" spans="4:6" x14ac:dyDescent="0.25">
      <c r="D18" s="21" t="s">
        <v>32</v>
      </c>
      <c r="E18" s="13">
        <f>MAX(A:A)</f>
        <v>0</v>
      </c>
    </row>
    <row r="20" spans="4:6" x14ac:dyDescent="0.25">
      <c r="D20" s="18" t="s">
        <v>31</v>
      </c>
      <c r="E20" s="19">
        <v>1</v>
      </c>
      <c r="F20" s="20">
        <f>SUMIF(A:A,E20,G:G)</f>
        <v>0</v>
      </c>
    </row>
    <row r="21" spans="4:6" x14ac:dyDescent="0.25">
      <c r="D21" s="18" t="s">
        <v>31</v>
      </c>
      <c r="E21" s="19">
        <v>2</v>
      </c>
      <c r="F21" s="20">
        <f>SUMIF(A:A,E21,G:G)</f>
        <v>0</v>
      </c>
    </row>
    <row r="22" spans="4:6" x14ac:dyDescent="0.25">
      <c r="D22" s="18" t="s">
        <v>31</v>
      </c>
      <c r="E22" s="19">
        <v>3</v>
      </c>
      <c r="F22" s="20">
        <f>SUMIF(A:A,E22,G:G)</f>
        <v>0</v>
      </c>
    </row>
    <row r="23" spans="4:6" x14ac:dyDescent="0.25">
      <c r="D23" s="18" t="s">
        <v>31</v>
      </c>
      <c r="E23" s="19">
        <v>4</v>
      </c>
      <c r="F23" s="20">
        <f>SUMIF(A:A,E23,G:G)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8" sqref="G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3</v>
      </c>
      <c r="B3" s="34" t="s">
        <v>100</v>
      </c>
      <c r="C3" s="36" t="s">
        <v>7</v>
      </c>
      <c r="D3" s="36">
        <v>300</v>
      </c>
      <c r="E3" s="37">
        <f>IF(C20&lt;=25%,D20,MIN(E20:F20))</f>
        <v>11.12</v>
      </c>
      <c r="F3" s="37">
        <f>MIN(H3:H17)</f>
        <v>7.5</v>
      </c>
      <c r="G3" s="5" t="s">
        <v>124</v>
      </c>
      <c r="H3" s="16">
        <v>11.12</v>
      </c>
      <c r="I3" s="17">
        <f>IF(H3="","",(IF($C$20&lt;25%,"n/a",IF(H3&lt;=($D$20+$A$20),H3,"Descartado"))))</f>
        <v>11.12</v>
      </c>
    </row>
    <row r="4" spans="1:9" x14ac:dyDescent="0.25">
      <c r="A4" s="38"/>
      <c r="B4" s="35"/>
      <c r="C4" s="36"/>
      <c r="D4" s="36"/>
      <c r="E4" s="37"/>
      <c r="F4" s="37"/>
      <c r="G4" s="5" t="s">
        <v>125</v>
      </c>
      <c r="H4" s="16">
        <v>17.77</v>
      </c>
      <c r="I4" s="17">
        <f t="shared" ref="I4:I17" si="0">IF(H4="","",(IF($C$20&lt;25%,"n/a",IF(H4&lt;=($D$20+$A$20),H4,"Descartado"))))</f>
        <v>17.77</v>
      </c>
    </row>
    <row r="5" spans="1:9" x14ac:dyDescent="0.25">
      <c r="A5" s="38"/>
      <c r="B5" s="35"/>
      <c r="C5" s="36"/>
      <c r="D5" s="36"/>
      <c r="E5" s="37"/>
      <c r="F5" s="37"/>
      <c r="G5" s="5" t="s">
        <v>126</v>
      </c>
      <c r="H5" s="16">
        <v>7.5</v>
      </c>
      <c r="I5" s="17">
        <f t="shared" si="0"/>
        <v>7.5</v>
      </c>
    </row>
    <row r="6" spans="1:9" x14ac:dyDescent="0.25">
      <c r="A6" s="38"/>
      <c r="B6" s="35"/>
      <c r="C6" s="36"/>
      <c r="D6" s="36"/>
      <c r="E6" s="37"/>
      <c r="F6" s="37"/>
      <c r="G6" s="5" t="s">
        <v>127</v>
      </c>
      <c r="H6" s="16">
        <v>10.4</v>
      </c>
      <c r="I6" s="17">
        <f t="shared" si="0"/>
        <v>10.4</v>
      </c>
    </row>
    <row r="7" spans="1:9" x14ac:dyDescent="0.25">
      <c r="A7" s="38"/>
      <c r="B7" s="35"/>
      <c r="C7" s="36"/>
      <c r="D7" s="36"/>
      <c r="E7" s="37"/>
      <c r="F7" s="37"/>
      <c r="G7" s="5" t="s">
        <v>128</v>
      </c>
      <c r="H7" s="16">
        <v>13.72</v>
      </c>
      <c r="I7" s="17">
        <f t="shared" si="0"/>
        <v>13.72</v>
      </c>
    </row>
    <row r="8" spans="1:9" x14ac:dyDescent="0.25">
      <c r="A8" s="38"/>
      <c r="B8" s="35"/>
      <c r="C8" s="36"/>
      <c r="D8" s="36"/>
      <c r="E8" s="37"/>
      <c r="F8" s="37"/>
      <c r="G8" s="5" t="s">
        <v>129</v>
      </c>
      <c r="H8" s="16">
        <v>9.1999999999999993</v>
      </c>
      <c r="I8" s="17">
        <f t="shared" si="0"/>
        <v>9.1999999999999993</v>
      </c>
    </row>
    <row r="9" spans="1:9" x14ac:dyDescent="0.25">
      <c r="A9" s="38"/>
      <c r="B9" s="35"/>
      <c r="C9" s="36"/>
      <c r="D9" s="36"/>
      <c r="E9" s="37"/>
      <c r="F9" s="37"/>
      <c r="G9" s="5" t="s">
        <v>130</v>
      </c>
      <c r="H9" s="16">
        <v>20.51</v>
      </c>
      <c r="I9" s="17" t="str">
        <f t="shared" si="0"/>
        <v>Descartado</v>
      </c>
    </row>
    <row r="10" spans="1:9" x14ac:dyDescent="0.25">
      <c r="A10" s="38"/>
      <c r="B10" s="35"/>
      <c r="C10" s="36"/>
      <c r="D10" s="36"/>
      <c r="E10" s="37"/>
      <c r="F10" s="37"/>
      <c r="G10" s="5" t="s">
        <v>131</v>
      </c>
      <c r="H10" s="16">
        <v>8.94</v>
      </c>
      <c r="I10" s="17">
        <f t="shared" si="0"/>
        <v>8.94</v>
      </c>
    </row>
    <row r="11" spans="1:9" x14ac:dyDescent="0.25">
      <c r="A11" s="38"/>
      <c r="B11" s="35"/>
      <c r="C11" s="36"/>
      <c r="D11" s="36"/>
      <c r="E11" s="37"/>
      <c r="F11" s="37"/>
      <c r="G11" s="5" t="s">
        <v>132</v>
      </c>
      <c r="H11" s="16">
        <v>15.67</v>
      </c>
      <c r="I11" s="17">
        <f t="shared" si="0"/>
        <v>15.67</v>
      </c>
    </row>
    <row r="12" spans="1:9" x14ac:dyDescent="0.25">
      <c r="A12" s="38"/>
      <c r="B12" s="35"/>
      <c r="C12" s="36"/>
      <c r="D12" s="36"/>
      <c r="E12" s="37"/>
      <c r="F12" s="37"/>
      <c r="G12" s="5" t="s">
        <v>133</v>
      </c>
      <c r="H12" s="16">
        <v>10</v>
      </c>
      <c r="I12" s="17">
        <f t="shared" si="0"/>
        <v>10</v>
      </c>
    </row>
    <row r="13" spans="1:9" x14ac:dyDescent="0.25">
      <c r="A13" s="38"/>
      <c r="B13" s="35"/>
      <c r="C13" s="36"/>
      <c r="D13" s="36"/>
      <c r="E13" s="37"/>
      <c r="F13" s="37"/>
      <c r="G13" s="5" t="s">
        <v>134</v>
      </c>
      <c r="H13" s="16">
        <v>16.899999999999999</v>
      </c>
      <c r="I13" s="17">
        <f t="shared" si="0"/>
        <v>16.899999999999999</v>
      </c>
    </row>
    <row r="14" spans="1:9" x14ac:dyDescent="0.25">
      <c r="A14" s="38"/>
      <c r="B14" s="35"/>
      <c r="C14" s="36"/>
      <c r="D14" s="36"/>
      <c r="E14" s="37"/>
      <c r="F14" s="37"/>
      <c r="G14" s="5" t="s">
        <v>135</v>
      </c>
      <c r="H14" s="16">
        <v>24.5</v>
      </c>
      <c r="I14" s="17" t="str">
        <f t="shared" si="0"/>
        <v>Descartado</v>
      </c>
    </row>
    <row r="15" spans="1:9" x14ac:dyDescent="0.25">
      <c r="A15" s="38"/>
      <c r="B15" s="35"/>
      <c r="C15" s="36"/>
      <c r="D15" s="36"/>
      <c r="E15" s="37"/>
      <c r="F15" s="37"/>
      <c r="G15" s="5" t="s">
        <v>115</v>
      </c>
      <c r="H15" s="16">
        <v>10.45</v>
      </c>
      <c r="I15" s="17">
        <f t="shared" si="0"/>
        <v>10.45</v>
      </c>
    </row>
    <row r="16" spans="1:9" x14ac:dyDescent="0.25">
      <c r="A16" s="38"/>
      <c r="B16" s="35"/>
      <c r="C16" s="36"/>
      <c r="D16" s="36"/>
      <c r="E16" s="37"/>
      <c r="F16" s="37"/>
      <c r="G16" s="5" t="s">
        <v>136</v>
      </c>
      <c r="H16" s="16">
        <v>20.5</v>
      </c>
      <c r="I16" s="17" t="str">
        <f t="shared" si="0"/>
        <v>Descartado</v>
      </c>
    </row>
    <row r="17" spans="1:9" x14ac:dyDescent="0.25">
      <c r="A17" s="38"/>
      <c r="B17" s="35"/>
      <c r="C17" s="36"/>
      <c r="D17" s="36"/>
      <c r="E17" s="37"/>
      <c r="F17" s="37"/>
      <c r="G17" s="5" t="s">
        <v>137</v>
      </c>
      <c r="H17" s="16">
        <v>11</v>
      </c>
      <c r="I17" s="17">
        <f t="shared" si="0"/>
        <v>11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5.1401776882386745</v>
      </c>
      <c r="B20" s="8">
        <f>COUNT(H3:H17)</f>
        <v>15</v>
      </c>
      <c r="C20" s="9">
        <f>IF(B20&lt;2,"n/a",(A20/D20))</f>
        <v>0.37032980462814657</v>
      </c>
      <c r="D20" s="10">
        <f>IFERROR(ROUND(AVERAGE(H3:H17),2),"")</f>
        <v>13.88</v>
      </c>
      <c r="E20" s="15">
        <f>IFERROR(ROUND(IF(B20&lt;2,"n/a",(IF(C20&lt;=25%,"n/a",AVERAGE(I3:I17)))),2),"n/a")</f>
        <v>11.89</v>
      </c>
      <c r="F20" s="10">
        <f>IFERROR(ROUND(MEDIAN(H3:H17),2),"")</f>
        <v>11.12</v>
      </c>
      <c r="G20" s="11" t="str">
        <f>IFERROR(INDEX(G3:G17,MATCH(H20,H3:H17,0)),"")</f>
        <v>FENIX COMERCIO E CONSTRUCOES LTDA</v>
      </c>
      <c r="H20" s="12">
        <f>F3</f>
        <v>7.5</v>
      </c>
    </row>
    <row r="22" spans="1:9" x14ac:dyDescent="0.25">
      <c r="G22" s="13" t="s">
        <v>20</v>
      </c>
      <c r="H22" s="14">
        <f>IF(C20&lt;=25%,D20,MIN(E20:F20))</f>
        <v>11.12</v>
      </c>
    </row>
    <row r="23" spans="1:9" x14ac:dyDescent="0.25">
      <c r="G23" s="13" t="s">
        <v>6</v>
      </c>
      <c r="H23" s="14">
        <f>ROUND(H22,2)*D3</f>
        <v>3335.9999999999995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4</v>
      </c>
      <c r="B3" s="34" t="s">
        <v>101</v>
      </c>
      <c r="C3" s="36" t="s">
        <v>7</v>
      </c>
      <c r="D3" s="36">
        <v>200</v>
      </c>
      <c r="E3" s="37">
        <f>IF(C20&lt;=25%,D20,MIN(E20:F20))</f>
        <v>178.11</v>
      </c>
      <c r="F3" s="37">
        <f>MIN(H3:H17)</f>
        <v>105.831</v>
      </c>
      <c r="G3" s="5" t="s">
        <v>138</v>
      </c>
      <c r="H3" s="16">
        <v>105.831</v>
      </c>
      <c r="I3" s="17">
        <f>IF(H3="","",(IF($C$20&lt;25%,"n/a",IF(H3&lt;=($D$20+$A$20),H3,"Descartado"))))</f>
        <v>105.831</v>
      </c>
    </row>
    <row r="4" spans="1:9" x14ac:dyDescent="0.25">
      <c r="A4" s="38"/>
      <c r="B4" s="35"/>
      <c r="C4" s="36"/>
      <c r="D4" s="36"/>
      <c r="E4" s="37"/>
      <c r="F4" s="37"/>
      <c r="G4" s="5" t="s">
        <v>139</v>
      </c>
      <c r="H4" s="16">
        <v>125</v>
      </c>
      <c r="I4" s="17">
        <f t="shared" ref="I4:I17" si="0">IF(H4="","",(IF($C$20&lt;25%,"n/a",IF(H4&lt;=($D$20+$A$20),H4,"Descartado"))))</f>
        <v>125</v>
      </c>
    </row>
    <row r="5" spans="1:9" x14ac:dyDescent="0.25">
      <c r="A5" s="38"/>
      <c r="B5" s="35"/>
      <c r="C5" s="36"/>
      <c r="D5" s="36"/>
      <c r="E5" s="37"/>
      <c r="F5" s="37"/>
      <c r="G5" s="5" t="s">
        <v>140</v>
      </c>
      <c r="H5" s="16">
        <v>134.99</v>
      </c>
      <c r="I5" s="17">
        <f t="shared" si="0"/>
        <v>134.99</v>
      </c>
    </row>
    <row r="6" spans="1:9" x14ac:dyDescent="0.25">
      <c r="A6" s="38"/>
      <c r="B6" s="35"/>
      <c r="C6" s="36"/>
      <c r="D6" s="36"/>
      <c r="E6" s="37"/>
      <c r="F6" s="37"/>
      <c r="G6" s="5" t="s">
        <v>141</v>
      </c>
      <c r="H6" s="16">
        <v>280</v>
      </c>
      <c r="I6" s="17">
        <f t="shared" si="0"/>
        <v>280</v>
      </c>
    </row>
    <row r="7" spans="1:9" x14ac:dyDescent="0.25">
      <c r="A7" s="38"/>
      <c r="B7" s="35"/>
      <c r="C7" s="36"/>
      <c r="D7" s="36"/>
      <c r="E7" s="37"/>
      <c r="F7" s="37"/>
      <c r="G7" s="5" t="s">
        <v>142</v>
      </c>
      <c r="H7" s="16">
        <v>252.82</v>
      </c>
      <c r="I7" s="17">
        <f t="shared" si="0"/>
        <v>252.82</v>
      </c>
    </row>
    <row r="8" spans="1:9" x14ac:dyDescent="0.25">
      <c r="A8" s="38"/>
      <c r="B8" s="35"/>
      <c r="C8" s="36"/>
      <c r="D8" s="36"/>
      <c r="E8" s="37"/>
      <c r="F8" s="37"/>
      <c r="G8" s="5" t="s">
        <v>143</v>
      </c>
      <c r="H8" s="16">
        <v>2000</v>
      </c>
      <c r="I8" s="17" t="str">
        <f t="shared" si="0"/>
        <v>Descartado</v>
      </c>
    </row>
    <row r="9" spans="1:9" x14ac:dyDescent="0.25">
      <c r="A9" s="38"/>
      <c r="B9" s="35"/>
      <c r="C9" s="36"/>
      <c r="D9" s="36"/>
      <c r="E9" s="37"/>
      <c r="F9" s="37"/>
      <c r="G9" s="5" t="s">
        <v>144</v>
      </c>
      <c r="H9" s="16">
        <v>170</v>
      </c>
      <c r="I9" s="17">
        <f t="shared" si="0"/>
        <v>170</v>
      </c>
    </row>
    <row r="10" spans="1:9" x14ac:dyDescent="0.25">
      <c r="A10" s="38"/>
      <c r="B10" s="35"/>
      <c r="C10" s="36"/>
      <c r="D10" s="36"/>
      <c r="E10" s="37"/>
      <c r="F10" s="37"/>
      <c r="G10" s="5" t="s">
        <v>145</v>
      </c>
      <c r="H10" s="16">
        <v>1770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794.85934175271132</v>
      </c>
      <c r="B20" s="8">
        <f>COUNT(H3:H17)</f>
        <v>8</v>
      </c>
      <c r="C20" s="9">
        <f>IF(B20&lt;2,"n/a",(A20/D20))</f>
        <v>1.3141863693148674</v>
      </c>
      <c r="D20" s="10">
        <f>IFERROR(ROUND(AVERAGE(H3:H17),2),"")</f>
        <v>604.83000000000004</v>
      </c>
      <c r="E20" s="15">
        <f>IFERROR(ROUND(IF(B20&lt;2,"n/a",(IF(C20&lt;=25%,"n/a",AVERAGE(I3:I17)))),2),"n/a")</f>
        <v>178.11</v>
      </c>
      <c r="F20" s="10">
        <f>IFERROR(ROUND(MEDIAN(H3:H17),2),"")</f>
        <v>211.41</v>
      </c>
      <c r="G20" s="11" t="str">
        <f>IFERROR(INDEX(G3:G17,MATCH(H20,H3:H17,0)),"")</f>
        <v>COMPUSET INFORMATICA LTDA</v>
      </c>
      <c r="H20" s="12">
        <f>F3</f>
        <v>105.831</v>
      </c>
    </row>
    <row r="22" spans="1:9" x14ac:dyDescent="0.25">
      <c r="G22" s="13" t="s">
        <v>20</v>
      </c>
      <c r="H22" s="14">
        <f>IF(C20&lt;=25%,D20,MIN(E20:F20))</f>
        <v>178.11</v>
      </c>
    </row>
    <row r="23" spans="1:9" x14ac:dyDescent="0.25">
      <c r="G23" s="13" t="s">
        <v>6</v>
      </c>
      <c r="H23" s="14">
        <f>ROUND(H22,2)*D3</f>
        <v>35622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5</v>
      </c>
      <c r="B3" s="34" t="s">
        <v>102</v>
      </c>
      <c r="C3" s="36" t="s">
        <v>7</v>
      </c>
      <c r="D3" s="36">
        <v>200</v>
      </c>
      <c r="E3" s="37">
        <f>IF(C20&lt;=25%,D20,MIN(E20:F20))</f>
        <v>120.84</v>
      </c>
      <c r="F3" s="37">
        <f>MIN(H3:H17)</f>
        <v>99</v>
      </c>
      <c r="G3" s="5" t="s">
        <v>139</v>
      </c>
      <c r="H3" s="16">
        <v>107.8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146</v>
      </c>
      <c r="H4" s="16">
        <v>117.4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147</v>
      </c>
      <c r="H5" s="16">
        <v>99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138</v>
      </c>
      <c r="H6" s="16">
        <v>114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148</v>
      </c>
      <c r="H7" s="16">
        <v>166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26.196717351607173</v>
      </c>
      <c r="B20" s="8">
        <f>COUNT(H3:H17)</f>
        <v>5</v>
      </c>
      <c r="C20" s="9">
        <f>IF(B20&lt;2,"n/a",(A20/D20))</f>
        <v>0.21678845871902658</v>
      </c>
      <c r="D20" s="10">
        <f>IFERROR(ROUND(AVERAGE(H3:H17),2),"")</f>
        <v>120.84</v>
      </c>
      <c r="E20" s="15" t="str">
        <f>IFERROR(ROUND(IF(B20&lt;2,"n/a",(IF(C20&lt;=25%,"n/a",AVERAGE(I3:I17)))),2),"n/a")</f>
        <v>n/a</v>
      </c>
      <c r="F20" s="10">
        <f>IFERROR(ROUND(MEDIAN(H3:H17),2),"")</f>
        <v>114</v>
      </c>
      <c r="G20" s="11" t="str">
        <f>IFERROR(INDEX(G3:G17,MATCH(H20,H3:H17,0)),"")</f>
        <v>37.400.911 JOEL SILVA GOMES</v>
      </c>
      <c r="H20" s="12">
        <f>F3</f>
        <v>99</v>
      </c>
    </row>
    <row r="22" spans="1:9" x14ac:dyDescent="0.25">
      <c r="G22" s="13" t="s">
        <v>20</v>
      </c>
      <c r="H22" s="14">
        <f>IF(C20&lt;=25%,D20,MIN(E20:F20))</f>
        <v>120.84</v>
      </c>
    </row>
    <row r="23" spans="1:9" x14ac:dyDescent="0.25">
      <c r="G23" s="13" t="s">
        <v>6</v>
      </c>
      <c r="H23" s="14">
        <f>ROUND(H22,2)*D3</f>
        <v>24168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6</v>
      </c>
      <c r="B3" s="34" t="s">
        <v>103</v>
      </c>
      <c r="C3" s="36" t="s">
        <v>7</v>
      </c>
      <c r="D3" s="36">
        <v>500</v>
      </c>
      <c r="E3" s="37">
        <f>IF(C20&lt;=25%,D20,MIN(E20:F20))</f>
        <v>69.209999999999994</v>
      </c>
      <c r="F3" s="37">
        <f>MIN(H3:H17)</f>
        <v>15.99</v>
      </c>
      <c r="G3" s="5" t="s">
        <v>149</v>
      </c>
      <c r="H3" s="16">
        <v>15.99</v>
      </c>
      <c r="I3" s="17">
        <f>IF(H3="","",(IF($C$20&lt;25%,"n/a",IF(H3&lt;=($D$20+$A$20),H3,"Descartado"))))</f>
        <v>15.99</v>
      </c>
    </row>
    <row r="4" spans="1:9" x14ac:dyDescent="0.25">
      <c r="A4" s="38"/>
      <c r="B4" s="35"/>
      <c r="C4" s="36"/>
      <c r="D4" s="36"/>
      <c r="E4" s="37"/>
      <c r="F4" s="37"/>
      <c r="G4" s="5" t="s">
        <v>150</v>
      </c>
      <c r="H4" s="16">
        <v>552.55200000000002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173</v>
      </c>
      <c r="H5" s="16">
        <v>84.55</v>
      </c>
      <c r="I5" s="17">
        <f t="shared" si="0"/>
        <v>84.55</v>
      </c>
    </row>
    <row r="6" spans="1:9" x14ac:dyDescent="0.25">
      <c r="A6" s="38"/>
      <c r="B6" s="35"/>
      <c r="C6" s="36"/>
      <c r="D6" s="36"/>
      <c r="E6" s="37"/>
      <c r="F6" s="37"/>
      <c r="G6" s="5" t="s">
        <v>174</v>
      </c>
      <c r="H6" s="16">
        <v>96.28</v>
      </c>
      <c r="I6" s="17">
        <f t="shared" si="0"/>
        <v>96.28</v>
      </c>
    </row>
    <row r="7" spans="1:9" x14ac:dyDescent="0.25">
      <c r="A7" s="38"/>
      <c r="B7" s="35"/>
      <c r="C7" s="36"/>
      <c r="D7" s="36"/>
      <c r="E7" s="37"/>
      <c r="F7" s="37"/>
      <c r="G7" s="5" t="s">
        <v>175</v>
      </c>
      <c r="H7" s="16">
        <v>80</v>
      </c>
      <c r="I7" s="17">
        <f t="shared" si="0"/>
        <v>80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218.41265463978962</v>
      </c>
      <c r="B20" s="8">
        <f>COUNT(H3:H17)</f>
        <v>5</v>
      </c>
      <c r="C20" s="9">
        <f>IF(B20&lt;2,"n/a",(A20/D20))</f>
        <v>1.3167700888635052</v>
      </c>
      <c r="D20" s="10">
        <f>IFERROR(ROUND(AVERAGE(H3:H17),2),"")</f>
        <v>165.87</v>
      </c>
      <c r="E20" s="15">
        <f>IFERROR(ROUND(IF(B20&lt;2,"n/a",(IF(C20&lt;=25%,"n/a",AVERAGE(I3:I17)))),2),"n/a")</f>
        <v>69.209999999999994</v>
      </c>
      <c r="F20" s="10">
        <f>IFERROR(ROUND(MEDIAN(H3:H17),2),"")</f>
        <v>84.55</v>
      </c>
      <c r="G20" s="11" t="str">
        <f>IFERROR(INDEX(G3:G17,MATCH(H20,H3:H17,0)),"")</f>
        <v>DECIO CAMARGO - PRODUTOS E EQUIPAMENTOS LABORATORIAIS LTDA.</v>
      </c>
      <c r="H20" s="12">
        <f>F3</f>
        <v>15.99</v>
      </c>
    </row>
    <row r="22" spans="1:9" x14ac:dyDescent="0.25">
      <c r="G22" s="13" t="s">
        <v>20</v>
      </c>
      <c r="H22" s="14">
        <f>IF(C20&lt;=25%,D20,MIN(E20:F20))</f>
        <v>69.209999999999994</v>
      </c>
    </row>
    <row r="23" spans="1:9" x14ac:dyDescent="0.25">
      <c r="G23" s="13" t="s">
        <v>6</v>
      </c>
      <c r="H23" s="14">
        <f>ROUND(H22,2)*D3</f>
        <v>34605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7</v>
      </c>
      <c r="B3" s="34" t="s">
        <v>104</v>
      </c>
      <c r="C3" s="36" t="s">
        <v>7</v>
      </c>
      <c r="D3" s="36">
        <v>200</v>
      </c>
      <c r="E3" s="37">
        <f>IF(C20&lt;=25%,D20,MIN(E20:F20))</f>
        <v>75.510000000000005</v>
      </c>
      <c r="F3" s="37">
        <f>MIN(H3:H17)</f>
        <v>69</v>
      </c>
      <c r="G3" s="5" t="s">
        <v>151</v>
      </c>
      <c r="H3" s="16">
        <v>119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152</v>
      </c>
      <c r="H4" s="16">
        <v>70.180000000000007</v>
      </c>
      <c r="I4" s="17">
        <f t="shared" ref="I4:I17" si="0">IF(H4="","",(IF($C$20&lt;25%,"n/a",IF(H4&lt;=($D$20+$A$20),H4,"Descartado"))))</f>
        <v>70.180000000000007</v>
      </c>
    </row>
    <row r="5" spans="1:9" x14ac:dyDescent="0.25">
      <c r="A5" s="38"/>
      <c r="B5" s="35"/>
      <c r="C5" s="36"/>
      <c r="D5" s="36"/>
      <c r="E5" s="37"/>
      <c r="F5" s="37"/>
      <c r="G5" s="5" t="s">
        <v>153</v>
      </c>
      <c r="H5" s="16">
        <v>69.5</v>
      </c>
      <c r="I5" s="17">
        <f t="shared" si="0"/>
        <v>69.5</v>
      </c>
    </row>
    <row r="6" spans="1:9" x14ac:dyDescent="0.25">
      <c r="A6" s="38"/>
      <c r="B6" s="35"/>
      <c r="C6" s="36"/>
      <c r="D6" s="36"/>
      <c r="E6" s="37"/>
      <c r="F6" s="37"/>
      <c r="G6" s="5" t="s">
        <v>147</v>
      </c>
      <c r="H6" s="16">
        <v>88</v>
      </c>
      <c r="I6" s="17">
        <f t="shared" si="0"/>
        <v>88</v>
      </c>
    </row>
    <row r="7" spans="1:9" x14ac:dyDescent="0.25">
      <c r="A7" s="38"/>
      <c r="B7" s="35"/>
      <c r="C7" s="36"/>
      <c r="D7" s="36"/>
      <c r="E7" s="37"/>
      <c r="F7" s="37"/>
      <c r="G7" s="5" t="s">
        <v>154</v>
      </c>
      <c r="H7" s="16">
        <v>78.400000000000006</v>
      </c>
      <c r="I7" s="17">
        <f t="shared" si="0"/>
        <v>78.400000000000006</v>
      </c>
    </row>
    <row r="8" spans="1:9" x14ac:dyDescent="0.25">
      <c r="A8" s="38"/>
      <c r="B8" s="35"/>
      <c r="C8" s="36"/>
      <c r="D8" s="36"/>
      <c r="E8" s="37"/>
      <c r="F8" s="37"/>
      <c r="G8" s="5" t="s">
        <v>155</v>
      </c>
      <c r="H8" s="16">
        <v>78</v>
      </c>
      <c r="I8" s="17">
        <f t="shared" si="0"/>
        <v>78</v>
      </c>
    </row>
    <row r="9" spans="1:9" x14ac:dyDescent="0.25">
      <c r="A9" s="38"/>
      <c r="B9" s="35"/>
      <c r="C9" s="36"/>
      <c r="D9" s="36"/>
      <c r="E9" s="37"/>
      <c r="F9" s="37"/>
      <c r="G9" s="5" t="s">
        <v>156</v>
      </c>
      <c r="H9" s="16">
        <v>69</v>
      </c>
      <c r="I9" s="17">
        <f t="shared" si="0"/>
        <v>69</v>
      </c>
    </row>
    <row r="10" spans="1:9" x14ac:dyDescent="0.25">
      <c r="A10" s="38"/>
      <c r="B10" s="35"/>
      <c r="C10" s="36"/>
      <c r="D10" s="36"/>
      <c r="E10" s="37"/>
      <c r="F10" s="37"/>
      <c r="G10" s="5" t="s">
        <v>157</v>
      </c>
      <c r="H10" s="16">
        <v>124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22.239352508560131</v>
      </c>
      <c r="B20" s="8">
        <f>COUNT(H3:H17)</f>
        <v>8</v>
      </c>
      <c r="C20" s="9">
        <f>IF(B20&lt;2,"n/a",(A20/D20))</f>
        <v>0.25559536270038075</v>
      </c>
      <c r="D20" s="10">
        <f>IFERROR(ROUND(AVERAGE(H3:H17),2),"")</f>
        <v>87.01</v>
      </c>
      <c r="E20" s="15">
        <f>IFERROR(ROUND(IF(B20&lt;2,"n/a",(IF(C20&lt;=25%,"n/a",AVERAGE(I3:I17)))),2),"n/a")</f>
        <v>75.510000000000005</v>
      </c>
      <c r="F20" s="10">
        <f>IFERROR(ROUND(MEDIAN(H3:H17),2),"")</f>
        <v>78.2</v>
      </c>
      <c r="G20" s="11" t="str">
        <f>IFERROR(INDEX(G3:G17,MATCH(H20,H3:H17,0)),"")</f>
        <v>ULTRA MAX COMERCIAL LTDA</v>
      </c>
      <c r="H20" s="12">
        <f>F3</f>
        <v>69</v>
      </c>
    </row>
    <row r="22" spans="1:9" x14ac:dyDescent="0.25">
      <c r="G22" s="13" t="s">
        <v>20</v>
      </c>
      <c r="H22" s="14">
        <f>IF(C20&lt;=25%,D20,MIN(E20:F20))</f>
        <v>75.510000000000005</v>
      </c>
    </row>
    <row r="23" spans="1:9" x14ac:dyDescent="0.25">
      <c r="G23" s="13" t="s">
        <v>6</v>
      </c>
      <c r="H23" s="14">
        <f>ROUND(H22,2)*D3</f>
        <v>15102.000000000002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8</v>
      </c>
      <c r="B3" s="34" t="s">
        <v>105</v>
      </c>
      <c r="C3" s="36" t="s">
        <v>7</v>
      </c>
      <c r="D3" s="36">
        <v>200</v>
      </c>
      <c r="E3" s="37">
        <f>IF(C20&lt;=25%,D20,MIN(E20:F20))</f>
        <v>10.75</v>
      </c>
      <c r="F3" s="37">
        <f>MIN(H3:H17)</f>
        <v>8.42</v>
      </c>
      <c r="G3" s="5" t="s">
        <v>158</v>
      </c>
      <c r="H3" s="16">
        <v>8.42</v>
      </c>
      <c r="I3" s="17">
        <f>IF(H3="","",(IF($C$20&lt;25%,"n/a",IF(H3&lt;=($D$20+$A$20),H3,"Descartado"))))</f>
        <v>8.42</v>
      </c>
    </row>
    <row r="4" spans="1:9" x14ac:dyDescent="0.25">
      <c r="A4" s="38"/>
      <c r="B4" s="35"/>
      <c r="C4" s="36"/>
      <c r="D4" s="36"/>
      <c r="E4" s="37"/>
      <c r="F4" s="37"/>
      <c r="G4" s="5" t="s">
        <v>159</v>
      </c>
      <c r="H4" s="16">
        <v>10.75</v>
      </c>
      <c r="I4" s="17">
        <f t="shared" ref="I4:I17" si="0">IF(H4="","",(IF($C$20&lt;25%,"n/a",IF(H4&lt;=($D$20+$A$20),H4,"Descartado"))))</f>
        <v>10.75</v>
      </c>
    </row>
    <row r="5" spans="1:9" x14ac:dyDescent="0.25">
      <c r="A5" s="38"/>
      <c r="B5" s="35"/>
      <c r="C5" s="36"/>
      <c r="D5" s="36"/>
      <c r="E5" s="37"/>
      <c r="F5" s="37"/>
      <c r="G5" s="5" t="s">
        <v>173</v>
      </c>
      <c r="H5" s="16">
        <v>17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176</v>
      </c>
      <c r="H6" s="16">
        <v>14.7</v>
      </c>
      <c r="I6" s="17">
        <f t="shared" si="0"/>
        <v>14.7</v>
      </c>
    </row>
    <row r="7" spans="1:9" x14ac:dyDescent="0.25">
      <c r="A7" s="38"/>
      <c r="B7" s="35"/>
      <c r="C7" s="36"/>
      <c r="D7" s="36"/>
      <c r="E7" s="37"/>
      <c r="F7" s="37"/>
      <c r="G7" s="5" t="s">
        <v>177</v>
      </c>
      <c r="H7" s="16">
        <v>9.99</v>
      </c>
      <c r="I7" s="17">
        <f t="shared" si="0"/>
        <v>9.99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3.5553157384401159</v>
      </c>
      <c r="B20" s="8">
        <f>COUNT(H3:H17)</f>
        <v>5</v>
      </c>
      <c r="C20" s="9">
        <f>IF(B20&lt;2,"n/a",(A20/D20))</f>
        <v>0.29213769420214591</v>
      </c>
      <c r="D20" s="10">
        <f>IFERROR(ROUND(AVERAGE(H3:H17),2),"")</f>
        <v>12.17</v>
      </c>
      <c r="E20" s="15">
        <f>IFERROR(ROUND(IF(B20&lt;2,"n/a",(IF(C20&lt;=25%,"n/a",AVERAGE(I3:I17)))),2),"n/a")</f>
        <v>10.97</v>
      </c>
      <c r="F20" s="10">
        <f>IFERROR(ROUND(MEDIAN(H3:H17),2),"")</f>
        <v>10.75</v>
      </c>
      <c r="G20" s="11" t="str">
        <f>IFERROR(INDEX(G3:G17,MATCH(H20,H3:H17,0)),"")</f>
        <v>NIVA TECNOLOGIA DA INFORMACAO LTDA</v>
      </c>
      <c r="H20" s="12">
        <f>F3</f>
        <v>8.42</v>
      </c>
    </row>
    <row r="22" spans="1:9" x14ac:dyDescent="0.25">
      <c r="G22" s="13" t="s">
        <v>20</v>
      </c>
      <c r="H22" s="14">
        <f>IF(C20&lt;=25%,D20,MIN(E20:F20))</f>
        <v>10.75</v>
      </c>
    </row>
    <row r="23" spans="1:9" x14ac:dyDescent="0.25">
      <c r="G23" s="13" t="s">
        <v>6</v>
      </c>
      <c r="H23" s="14">
        <f>ROUND(H22,2)*D3</f>
        <v>2150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9</v>
      </c>
      <c r="B3" s="34" t="s">
        <v>106</v>
      </c>
      <c r="C3" s="36" t="s">
        <v>7</v>
      </c>
      <c r="D3" s="36">
        <v>200</v>
      </c>
      <c r="E3" s="37">
        <f>IF(C20&lt;=25%,D20,MIN(E20:F20))</f>
        <v>28.41</v>
      </c>
      <c r="F3" s="37">
        <f>MIN(H3:H17)</f>
        <v>18.600000000000001</v>
      </c>
      <c r="G3" s="5" t="s">
        <v>160</v>
      </c>
      <c r="H3" s="16">
        <v>50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161</v>
      </c>
      <c r="H4" s="16">
        <v>34</v>
      </c>
      <c r="I4" s="17">
        <f t="shared" ref="I4:I17" si="0">IF(H4="","",(IF($C$20&lt;25%,"n/a",IF(H4&lt;=($D$20+$A$20),H4,"Descartado"))))</f>
        <v>34</v>
      </c>
    </row>
    <row r="5" spans="1:9" x14ac:dyDescent="0.25">
      <c r="A5" s="38"/>
      <c r="B5" s="35"/>
      <c r="C5" s="36"/>
      <c r="D5" s="36"/>
      <c r="E5" s="37"/>
      <c r="F5" s="37"/>
      <c r="G5" s="5" t="s">
        <v>162</v>
      </c>
      <c r="H5" s="16">
        <v>23.3</v>
      </c>
      <c r="I5" s="17">
        <f t="shared" si="0"/>
        <v>23.3</v>
      </c>
    </row>
    <row r="6" spans="1:9" x14ac:dyDescent="0.25">
      <c r="A6" s="38"/>
      <c r="B6" s="35"/>
      <c r="C6" s="36"/>
      <c r="D6" s="36"/>
      <c r="E6" s="37"/>
      <c r="F6" s="37"/>
      <c r="G6" s="5" t="s">
        <v>163</v>
      </c>
      <c r="H6" s="16">
        <v>40</v>
      </c>
      <c r="I6" s="17">
        <f t="shared" si="0"/>
        <v>40</v>
      </c>
    </row>
    <row r="7" spans="1:9" x14ac:dyDescent="0.25">
      <c r="A7" s="38"/>
      <c r="B7" s="35"/>
      <c r="C7" s="36"/>
      <c r="D7" s="36"/>
      <c r="E7" s="37"/>
      <c r="F7" s="37"/>
      <c r="G7" s="5" t="s">
        <v>144</v>
      </c>
      <c r="H7" s="16">
        <v>26.14</v>
      </c>
      <c r="I7" s="17">
        <f t="shared" si="0"/>
        <v>26.14</v>
      </c>
    </row>
    <row r="8" spans="1:9" x14ac:dyDescent="0.25">
      <c r="A8" s="38"/>
      <c r="B8" s="35"/>
      <c r="C8" s="36"/>
      <c r="D8" s="36"/>
      <c r="E8" s="37"/>
      <c r="F8" s="37"/>
      <c r="G8" s="5" t="s">
        <v>164</v>
      </c>
      <c r="H8" s="16">
        <v>18.600000000000001</v>
      </c>
      <c r="I8" s="17">
        <f t="shared" si="0"/>
        <v>18.600000000000001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11.675524256609073</v>
      </c>
      <c r="B20" s="8">
        <f>COUNT(H3:H17)</f>
        <v>6</v>
      </c>
      <c r="C20" s="9">
        <f>IF(B20&lt;2,"n/a",(A20/D20))</f>
        <v>0.36474614984720632</v>
      </c>
      <c r="D20" s="10">
        <f>IFERROR(ROUND(AVERAGE(H3:H17),2),"")</f>
        <v>32.01</v>
      </c>
      <c r="E20" s="15">
        <f>IFERROR(ROUND(IF(B20&lt;2,"n/a",(IF(C20&lt;=25%,"n/a",AVERAGE(I3:I17)))),2),"n/a")</f>
        <v>28.41</v>
      </c>
      <c r="F20" s="10">
        <f>IFERROR(ROUND(MEDIAN(H3:H17),2),"")</f>
        <v>30.07</v>
      </c>
      <c r="G20" s="11" t="str">
        <f>IFERROR(INDEX(G3:G17,MATCH(H20,H3:H17,0)),"")</f>
        <v>QUALITY ATACADO LTDA</v>
      </c>
      <c r="H20" s="12">
        <f>F3</f>
        <v>18.600000000000001</v>
      </c>
    </row>
    <row r="22" spans="1:9" x14ac:dyDescent="0.25">
      <c r="G22" s="13" t="s">
        <v>20</v>
      </c>
      <c r="H22" s="14">
        <f>IF(C20&lt;=25%,D20,MIN(E20:F20))</f>
        <v>28.41</v>
      </c>
    </row>
    <row r="23" spans="1:9" x14ac:dyDescent="0.25">
      <c r="G23" s="13" t="s">
        <v>6</v>
      </c>
      <c r="H23" s="14">
        <f>ROUND(H22,2)*D3</f>
        <v>5682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2</vt:i4>
      </vt:variant>
    </vt:vector>
  </HeadingPairs>
  <TitlesOfParts>
    <vt:vector size="3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2024-01-17T18:55:53Z</cp:lastPrinted>
  <dcterms:created xsi:type="dcterms:W3CDTF">2023-11-07T17:10:34Z</dcterms:created>
  <dcterms:modified xsi:type="dcterms:W3CDTF">2025-09-02T14:49:25Z</dcterms:modified>
</cp:coreProperties>
</file>