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8"/>
  </bookViews>
  <sheets>
    <sheet name="Item1" sheetId="1" r:id="rId1"/>
    <sheet name="Item2" sheetId="4"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Item 3" sheetId="31" r:id="rId28"/>
    <sheet name="total" sheetId="23" r:id="rId29"/>
  </sheets>
  <definedNames>
    <definedName name="_xlnm.Print_Area" localSheetId="28">total!$A$1:$G$9</definedName>
    <definedName name="_xlnm.Print_Titles" localSheetId="28">total!$1:$2</definedName>
  </definedNames>
  <calcPr calcId="145621"/>
</workbook>
</file>

<file path=xl/calcChain.xml><?xml version="1.0" encoding="utf-8"?>
<calcChain xmlns="http://schemas.openxmlformats.org/spreadsheetml/2006/main">
  <c r="H17" i="31" l="1"/>
  <c r="H16" i="31"/>
  <c r="H15" i="31"/>
  <c r="H14" i="31"/>
  <c r="H13" i="31"/>
  <c r="H12" i="31"/>
  <c r="H11" i="31"/>
  <c r="B20" i="31" s="1"/>
  <c r="A20" i="31" s="1"/>
  <c r="H10" i="31"/>
  <c r="H9" i="31"/>
  <c r="H8" i="31"/>
  <c r="H7" i="31"/>
  <c r="H17" i="1"/>
  <c r="H16" i="1"/>
  <c r="H15" i="1"/>
  <c r="H14" i="1"/>
  <c r="H13" i="1"/>
  <c r="H12" i="1"/>
  <c r="H11" i="1"/>
  <c r="H10" i="1"/>
  <c r="H9" i="1"/>
  <c r="H8" i="1"/>
  <c r="H7" i="1"/>
  <c r="B4" i="23"/>
  <c r="E3" i="23"/>
  <c r="C5" i="23"/>
  <c r="F3" i="31" l="1"/>
  <c r="H20" i="31" s="1"/>
  <c r="G20" i="31" s="1"/>
  <c r="D20" i="31"/>
  <c r="C20" i="31" s="1"/>
  <c r="F20" i="31"/>
  <c r="F20" i="30"/>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I11" i="31" l="1"/>
  <c r="I12" i="31"/>
  <c r="I5" i="31"/>
  <c r="I6" i="31"/>
  <c r="I4" i="31"/>
  <c r="I7" i="31"/>
  <c r="I9" i="31"/>
  <c r="I3" i="31"/>
  <c r="E20" i="31" s="1"/>
  <c r="H22" i="31" s="1"/>
  <c r="H23" i="31" s="1"/>
  <c r="I13" i="31"/>
  <c r="I15" i="31"/>
  <c r="I10" i="31"/>
  <c r="I14" i="31"/>
  <c r="I8" i="31"/>
  <c r="I16" i="31"/>
  <c r="I17" i="31"/>
  <c r="C20" i="24"/>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10" i="23"/>
  <c r="C4" i="23"/>
  <c r="D4" i="23"/>
  <c r="E4" i="23"/>
  <c r="C3" i="23"/>
  <c r="D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3" i="31" l="1"/>
  <c r="F5" i="23"/>
  <c r="G5" i="23" s="1"/>
  <c r="E20" i="28"/>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I18"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21" l="1"/>
  <c r="E3" i="19"/>
  <c r="E3" i="15"/>
  <c r="H22" i="13"/>
  <c r="H23" i="13" s="1"/>
  <c r="E3" i="10"/>
  <c r="H22" i="5"/>
  <c r="H23" i="5" s="1"/>
  <c r="H22" i="4"/>
  <c r="H23" i="4" s="1"/>
  <c r="E3" i="11"/>
  <c r="H22" i="7"/>
  <c r="H23" i="7" s="1"/>
  <c r="E3" i="7"/>
  <c r="H22" i="17"/>
  <c r="H23" i="17" s="1"/>
  <c r="E3" i="17"/>
  <c r="E3" i="1"/>
  <c r="F3" i="23" s="1"/>
  <c r="G3" i="23" s="1"/>
  <c r="H22" i="1"/>
  <c r="H23" i="1" s="1"/>
  <c r="F12" i="23" l="1"/>
  <c r="F8" i="23"/>
</calcChain>
</file>

<file path=xl/sharedStrings.xml><?xml version="1.0" encoding="utf-8"?>
<sst xmlns="http://schemas.openxmlformats.org/spreadsheetml/2006/main" count="1039" uniqueCount="234">
  <si>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</si>
  <si>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</si>
  <si>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</si>
  <si>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</si>
  <si>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</si>
  <si>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</si>
  <si>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</si>
  <si>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</si>
  <si>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</si>
  <si>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</si>
  <si>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</si>
  <si>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</si>
  <si>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</si>
  <si>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</si>
  <si>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</si>
  <si>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</si>
  <si>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</si>
  <si>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</si>
  <si>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</si>
  <si>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</si>
  <si>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</si>
  <si>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</si>
  <si>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</si>
  <si>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</si>
  <si>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</si>
  <si>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</si>
  <si>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</si>
  <si>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</si>
  <si>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</si>
  <si>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</si>
  <si>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</si>
  <si>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</si>
  <si>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</si>
  <si>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</si>
  <si>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</si>
  <si>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</si>
  <si>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</si>
  <si>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</si>
  <si>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</si>
  <si>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</si>
  <si>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</si>
  <si>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</si>
  <si>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</si>
  <si>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</si>
  <si>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</si>
  <si>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</si>
  <si>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</si>
  <si>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</si>
  <si>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</si>
  <si>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</si>
  <si>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</si>
  <si>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</si>
  <si>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</si>
  <si>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</si>
  <si>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</si>
  <si>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</si>
  <si>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</si>
  <si>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</si>
  <si>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</si>
  <si>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</si>
  <si>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</si>
  <si>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</si>
  <si>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</si>
  <si>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</si>
  <si>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</si>
  <si>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</si>
  <si>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</si>
  <si>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</si>
  <si>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</si>
  <si>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</si>
  <si>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</si>
  <si>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</si>
  <si>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</si>
  <si>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</si>
  <si>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</si>
  <si>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</si>
  <si>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</si>
  <si>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</si>
  <si>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</si>
  <si>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</si>
  <si>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</si>
  <si>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</si>
  <si>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</si>
  <si>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</si>
  <si>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</si>
  <si>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</si>
  <si>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</si>
  <si>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</si>
  <si>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</si>
  <si>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</si>
  <si>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</si>
  <si>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</si>
  <si>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</si>
  <si>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</si>
  <si>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</si>
  <si>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</si>
  <si>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</si>
  <si>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</si>
  <si>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</si>
  <si>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</si>
  <si>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</si>
  <si>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</si>
  <si>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</si>
  <si>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</si>
  <si>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</si>
  <si>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</si>
  <si>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</si>
  <si>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</si>
  <si>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</si>
  <si>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</si>
  <si>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</si>
  <si>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</si>
  <si>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</si>
  <si>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</si>
  <si>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</si>
  <si>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</si>
  <si>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</si>
  <si>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</si>
  <si>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</si>
  <si>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</si>
  <si>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</si>
  <si>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</si>
  <si>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</si>
  <si>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</si>
  <si>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</si>
  <si>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</si>
  <si>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</si>
  <si>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</si>
  <si>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</si>
  <si>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</si>
  <si>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</si>
  <si>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</si>
  <si>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</si>
  <si>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</si>
  <si>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</si>
  <si>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</si>
  <si>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</si>
  <si>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</si>
  <si>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</si>
  <si>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</si>
  <si>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</si>
  <si>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</si>
  <si>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</si>
  <si>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</si>
  <si>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</si>
  <si>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</si>
  <si>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</si>
  <si>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</si>
  <si>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</si>
  <si>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</si>
  <si>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</si>
  <si>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</si>
  <si>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</si>
  <si>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</si>
  <si>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</si>
  <si>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</si>
  <si>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</si>
  <si>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</si>
  <si>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</si>
  <si>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</si>
  <si>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</si>
  <si>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</si>
  <si>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</si>
  <si>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</si>
  <si>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</si>
  <si>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</si>
  <si>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</si>
  <si>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</si>
  <si>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</si>
  <si>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</si>
  <si>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</si>
  <si>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</si>
  <si>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</si>
  <si>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</si>
  <si>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</si>
  <si>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</si>
  <si>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</si>
  <si>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</si>
  <si>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</si>
  <si>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</si>
  <si>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</si>
  <si>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</si>
  <si>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</si>
  <si>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</si>
  <si>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</si>
  <si>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</si>
  <si>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</si>
  <si>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</si>
  <si>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</si>
  <si>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</si>
  <si>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</si>
  <si>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</si>
  <si>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</si>
  <si>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</si>
  <si>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</si>
  <si>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</si>
  <si>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</si>
  <si>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</si>
  <si>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</si>
  <si>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</si>
  <si>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</si>
  <si>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</si>
  <si>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</si>
  <si>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UNIDADE</t>
  </si>
  <si>
    <t>SOBRAL INFORMÁTICA</t>
  </si>
  <si>
    <t>TRP STORE</t>
  </si>
  <si>
    <t>PE 90220/2024 - 23.964.820/000107</t>
  </si>
  <si>
    <t>PE 90220/2024 - 09.636.384/0002-99</t>
  </si>
  <si>
    <t>PE 90220/2024 - 41.741.673/0001-80</t>
  </si>
  <si>
    <t>PE 90220/2024 - 07.953.689/0001-18</t>
  </si>
  <si>
    <t>PE 90220/2024 - 52.623.583/0001-00</t>
  </si>
  <si>
    <t>PE 90220/2024 - 50.594.004/0001-13</t>
  </si>
  <si>
    <t>PE 90220/2024 - 49.949.246/0001-01</t>
  </si>
  <si>
    <t>PE 90220/2024 - 46.062.761/0001-79</t>
  </si>
  <si>
    <t>PE 90220/2024 - 46.329.140/0001-05</t>
  </si>
  <si>
    <t>PE 90220/2024 - 21.801.980/0001-00</t>
  </si>
  <si>
    <t>PE 90220/2024 - 11.522.540/0001-02</t>
  </si>
  <si>
    <t>AMERICANAS</t>
  </si>
  <si>
    <t>ELETROTRAFO</t>
  </si>
  <si>
    <t>FUJIOKA</t>
  </si>
  <si>
    <t>NAGEM</t>
  </si>
  <si>
    <t>VERLIN STI</t>
  </si>
  <si>
    <t>PE90005/2025 - 55.935.697/0001-84</t>
  </si>
  <si>
    <t>PE90005/2025 - 43.881.723/0001-50</t>
  </si>
  <si>
    <t>PE90005/2025 - 16.487.666/0001-41</t>
  </si>
  <si>
    <t>PE90005/2025 - 31.788.699/0001-20</t>
  </si>
  <si>
    <t>PE90005/2025 - 15.724.019/0001-58</t>
  </si>
  <si>
    <t>PE90005/2025 - 23.242.246/0001-75</t>
  </si>
  <si>
    <t>PE90005/2025 - 36.486.366/0001-13</t>
  </si>
  <si>
    <t>PE90005/2025 - 03.709.582/0001-78</t>
  </si>
  <si>
    <t>PE90005/2025 - 27.912.769/0001-32</t>
  </si>
  <si>
    <t>NOBREAK:
Potência mínima de 1500VA / 1200W real;
Fator de potência: 0,8 ou superior;
Entrada bivolt automático 115V/220V (110V/115V/120V/127V/220V/230V/240V);
Forma de onda Senoidal Pura na saída em qualquer condiçao de operação (rede, bateria ou inversor);
Frequência da rede: 50/60 Hz;
Tensão de saída: 115/120 VAC;
Plugue do cabo de força: padrão NBR14136;
Total compatibilidade com cargas sensíveis como servidores, switches gerenciáveis, roteadores, câmeras, dentre outros;
Tempo máximo de comutação para modo bateria menor que 4 milissegundos;
Autonomia mínima de 60 minutos, com referência ao uso de 1 PC on board e um monitor LCD 15,6";
Com estabilização True RMS com ampla faixa de variação de tensão;
Mínimo de 8 tomadas de saída 10A (padrão NBR 14136);
Proteção contra:
Curto-circuito no inversor;
Surtos de tensão entre fase e neutro;
Sobrecarga na saída;
Sub e sobretensão da rede elétrica com retorno automático;
Sobreaquecimento no inversor e no transformador;
Descarga total das baterias;
Ruídos e surtos na rede elétrica;
Curto-circuito nas tomadas de saída.
Leds indicativos das condições de funcionamento do equipamento;
LEDs indicativos do modo de operação (rede e bateria);
Sinalização visual e sonora de status do nobreak;
Fusível de proteção externo com unidade reserva e troca fácil;
Mínimo de duas baterias VRLA internas seladas de 12V/7Ah ou maior;
Filtro de linha e estabilizador integrados;
Recarga automática das baterias mesmo com o nobreak desligado;
Saída padrão USB para comunicação com o computador;
Conector para módulo de baterias externas para expansão de autonomia;
Software de gerenciamento de configuração via computador;
Line Interactive (Nobreak Interativo com Regulação On-Line)
Garantia de, no mínimo, 12 meses, contados a partir do recebimento definitivo do equipamento.</t>
  </si>
  <si>
    <t>ESTABILIZADOR DE TENSÃO MICROPROCESSADO:
Potência mínima de 1000 VA / 600 W;
Fator de potência superior a 0,92;
Compatível com impressoras laser e multifuncionais monocromáticas de até 40ppm;
Microprocessador de alta velocidade;
Filtro de linha integrado;
Plugue do cabo de força: padrão NBR 14136;
Tensão de entrada: 115/127/220V (bivolt automático)
Frequência da rede: 60 Hz;
Tensão de saída: 115 VAC;
Mínimo de 5 tomadas de saída com padrão NBR 14136;
Porta-fusível externo com unidade reserva;
Proteção contra:
Curto-circuito;
Surtos de tensão entre fase e neutro;
Sub/sobretensão de rede elétrica;
Sobreaquecimento;
Sobrecarga;
Leds indicativos das condições de funcionamento da rede elétrica;
Certificado conforme NBR 14373:2006;
Garantia de, no mínimo, 12 meses, contados a partir do recebimento definitivo do equipamento.</t>
  </si>
  <si>
    <t>NOBREAK:
Potência mínima de 1500VA / 1200W real;
Fator de potência: 0,8 ou superior;
Entrada bivolt automático 115V/220V (110V/115V/120V/127V/220V/230V/240V);
Forma de onda Senoidal Pura na saída em qualquer condiçao de operação (rede, bateria ou inversor);
Frequência da rede: 50/60 Hz;
Tensão de saída: 115/120 VAC;
Plugue do cabo de força: padrão NBR14136;
Total compatibilidade com cargas sensíveis como servidores, switches gerenciáveis, roteadores, câmeras, dentre outros;
Tempo máximo de comutação para modo bateria menor que 4 milissegundos;
Autonomia mínima de 60 minutos, com referência ao uso de 1 PC on board e um monitor LCD 15,6";
Com estabilização True RMS com ampla faixa de variação de tensão;
Mínimo de 8 tomadas de saída 10A (padrão NBR 14136);
Proteção contra:
Curto-circuito no inversor;
Surtos de tensão entre fase e neutro;
Sobrecarga na saída;
Sub e sobretensão da rede elétrica com retorno automático;
Sobreaquecimento no inversor e no transformador;
Descarga total das baterias;
Ruídos e surtos na rede elétrica;
Curto-circuito nas tomadas de saída.
Leds indicativos das condições de funcionamento do equipamento;
LEDs indicativos do modo de operação (rede e bateria);
Sinalização visual e sonora de status do nobreak;
Fusível de proteção externo com unidade reserva e troca fácil;
Mínimo de duas baterias VRLA internas seladas de 12V/7Ah ou maior;
Filtro de linha e estabilizador integrados;
Recarga automática das baterias mesmo com o nobreak desligado;
Saída padrão USB para comunicação com o computador;
Conector para módulo de baterias externas para expansão de autonomia;
Software de gerenciamento de configuração via computador;
Line Interactive (Nobreak Interativo com Regulação On-Line)
Garantia de, no mínimo, 12 meses, contados a partir do recebimento definitivo do equipamento.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</si>
</sst>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17" sqref="H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231</v>
      </c>
      <c r="C3" s="36" t="s">
        <v>203</v>
      </c>
      <c r="D3" s="36">
        <v>375</v>
      </c>
      <c r="E3" s="37">
        <f>IF(C20&lt;=25%,D20,MIN(E20:F20))</f>
        <v>636.64</v>
      </c>
      <c r="F3" s="37">
        <f>MIN(H3:H17)</f>
        <v>528.32611919999999</v>
      </c>
      <c r="G3" s="5" t="s">
        <v>175</v>
      </c>
      <c r="H3" s="16">
        <v>1379</v>
      </c>
      <c r="I3" s="17" t="str">
        <f>IF(H3="","",(IF($C$20&lt;25%,"n/a",IF(H3&lt;=($D$20+$A$20),H3,"Descartado"))))</f>
        <v>Descartado</v>
      </c>
    </row>
    <row r="4" spans="1:9" x14ac:dyDescent="0.25">
      <c r="A4" s="38"/>
      <c r="B4" s="35"/>
      <c r="C4" s="36"/>
      <c r="D4" s="36"/>
      <c r="E4" s="37"/>
      <c r="F4" s="37"/>
      <c r="G4" s="5" t="s">
        <v>181</v>
      </c>
      <c r="H4" s="16">
        <v>1313.94</v>
      </c>
      <c r="I4" s="17" t="str">
        <f t="shared" ref="I4:I17" si="0">IF(H4="","",(IF($C$20&lt;25%,"n/a",IF(H4&lt;=($D$20+$A$20),H4,"Descartado"))))</f>
        <v>Descartado</v>
      </c>
    </row>
    <row r="5" spans="1:9" x14ac:dyDescent="0.25">
      <c r="A5" s="38"/>
      <c r="B5" s="35"/>
      <c r="C5" s="36"/>
      <c r="D5" s="36"/>
      <c r="E5" s="37"/>
      <c r="F5" s="37"/>
      <c r="G5" s="5" t="s">
        <v>204</v>
      </c>
      <c r="H5" s="16">
        <v>1176.99</v>
      </c>
      <c r="I5" s="17" t="str">
        <f t="shared" si="0"/>
        <v>Descartado</v>
      </c>
    </row>
    <row r="6" spans="1:9" x14ac:dyDescent="0.25">
      <c r="A6" s="38"/>
      <c r="B6" s="35"/>
      <c r="C6" s="36"/>
      <c r="D6" s="36"/>
      <c r="E6" s="37"/>
      <c r="F6" s="37"/>
      <c r="G6" s="5" t="s">
        <v>205</v>
      </c>
      <c r="H6" s="16">
        <v>1228.95</v>
      </c>
      <c r="I6" s="17" t="str">
        <f t="shared" si="0"/>
        <v>Descartado</v>
      </c>
    </row>
    <row r="7" spans="1:9" x14ac:dyDescent="0.25">
      <c r="A7" s="38"/>
      <c r="B7" s="35"/>
      <c r="C7" s="36"/>
      <c r="D7" s="36"/>
      <c r="E7" s="37"/>
      <c r="F7" s="37"/>
      <c r="G7" s="5" t="s">
        <v>206</v>
      </c>
      <c r="H7" s="16">
        <f>509*1.0379688</f>
        <v>528.32611919999999</v>
      </c>
      <c r="I7" s="17">
        <f t="shared" si="0"/>
        <v>528.32611919999999</v>
      </c>
    </row>
    <row r="8" spans="1:9" x14ac:dyDescent="0.25">
      <c r="A8" s="38"/>
      <c r="B8" s="35"/>
      <c r="C8" s="36"/>
      <c r="D8" s="36"/>
      <c r="E8" s="37"/>
      <c r="F8" s="37"/>
      <c r="G8" s="5" t="s">
        <v>207</v>
      </c>
      <c r="H8" s="16">
        <f>582*1.0379688</f>
        <v>604.09784160000004</v>
      </c>
      <c r="I8" s="17">
        <f t="shared" si="0"/>
        <v>604.09784160000004</v>
      </c>
    </row>
    <row r="9" spans="1:9" x14ac:dyDescent="0.25">
      <c r="A9" s="38"/>
      <c r="B9" s="35"/>
      <c r="C9" s="36"/>
      <c r="D9" s="36"/>
      <c r="E9" s="37"/>
      <c r="F9" s="37"/>
      <c r="G9" s="5" t="s">
        <v>210</v>
      </c>
      <c r="H9" s="16">
        <f>798.99*1.0379688</f>
        <v>829.32669151200002</v>
      </c>
      <c r="I9" s="17">
        <f t="shared" si="0"/>
        <v>829.32669151200002</v>
      </c>
    </row>
    <row r="10" spans="1:9" x14ac:dyDescent="0.25">
      <c r="A10" s="38"/>
      <c r="B10" s="35"/>
      <c r="C10" s="36"/>
      <c r="D10" s="36"/>
      <c r="E10" s="37"/>
      <c r="F10" s="37"/>
      <c r="G10" s="5" t="s">
        <v>208</v>
      </c>
      <c r="H10" s="16">
        <f>569.5*1.0379688</f>
        <v>591.12323160000005</v>
      </c>
      <c r="I10" s="17">
        <f t="shared" si="0"/>
        <v>591.12323160000005</v>
      </c>
    </row>
    <row r="11" spans="1:9" x14ac:dyDescent="0.25">
      <c r="A11" s="38"/>
      <c r="B11" s="35"/>
      <c r="C11" s="36"/>
      <c r="D11" s="36"/>
      <c r="E11" s="37"/>
      <c r="F11" s="37"/>
      <c r="G11" s="5" t="s">
        <v>209</v>
      </c>
      <c r="H11" s="16">
        <f>510*1.0379688</f>
        <v>529.36408800000004</v>
      </c>
      <c r="I11" s="17">
        <f t="shared" si="0"/>
        <v>529.36408800000004</v>
      </c>
    </row>
    <row r="12" spans="1:9" x14ac:dyDescent="0.25">
      <c r="A12" s="38"/>
      <c r="B12" s="35"/>
      <c r="C12" s="36"/>
      <c r="D12" s="36"/>
      <c r="E12" s="37"/>
      <c r="F12" s="37"/>
      <c r="G12" s="5" t="s">
        <v>211</v>
      </c>
      <c r="H12" s="16">
        <f>702*1.0379688</f>
        <v>728.6540976</v>
      </c>
      <c r="I12" s="17">
        <f t="shared" si="0"/>
        <v>728.6540976</v>
      </c>
    </row>
    <row r="13" spans="1:9" x14ac:dyDescent="0.25">
      <c r="A13" s="38"/>
      <c r="B13" s="35"/>
      <c r="C13" s="36"/>
      <c r="D13" s="36"/>
      <c r="E13" s="37"/>
      <c r="F13" s="37"/>
      <c r="G13" s="5" t="s">
        <v>212</v>
      </c>
      <c r="H13" s="16">
        <f>679.86*1.0379688</f>
        <v>705.67346836800004</v>
      </c>
      <c r="I13" s="17">
        <f t="shared" si="0"/>
        <v>705.67346836800004</v>
      </c>
    </row>
    <row r="14" spans="1:9" x14ac:dyDescent="0.25">
      <c r="A14" s="38"/>
      <c r="B14" s="35"/>
      <c r="C14" s="36"/>
      <c r="D14" s="36"/>
      <c r="E14" s="37"/>
      <c r="F14" s="37"/>
      <c r="G14" s="5" t="s">
        <v>213</v>
      </c>
      <c r="H14" s="16">
        <f>540*1.0379688</f>
        <v>560.503152</v>
      </c>
      <c r="I14" s="17">
        <f t="shared" si="0"/>
        <v>560.503152</v>
      </c>
    </row>
    <row r="15" spans="1:9" x14ac:dyDescent="0.25">
      <c r="A15" s="38"/>
      <c r="B15" s="35"/>
      <c r="C15" s="36"/>
      <c r="D15" s="36"/>
      <c r="E15" s="37"/>
      <c r="F15" s="37"/>
      <c r="G15" s="5" t="s">
        <v>214</v>
      </c>
      <c r="H15" s="16">
        <f>639.99*1.0379688</f>
        <v>664.28965231200004</v>
      </c>
      <c r="I15" s="17">
        <f t="shared" si="0"/>
        <v>664.28965231200004</v>
      </c>
    </row>
    <row r="16" spans="1:9" x14ac:dyDescent="0.25">
      <c r="A16" s="38"/>
      <c r="B16" s="35"/>
      <c r="C16" s="36"/>
      <c r="D16" s="36"/>
      <c r="E16" s="37"/>
      <c r="F16" s="37"/>
      <c r="G16" s="5" t="s">
        <v>215</v>
      </c>
      <c r="H16" s="16">
        <f>640*1.0379688</f>
        <v>664.30003199999999</v>
      </c>
      <c r="I16" s="17">
        <f t="shared" si="0"/>
        <v>664.30003199999999</v>
      </c>
    </row>
    <row r="17" spans="1:9" x14ac:dyDescent="0.25">
      <c r="A17" s="38"/>
      <c r="B17" s="35"/>
      <c r="C17" s="36"/>
      <c r="D17" s="36"/>
      <c r="E17" s="37"/>
      <c r="F17" s="37"/>
      <c r="G17" s="5" t="s">
        <v>216</v>
      </c>
      <c r="H17" s="16">
        <f>575.54*1.0379688</f>
        <v>597.39256315199998</v>
      </c>
      <c r="I17" s="17">
        <f t="shared" si="0"/>
        <v>597.39256315199998</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305.18705741573348</v>
      </c>
      <c r="B20" s="8">
        <f>COUNT(H3:H17)</f>
        <v>15</v>
      </c>
      <c r="C20" s="9">
        <f>IF(B20&lt;2,"n/a",(A20/D20))</f>
        <v>0.37826853918658093</v>
      </c>
      <c r="D20" s="10">
        <f>IFERROR(ROUND(AVERAGE(H3:H17),2),"")</f>
        <v>806.8</v>
      </c>
      <c r="E20" s="15">
        <f>IFERROR(ROUND(IF(B20&lt;2,"n/a",(IF(C20&lt;=25%,"n/a",AVERAGE(I3:I17)))),2),"n/a")</f>
        <v>636.64</v>
      </c>
      <c r="F20" s="10">
        <f>IFERROR(ROUND(MEDIAN(H3:H17),2),"")</f>
        <v>664.3</v>
      </c>
      <c r="G20" s="11" t="str">
        <f>IFERROR(INDEX(G3:G17,MATCH(H20,H3:H17,0)),"")</f>
        <v>PE 90220/2024 - 23.964.820/000107</v>
      </c>
      <c r="H20" s="12">
        <f>F3</f>
        <v>528.32611919999999</v>
      </c>
    </row>
    <row r="22" spans="1:9" x14ac:dyDescent="0.25">
      <c r="G22" s="13" t="s">
        <v>20</v>
      </c>
      <c r="H22" s="14">
        <f>IF(C20&lt;=25%,D20,MIN(E20:F20))</f>
        <v>636.64</v>
      </c>
    </row>
    <row r="23" spans="1:9" x14ac:dyDescent="0.25">
      <c r="G23" s="13" t="s">
        <v>6</v>
      </c>
      <c r="H23" s="14">
        <f>ROUND(H22,2)*D3</f>
        <v>238740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41</v>
      </c>
      <c r="C3" s="36" t="s">
        <v>7</v>
      </c>
      <c r="D3" s="36">
        <v>4</v>
      </c>
      <c r="E3" s="37">
        <f>IF(C20&lt;=25%,D20,MIN(E20:F20))</f>
        <v>96.78</v>
      </c>
      <c r="F3" s="37">
        <f>MIN(H3:H17)</f>
        <v>40</v>
      </c>
      <c r="G3" s="5" t="s">
        <v>100</v>
      </c>
      <c r="H3" s="16">
        <v>98</v>
      </c>
      <c r="I3" s="17">
        <f>IF(H3="","",(IF($C$20&lt;25%,"n/a",IF(H3&lt;=($D$20+$A$20),H3,"Descartado"))))</f>
        <v>98</v>
      </c>
    </row>
    <row r="4" spans="1:9" x14ac:dyDescent="0.25">
      <c r="A4" s="38"/>
      <c r="B4" s="35"/>
      <c r="C4" s="36"/>
      <c r="D4" s="36"/>
      <c r="E4" s="37"/>
      <c r="F4" s="37"/>
      <c r="G4" s="5" t="s">
        <v>101</v>
      </c>
      <c r="H4" s="16">
        <v>134.55000000000001</v>
      </c>
      <c r="I4" s="17">
        <f t="shared" ref="I4:I17" si="0">IF(H4="","",(IF($C$20&lt;25%,"n/a",IF(H4&lt;=($D$20+$A$20),H4,"Descartado"))))</f>
        <v>134.55000000000001</v>
      </c>
    </row>
    <row r="5" spans="1:9" x14ac:dyDescent="0.25">
      <c r="A5" s="38"/>
      <c r="B5" s="35"/>
      <c r="C5" s="36"/>
      <c r="D5" s="36"/>
      <c r="E5" s="37"/>
      <c r="F5" s="37"/>
      <c r="G5" s="5" t="s">
        <v>102</v>
      </c>
      <c r="H5" s="16">
        <v>59.77</v>
      </c>
      <c r="I5" s="17">
        <f t="shared" si="0"/>
        <v>59.77</v>
      </c>
    </row>
    <row r="6" spans="1:9" x14ac:dyDescent="0.25">
      <c r="A6" s="38"/>
      <c r="B6" s="35"/>
      <c r="C6" s="36"/>
      <c r="D6" s="36"/>
      <c r="E6" s="37"/>
      <c r="F6" s="37"/>
      <c r="G6" s="5" t="s">
        <v>103</v>
      </c>
      <c r="H6" s="16">
        <v>167</v>
      </c>
      <c r="I6" s="17">
        <f t="shared" si="0"/>
        <v>167</v>
      </c>
    </row>
    <row r="7" spans="1:9" x14ac:dyDescent="0.25">
      <c r="A7" s="38"/>
      <c r="B7" s="35"/>
      <c r="C7" s="36"/>
      <c r="D7" s="36"/>
      <c r="E7" s="37"/>
      <c r="F7" s="37"/>
      <c r="G7" s="5" t="s">
        <v>104</v>
      </c>
      <c r="H7" s="16">
        <v>60</v>
      </c>
      <c r="I7" s="17">
        <f t="shared" si="0"/>
        <v>60</v>
      </c>
    </row>
    <row r="8" spans="1:9" x14ac:dyDescent="0.25">
      <c r="A8" s="38"/>
      <c r="B8" s="35"/>
      <c r="C8" s="36"/>
      <c r="D8" s="36"/>
      <c r="E8" s="37"/>
      <c r="F8" s="37"/>
      <c r="G8" s="5" t="s">
        <v>105</v>
      </c>
      <c r="H8" s="16">
        <v>50</v>
      </c>
      <c r="I8" s="17">
        <f t="shared" si="0"/>
        <v>50</v>
      </c>
    </row>
    <row r="9" spans="1:9" x14ac:dyDescent="0.25">
      <c r="A9" s="38"/>
      <c r="B9" s="35"/>
      <c r="C9" s="36"/>
      <c r="D9" s="36"/>
      <c r="E9" s="37"/>
      <c r="F9" s="37"/>
      <c r="G9" s="5" t="s">
        <v>106</v>
      </c>
      <c r="H9" s="16">
        <v>40</v>
      </c>
      <c r="I9" s="17">
        <f t="shared" si="0"/>
        <v>40</v>
      </c>
    </row>
    <row r="10" spans="1:9" x14ac:dyDescent="0.25">
      <c r="A10" s="38"/>
      <c r="B10" s="35"/>
      <c r="C10" s="36"/>
      <c r="D10" s="36"/>
      <c r="E10" s="37"/>
      <c r="F10" s="37"/>
      <c r="G10" s="5" t="s">
        <v>107</v>
      </c>
      <c r="H10" s="16">
        <v>198.99</v>
      </c>
      <c r="I10" s="17" t="str">
        <f t="shared" si="0"/>
        <v>Descartado</v>
      </c>
    </row>
    <row r="11" spans="1:9" x14ac:dyDescent="0.25">
      <c r="A11" s="38"/>
      <c r="B11" s="35"/>
      <c r="C11" s="36"/>
      <c r="D11" s="36"/>
      <c r="E11" s="37"/>
      <c r="F11" s="37"/>
      <c r="G11" s="5" t="s">
        <v>108</v>
      </c>
      <c r="H11" s="16">
        <v>200</v>
      </c>
      <c r="I11" s="17" t="str">
        <f t="shared" si="0"/>
        <v>Descartado</v>
      </c>
    </row>
    <row r="12" spans="1:9" x14ac:dyDescent="0.25">
      <c r="A12" s="38"/>
      <c r="B12" s="35"/>
      <c r="C12" s="36"/>
      <c r="D12" s="36"/>
      <c r="E12" s="37"/>
      <c r="F12" s="37"/>
      <c r="G12" s="5" t="s">
        <v>173</v>
      </c>
      <c r="H12" s="16">
        <v>199</v>
      </c>
      <c r="I12" s="17" t="str">
        <f t="shared" si="0"/>
        <v>Descartado</v>
      </c>
    </row>
    <row r="13" spans="1:9" x14ac:dyDescent="0.25">
      <c r="A13" s="38"/>
      <c r="B13" s="35"/>
      <c r="C13" s="36"/>
      <c r="D13" s="36"/>
      <c r="E13" s="37"/>
      <c r="F13" s="37"/>
      <c r="G13" s="5" t="s">
        <v>174</v>
      </c>
      <c r="H13" s="16">
        <v>164.9</v>
      </c>
      <c r="I13" s="17">
        <f t="shared" si="0"/>
        <v>164.9</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42</v>
      </c>
      <c r="C3" s="36" t="s">
        <v>7</v>
      </c>
      <c r="D3" s="36">
        <v>2</v>
      </c>
      <c r="E3" s="37">
        <f>IF(C20&lt;=25%,D20,MIN(E20:F20))</f>
        <v>317.42</v>
      </c>
      <c r="F3" s="37">
        <f>MIN(H3:H17)</f>
        <v>143.76</v>
      </c>
      <c r="G3" s="5" t="s">
        <v>63</v>
      </c>
      <c r="H3" s="16">
        <v>308.31</v>
      </c>
      <c r="I3" s="17">
        <f>IF(H3="","",(IF($C$20&lt;25%,"n/a",IF(H3&lt;=($D$20+$A$20),H3,"Descartado"))))</f>
        <v>308.31</v>
      </c>
    </row>
    <row r="4" spans="1:9" x14ac:dyDescent="0.25">
      <c r="A4" s="38"/>
      <c r="B4" s="35"/>
      <c r="C4" s="36"/>
      <c r="D4" s="36"/>
      <c r="E4" s="37"/>
      <c r="F4" s="37"/>
      <c r="G4" s="5" t="s">
        <v>109</v>
      </c>
      <c r="H4" s="16">
        <v>283</v>
      </c>
      <c r="I4" s="17">
        <f t="shared" ref="I4:I17" si="0">IF(H4="","",(IF($C$20&lt;25%,"n/a",IF(H4&lt;=($D$20+$A$20),H4,"Descartado"))))</f>
        <v>283</v>
      </c>
    </row>
    <row r="5" spans="1:9" x14ac:dyDescent="0.25">
      <c r="A5" s="38"/>
      <c r="B5" s="35"/>
      <c r="C5" s="36"/>
      <c r="D5" s="36"/>
      <c r="E5" s="37"/>
      <c r="F5" s="37"/>
      <c r="G5" s="5" t="s">
        <v>110</v>
      </c>
      <c r="H5" s="16">
        <v>896</v>
      </c>
      <c r="I5" s="17" t="str">
        <f t="shared" si="0"/>
        <v>Descartado</v>
      </c>
    </row>
    <row r="6" spans="1:9" x14ac:dyDescent="0.25">
      <c r="A6" s="38"/>
      <c r="B6" s="35"/>
      <c r="C6" s="36"/>
      <c r="D6" s="36"/>
      <c r="E6" s="37"/>
      <c r="F6" s="37"/>
      <c r="G6" s="5" t="s">
        <v>64</v>
      </c>
      <c r="H6" s="16">
        <v>949</v>
      </c>
      <c r="I6" s="17" t="str">
        <f t="shared" si="0"/>
        <v>Descartado</v>
      </c>
    </row>
    <row r="7" spans="1:9" x14ac:dyDescent="0.25">
      <c r="A7" s="38"/>
      <c r="B7" s="35"/>
      <c r="C7" s="36"/>
      <c r="D7" s="36"/>
      <c r="E7" s="37"/>
      <c r="F7" s="37"/>
      <c r="G7" s="5" t="s">
        <v>111</v>
      </c>
      <c r="H7" s="16">
        <v>1100</v>
      </c>
      <c r="I7" s="17" t="str">
        <f t="shared" si="0"/>
        <v>Descartado</v>
      </c>
    </row>
    <row r="8" spans="1:9" x14ac:dyDescent="0.25">
      <c r="A8" s="38"/>
      <c r="B8" s="35"/>
      <c r="C8" s="36"/>
      <c r="D8" s="36"/>
      <c r="E8" s="37"/>
      <c r="F8" s="37"/>
      <c r="G8" s="5" t="s">
        <v>112</v>
      </c>
      <c r="H8" s="16">
        <v>412</v>
      </c>
      <c r="I8" s="17">
        <f t="shared" si="0"/>
        <v>412</v>
      </c>
    </row>
    <row r="9" spans="1:9" x14ac:dyDescent="0.25">
      <c r="A9" s="38"/>
      <c r="B9" s="35"/>
      <c r="C9" s="36"/>
      <c r="D9" s="36"/>
      <c r="E9" s="37"/>
      <c r="F9" s="37"/>
      <c r="G9" s="5" t="s">
        <v>113</v>
      </c>
      <c r="H9" s="16">
        <v>328.87</v>
      </c>
      <c r="I9" s="17">
        <f t="shared" si="0"/>
        <v>328.87</v>
      </c>
    </row>
    <row r="10" spans="1:9" x14ac:dyDescent="0.25">
      <c r="A10" s="38"/>
      <c r="B10" s="35"/>
      <c r="C10" s="36"/>
      <c r="D10" s="36"/>
      <c r="E10" s="37"/>
      <c r="F10" s="37"/>
      <c r="G10" s="5" t="s">
        <v>114</v>
      </c>
      <c r="H10" s="16">
        <v>250</v>
      </c>
      <c r="I10" s="17">
        <f t="shared" si="0"/>
        <v>250</v>
      </c>
    </row>
    <row r="11" spans="1:9" x14ac:dyDescent="0.25">
      <c r="A11" s="38"/>
      <c r="B11" s="35"/>
      <c r="C11" s="36"/>
      <c r="D11" s="36"/>
      <c r="E11" s="37"/>
      <c r="F11" s="37"/>
      <c r="G11" s="5" t="s">
        <v>115</v>
      </c>
      <c r="H11" s="16">
        <v>143.76</v>
      </c>
      <c r="I11" s="17">
        <f t="shared" si="0"/>
        <v>143.76</v>
      </c>
    </row>
    <row r="12" spans="1:9" x14ac:dyDescent="0.25">
      <c r="A12" s="38"/>
      <c r="B12" s="35"/>
      <c r="C12" s="36"/>
      <c r="D12" s="36"/>
      <c r="E12" s="37"/>
      <c r="F12" s="37"/>
      <c r="G12" s="5" t="s">
        <v>94</v>
      </c>
      <c r="H12" s="16">
        <v>583.65</v>
      </c>
      <c r="I12" s="17">
        <f t="shared" si="0"/>
        <v>583.65</v>
      </c>
    </row>
    <row r="13" spans="1:9" x14ac:dyDescent="0.25">
      <c r="A13" s="38"/>
      <c r="B13" s="35"/>
      <c r="C13" s="36"/>
      <c r="D13" s="36"/>
      <c r="E13" s="37"/>
      <c r="F13" s="37"/>
      <c r="G13" s="5" t="s">
        <v>116</v>
      </c>
      <c r="H13" s="16">
        <v>376.2</v>
      </c>
      <c r="I13" s="17">
        <f t="shared" si="0"/>
        <v>376.2</v>
      </c>
    </row>
    <row r="14" spans="1:9" x14ac:dyDescent="0.25">
      <c r="A14" s="38"/>
      <c r="B14" s="35"/>
      <c r="C14" s="36"/>
      <c r="D14" s="36"/>
      <c r="E14" s="37"/>
      <c r="F14" s="37"/>
      <c r="G14" s="5" t="s">
        <v>167</v>
      </c>
      <c r="H14" s="16">
        <v>171.03</v>
      </c>
      <c r="I14" s="17">
        <f t="shared" si="0"/>
        <v>171.03</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43</v>
      </c>
      <c r="C3" s="36" t="s">
        <v>7</v>
      </c>
      <c r="D3" s="36">
        <v>1</v>
      </c>
      <c r="E3" s="37">
        <f>IF(C20&lt;=25%,D20,MIN(E20:F20))</f>
        <v>808.95</v>
      </c>
      <c r="F3" s="37">
        <f>MIN(H3:H17)</f>
        <v>289.89999999999998</v>
      </c>
      <c r="G3" s="5" t="s">
        <v>96</v>
      </c>
      <c r="H3" s="16">
        <v>761.9</v>
      </c>
      <c r="I3" s="17">
        <f>IF(H3="","",(IF($C$20&lt;25%,"n/a",IF(H3&lt;=($D$20+$A$20),H3,"Descartado"))))</f>
        <v>761.9</v>
      </c>
    </row>
    <row r="4" spans="1:9" x14ac:dyDescent="0.25">
      <c r="A4" s="38"/>
      <c r="B4" s="35"/>
      <c r="C4" s="36"/>
      <c r="D4" s="36"/>
      <c r="E4" s="37"/>
      <c r="F4" s="37"/>
      <c r="G4" s="5" t="s">
        <v>117</v>
      </c>
      <c r="H4" s="16">
        <v>748</v>
      </c>
      <c r="I4" s="17">
        <f t="shared" ref="I4:I17" si="0">IF(H4="","",(IF($C$20&lt;25%,"n/a",IF(H4&lt;=($D$20+$A$20),H4,"Descartado"))))</f>
        <v>748</v>
      </c>
    </row>
    <row r="5" spans="1:9" x14ac:dyDescent="0.25">
      <c r="A5" s="38"/>
      <c r="B5" s="35"/>
      <c r="C5" s="36"/>
      <c r="D5" s="36"/>
      <c r="E5" s="37"/>
      <c r="F5" s="37"/>
      <c r="G5" s="5" t="s">
        <v>103</v>
      </c>
      <c r="H5" s="16">
        <v>1880</v>
      </c>
      <c r="I5" s="17" t="str">
        <f t="shared" si="0"/>
        <v>Descartado</v>
      </c>
    </row>
    <row r="6" spans="1:9" x14ac:dyDescent="0.25">
      <c r="A6" s="38"/>
      <c r="B6" s="35"/>
      <c r="C6" s="36"/>
      <c r="D6" s="36"/>
      <c r="E6" s="37"/>
      <c r="F6" s="37"/>
      <c r="G6" s="5" t="s">
        <v>118</v>
      </c>
      <c r="H6" s="16">
        <v>1084.05</v>
      </c>
      <c r="I6" s="17">
        <f t="shared" si="0"/>
        <v>1084.05</v>
      </c>
    </row>
    <row r="7" spans="1:9" x14ac:dyDescent="0.25">
      <c r="A7" s="38"/>
      <c r="B7" s="35"/>
      <c r="C7" s="36"/>
      <c r="D7" s="36"/>
      <c r="E7" s="37"/>
      <c r="F7" s="37"/>
      <c r="G7" s="5" t="s">
        <v>119</v>
      </c>
      <c r="H7" s="16">
        <v>1178</v>
      </c>
      <c r="I7" s="17">
        <f t="shared" si="0"/>
        <v>1178</v>
      </c>
    </row>
    <row r="8" spans="1:9" x14ac:dyDescent="0.25">
      <c r="A8" s="38"/>
      <c r="B8" s="35"/>
      <c r="C8" s="36"/>
      <c r="D8" s="36"/>
      <c r="E8" s="37"/>
      <c r="F8" s="37"/>
      <c r="G8" s="5" t="s">
        <v>120</v>
      </c>
      <c r="H8" s="16">
        <v>1500</v>
      </c>
      <c r="I8" s="17" t="str">
        <f t="shared" si="0"/>
        <v>Descartado</v>
      </c>
    </row>
    <row r="9" spans="1:9" x14ac:dyDescent="0.25">
      <c r="A9" s="38"/>
      <c r="B9" s="35"/>
      <c r="C9" s="36"/>
      <c r="D9" s="36"/>
      <c r="E9" s="37"/>
      <c r="F9" s="37"/>
      <c r="G9" s="5" t="s">
        <v>121</v>
      </c>
      <c r="H9" s="16">
        <v>859</v>
      </c>
      <c r="I9" s="17">
        <f t="shared" si="0"/>
        <v>859</v>
      </c>
    </row>
    <row r="10" spans="1:9" x14ac:dyDescent="0.25">
      <c r="A10" s="38"/>
      <c r="B10" s="35"/>
      <c r="C10" s="36"/>
      <c r="D10" s="36"/>
      <c r="E10" s="37"/>
      <c r="F10" s="37"/>
      <c r="G10" s="5" t="s">
        <v>122</v>
      </c>
      <c r="H10" s="16">
        <v>673.78</v>
      </c>
      <c r="I10" s="17">
        <f t="shared" si="0"/>
        <v>673.78</v>
      </c>
    </row>
    <row r="11" spans="1:9" x14ac:dyDescent="0.25">
      <c r="A11" s="38"/>
      <c r="B11" s="35"/>
      <c r="C11" s="36"/>
      <c r="D11" s="36"/>
      <c r="E11" s="37"/>
      <c r="F11" s="37"/>
      <c r="G11" s="5" t="s">
        <v>175</v>
      </c>
      <c r="H11" s="16">
        <v>877</v>
      </c>
      <c r="I11" s="17">
        <f t="shared" si="0"/>
        <v>877</v>
      </c>
    </row>
    <row r="12" spans="1:9" x14ac:dyDescent="0.25">
      <c r="A12" s="38"/>
      <c r="B12" s="35"/>
      <c r="C12" s="36"/>
      <c r="D12" s="36"/>
      <c r="E12" s="37"/>
      <c r="F12" s="37"/>
      <c r="G12" s="5" t="s">
        <v>176</v>
      </c>
      <c r="H12" s="16">
        <v>289.89999999999998</v>
      </c>
      <c r="I12" s="17">
        <f t="shared" si="0"/>
        <v>289.89999999999998</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44</v>
      </c>
      <c r="C3" s="36" t="s">
        <v>7</v>
      </c>
      <c r="D3" s="36">
        <v>2</v>
      </c>
      <c r="E3" s="37">
        <f>IF(C20&lt;=25%,D20,MIN(E20:F20))</f>
        <v>733.15</v>
      </c>
      <c r="F3" s="37">
        <f>MIN(H3:H17)</f>
        <v>530</v>
      </c>
      <c r="G3" s="5" t="s">
        <v>123</v>
      </c>
      <c r="H3" s="16">
        <v>2799.98</v>
      </c>
      <c r="I3" s="17" t="str">
        <f>IF(H3="","",(IF($C$20&lt;25%,"n/a",IF(H3&lt;=($D$20+$A$20),H3,"Descartado"))))</f>
        <v>Descartado</v>
      </c>
    </row>
    <row r="4" spans="1:9" x14ac:dyDescent="0.25">
      <c r="A4" s="38"/>
      <c r="B4" s="35"/>
      <c r="C4" s="36"/>
      <c r="D4" s="36"/>
      <c r="E4" s="37"/>
      <c r="F4" s="37"/>
      <c r="G4" s="5" t="s">
        <v>124</v>
      </c>
      <c r="H4" s="16">
        <v>839.76</v>
      </c>
      <c r="I4" s="17">
        <f t="shared" ref="I4:I17" si="0">IF(H4="","",(IF($C$20&lt;25%,"n/a",IF(H4&lt;=($D$20+$A$20),H4,"Descartado"))))</f>
        <v>839.76</v>
      </c>
    </row>
    <row r="5" spans="1:9" x14ac:dyDescent="0.25">
      <c r="A5" s="38"/>
      <c r="B5" s="35"/>
      <c r="C5" s="36"/>
      <c r="D5" s="36"/>
      <c r="E5" s="37"/>
      <c r="F5" s="37"/>
      <c r="G5" s="5" t="s">
        <v>125</v>
      </c>
      <c r="H5" s="16">
        <v>657.09</v>
      </c>
      <c r="I5" s="17">
        <f t="shared" si="0"/>
        <v>657.09</v>
      </c>
    </row>
    <row r="6" spans="1:9" x14ac:dyDescent="0.25">
      <c r="A6" s="38"/>
      <c r="B6" s="35"/>
      <c r="C6" s="36"/>
      <c r="D6" s="36"/>
      <c r="E6" s="37"/>
      <c r="F6" s="37"/>
      <c r="G6" s="5" t="s">
        <v>93</v>
      </c>
      <c r="H6" s="16">
        <v>939</v>
      </c>
      <c r="I6" s="17">
        <f t="shared" si="0"/>
        <v>939</v>
      </c>
    </row>
    <row r="7" spans="1:9" x14ac:dyDescent="0.25">
      <c r="A7" s="38"/>
      <c r="B7" s="35"/>
      <c r="C7" s="36"/>
      <c r="D7" s="36"/>
      <c r="E7" s="37"/>
      <c r="F7" s="37"/>
      <c r="G7" s="5" t="s">
        <v>177</v>
      </c>
      <c r="H7" s="16">
        <v>530</v>
      </c>
      <c r="I7" s="17">
        <f t="shared" si="0"/>
        <v>530</v>
      </c>
    </row>
    <row r="8" spans="1:9" x14ac:dyDescent="0.25">
      <c r="A8" s="38"/>
      <c r="B8" s="35"/>
      <c r="C8" s="36"/>
      <c r="D8" s="36"/>
      <c r="E8" s="37"/>
      <c r="F8" s="37"/>
      <c r="G8" s="5" t="s">
        <v>178</v>
      </c>
      <c r="H8" s="16">
        <v>699.9</v>
      </c>
      <c r="I8" s="17">
        <f t="shared" si="0"/>
        <v>699.9</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45</v>
      </c>
      <c r="C3" s="36" t="s">
        <v>7</v>
      </c>
      <c r="D3" s="36">
        <v>2</v>
      </c>
      <c r="E3" s="37">
        <f>IF(C20&lt;=25%,D20,MIN(E20:F20))</f>
        <v>450</v>
      </c>
      <c r="F3" s="37">
        <f>MIN(H3:H17)</f>
        <v>305</v>
      </c>
      <c r="G3" s="5" t="s">
        <v>126</v>
      </c>
      <c r="H3" s="16">
        <v>450</v>
      </c>
      <c r="I3" s="17">
        <f>IF(H3="","",(IF($C$20&lt;25%,"n/a",IF(H3&lt;=($D$20+$A$20),H3,"Descartado"))))</f>
        <v>450</v>
      </c>
    </row>
    <row r="4" spans="1:9" x14ac:dyDescent="0.25">
      <c r="A4" s="38"/>
      <c r="B4" s="35"/>
      <c r="C4" s="36"/>
      <c r="D4" s="36"/>
      <c r="E4" s="37"/>
      <c r="F4" s="37"/>
      <c r="G4" s="5" t="s">
        <v>127</v>
      </c>
      <c r="H4" s="16">
        <v>425.7</v>
      </c>
      <c r="I4" s="17">
        <f t="shared" ref="I4:I17" si="0">IF(H4="","",(IF($C$20&lt;25%,"n/a",IF(H4&lt;=($D$20+$A$20),H4,"Descartado"))))</f>
        <v>425.7</v>
      </c>
    </row>
    <row r="5" spans="1:9" x14ac:dyDescent="0.25">
      <c r="A5" s="38"/>
      <c r="B5" s="35"/>
      <c r="C5" s="36"/>
      <c r="D5" s="36"/>
      <c r="E5" s="37"/>
      <c r="F5" s="37"/>
      <c r="G5" s="5" t="s">
        <v>98</v>
      </c>
      <c r="H5" s="16">
        <v>471.67</v>
      </c>
      <c r="I5" s="17">
        <f t="shared" si="0"/>
        <v>471.67</v>
      </c>
    </row>
    <row r="6" spans="1:9" x14ac:dyDescent="0.25">
      <c r="A6" s="38"/>
      <c r="B6" s="35"/>
      <c r="C6" s="36"/>
      <c r="D6" s="36"/>
      <c r="E6" s="37"/>
      <c r="F6" s="37"/>
      <c r="G6" s="5" t="s">
        <v>100</v>
      </c>
      <c r="H6" s="16">
        <v>749.5</v>
      </c>
      <c r="I6" s="17">
        <f t="shared" si="0"/>
        <v>749.5</v>
      </c>
    </row>
    <row r="7" spans="1:9" x14ac:dyDescent="0.25">
      <c r="A7" s="38"/>
      <c r="B7" s="35"/>
      <c r="C7" s="36"/>
      <c r="D7" s="36"/>
      <c r="E7" s="37"/>
      <c r="F7" s="37"/>
      <c r="G7" s="5" t="s">
        <v>128</v>
      </c>
      <c r="H7" s="16">
        <v>4000</v>
      </c>
      <c r="I7" s="17" t="str">
        <f t="shared" si="0"/>
        <v>Descartado</v>
      </c>
    </row>
    <row r="8" spans="1:9" x14ac:dyDescent="0.25">
      <c r="A8" s="38"/>
      <c r="B8" s="35"/>
      <c r="C8" s="36"/>
      <c r="D8" s="36"/>
      <c r="E8" s="37"/>
      <c r="F8" s="37"/>
      <c r="G8" s="5" t="s">
        <v>129</v>
      </c>
      <c r="H8" s="16">
        <v>305</v>
      </c>
      <c r="I8" s="17">
        <f t="shared" si="0"/>
        <v>305</v>
      </c>
    </row>
    <row r="9" spans="1:9" x14ac:dyDescent="0.25">
      <c r="A9" s="38"/>
      <c r="B9" s="35"/>
      <c r="C9" s="36"/>
      <c r="D9" s="36"/>
      <c r="E9" s="37"/>
      <c r="F9" s="37"/>
      <c r="G9" s="5" t="s">
        <v>168</v>
      </c>
      <c r="H9" s="16">
        <v>441</v>
      </c>
      <c r="I9" s="17">
        <f t="shared" si="0"/>
        <v>441</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46</v>
      </c>
      <c r="C3" s="36" t="s">
        <v>7</v>
      </c>
      <c r="D3" s="36">
        <v>1</v>
      </c>
      <c r="E3" s="37">
        <f>IF(C20&lt;=25%,D20,MIN(E20:F20))</f>
        <v>793.68</v>
      </c>
      <c r="F3" s="37">
        <f>MIN(H3:H17)</f>
        <v>747.75</v>
      </c>
      <c r="G3" s="5" t="s">
        <v>130</v>
      </c>
      <c r="H3" s="16">
        <v>839.6</v>
      </c>
      <c r="I3" s="17">
        <f>IF(H3="","",(IF($C$20&lt;25%,"n/a",IF(H3&lt;=($D$20+$A$20),H3,"Descartado"))))</f>
        <v>839.6</v>
      </c>
    </row>
    <row r="4" spans="1:9" x14ac:dyDescent="0.25">
      <c r="A4" s="38"/>
      <c r="B4" s="35"/>
      <c r="C4" s="36"/>
      <c r="D4" s="36"/>
      <c r="E4" s="37"/>
      <c r="F4" s="37"/>
      <c r="G4" s="5" t="s">
        <v>131</v>
      </c>
      <c r="H4" s="16">
        <v>747.75</v>
      </c>
      <c r="I4" s="17">
        <f t="shared" ref="I4:I17" si="0">IF(H4="","",(IF($C$20&lt;25%,"n/a",IF(H4&lt;=($D$20+$A$20),H4,"Descartado"))))</f>
        <v>747.75</v>
      </c>
    </row>
    <row r="5" spans="1:9" x14ac:dyDescent="0.25">
      <c r="A5" s="38"/>
      <c r="B5" s="35"/>
      <c r="C5" s="36"/>
      <c r="D5" s="36"/>
      <c r="E5" s="37"/>
      <c r="F5" s="37"/>
      <c r="G5" s="5" t="s">
        <v>168</v>
      </c>
      <c r="H5" s="16">
        <v>1201.19</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47</v>
      </c>
      <c r="C3" s="36" t="s">
        <v>7</v>
      </c>
      <c r="D3" s="36">
        <v>1</v>
      </c>
      <c r="E3" s="37">
        <f>IF(C20&lt;=25%,D20,MIN(E20:F20))</f>
        <v>2798</v>
      </c>
      <c r="F3" s="37">
        <f>MIN(H3:H17)</f>
        <v>1999</v>
      </c>
      <c r="G3" s="5" t="s">
        <v>132</v>
      </c>
      <c r="H3" s="16">
        <v>43500</v>
      </c>
      <c r="I3" s="17" t="str">
        <f>IF(H3="","",(IF($C$20&lt;25%,"n/a",IF(H3&lt;=($D$20+$A$20),H3,"Descartado"))))</f>
        <v>Descartado</v>
      </c>
    </row>
    <row r="4" spans="1:9" x14ac:dyDescent="0.25">
      <c r="A4" s="38"/>
      <c r="B4" s="35"/>
      <c r="C4" s="36"/>
      <c r="D4" s="36"/>
      <c r="E4" s="37"/>
      <c r="F4" s="37"/>
      <c r="G4" s="5" t="s">
        <v>133</v>
      </c>
      <c r="H4" s="16">
        <v>3750</v>
      </c>
      <c r="I4" s="17">
        <f t="shared" ref="I4:I17" si="0">IF(H4="","",(IF($C$20&lt;25%,"n/a",IF(H4&lt;=($D$20+$A$20),H4,"Descartado"))))</f>
        <v>3750</v>
      </c>
    </row>
    <row r="5" spans="1:9" x14ac:dyDescent="0.25">
      <c r="A5" s="38"/>
      <c r="B5" s="35"/>
      <c r="C5" s="36"/>
      <c r="D5" s="36"/>
      <c r="E5" s="37"/>
      <c r="F5" s="37"/>
      <c r="G5" s="5" t="s">
        <v>134</v>
      </c>
      <c r="H5" s="16">
        <v>2000</v>
      </c>
      <c r="I5" s="17">
        <f t="shared" si="0"/>
        <v>2000</v>
      </c>
    </row>
    <row r="6" spans="1:9" x14ac:dyDescent="0.25">
      <c r="A6" s="38"/>
      <c r="B6" s="35"/>
      <c r="C6" s="36"/>
      <c r="D6" s="36"/>
      <c r="E6" s="37"/>
      <c r="F6" s="37"/>
      <c r="G6" s="5" t="s">
        <v>135</v>
      </c>
      <c r="H6" s="16">
        <v>19250</v>
      </c>
      <c r="I6" s="17">
        <f t="shared" si="0"/>
        <v>19250</v>
      </c>
    </row>
    <row r="7" spans="1:9" x14ac:dyDescent="0.25">
      <c r="A7" s="38"/>
      <c r="B7" s="35"/>
      <c r="C7" s="36"/>
      <c r="D7" s="36"/>
      <c r="E7" s="37"/>
      <c r="F7" s="37"/>
      <c r="G7" s="5" t="s">
        <v>167</v>
      </c>
      <c r="H7" s="16">
        <v>2778.37</v>
      </c>
      <c r="I7" s="17">
        <f t="shared" si="0"/>
        <v>2778.37</v>
      </c>
    </row>
    <row r="8" spans="1:9" x14ac:dyDescent="0.25">
      <c r="A8" s="38"/>
      <c r="B8" s="35"/>
      <c r="C8" s="36"/>
      <c r="D8" s="36"/>
      <c r="E8" s="37"/>
      <c r="F8" s="37"/>
      <c r="G8" s="5" t="s">
        <v>179</v>
      </c>
      <c r="H8" s="16">
        <v>1999</v>
      </c>
      <c r="I8" s="17">
        <f t="shared" si="0"/>
        <v>1999</v>
      </c>
    </row>
    <row r="9" spans="1:9" x14ac:dyDescent="0.25">
      <c r="A9" s="38"/>
      <c r="B9" s="35"/>
      <c r="C9" s="36"/>
      <c r="D9" s="36"/>
      <c r="E9" s="37"/>
      <c r="F9" s="37"/>
      <c r="G9" s="5" t="s">
        <v>180</v>
      </c>
      <c r="H9" s="16">
        <v>2798</v>
      </c>
      <c r="I9" s="17">
        <f t="shared" si="0"/>
        <v>2798</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48</v>
      </c>
      <c r="C3" s="36" t="s">
        <v>7</v>
      </c>
      <c r="D3" s="36">
        <v>1</v>
      </c>
      <c r="E3" s="37">
        <f>IF(C20&lt;=25%,D20,MIN(E20:F20))</f>
        <v>420.75</v>
      </c>
      <c r="F3" s="37">
        <f>MIN(H3:H17)</f>
        <v>259.99</v>
      </c>
      <c r="G3" s="5" t="s">
        <v>136</v>
      </c>
      <c r="H3" s="16">
        <v>277.01</v>
      </c>
      <c r="I3" s="17">
        <f>IF(H3="","",(IF($C$20&lt;25%,"n/a",IF(H3&lt;=($D$20+$A$20),H3,"Descartado"))))</f>
        <v>277.01</v>
      </c>
    </row>
    <row r="4" spans="1:9" x14ac:dyDescent="0.25">
      <c r="A4" s="38"/>
      <c r="B4" s="35"/>
      <c r="C4" s="36"/>
      <c r="D4" s="36"/>
      <c r="E4" s="37"/>
      <c r="F4" s="37"/>
      <c r="G4" s="5" t="s">
        <v>137</v>
      </c>
      <c r="H4" s="16">
        <v>319</v>
      </c>
      <c r="I4" s="17">
        <f t="shared" ref="I4:I17" si="0">IF(H4="","",(IF($C$20&lt;25%,"n/a",IF(H4&lt;=($D$20+$A$20),H4,"Descartado"))))</f>
        <v>319</v>
      </c>
    </row>
    <row r="5" spans="1:9" x14ac:dyDescent="0.25">
      <c r="A5" s="38"/>
      <c r="B5" s="35"/>
      <c r="C5" s="36"/>
      <c r="D5" s="36"/>
      <c r="E5" s="37"/>
      <c r="F5" s="37"/>
      <c r="G5" s="5" t="s">
        <v>138</v>
      </c>
      <c r="H5" s="16">
        <v>308.55</v>
      </c>
      <c r="I5" s="17">
        <f t="shared" si="0"/>
        <v>308.55</v>
      </c>
    </row>
    <row r="6" spans="1:9" x14ac:dyDescent="0.25">
      <c r="A6" s="38"/>
      <c r="B6" s="35"/>
      <c r="C6" s="36"/>
      <c r="D6" s="36"/>
      <c r="E6" s="37"/>
      <c r="F6" s="37"/>
      <c r="G6" s="5" t="s">
        <v>65</v>
      </c>
      <c r="H6" s="16">
        <v>637.03</v>
      </c>
      <c r="I6" s="17">
        <f t="shared" si="0"/>
        <v>637.03</v>
      </c>
    </row>
    <row r="7" spans="1:9" x14ac:dyDescent="0.25">
      <c r="A7" s="38"/>
      <c r="B7" s="35"/>
      <c r="C7" s="36"/>
      <c r="D7" s="36"/>
      <c r="E7" s="37"/>
      <c r="F7" s="37"/>
      <c r="G7" s="5" t="s">
        <v>139</v>
      </c>
      <c r="H7" s="16">
        <v>4678</v>
      </c>
      <c r="I7" s="17" t="str">
        <f t="shared" si="0"/>
        <v>Descartado</v>
      </c>
    </row>
    <row r="8" spans="1:9" x14ac:dyDescent="0.25">
      <c r="A8" s="38"/>
      <c r="B8" s="35"/>
      <c r="C8" s="36"/>
      <c r="D8" s="36"/>
      <c r="E8" s="37"/>
      <c r="F8" s="37"/>
      <c r="G8" s="5" t="s">
        <v>107</v>
      </c>
      <c r="H8" s="16">
        <v>573.75</v>
      </c>
      <c r="I8" s="17">
        <f t="shared" si="0"/>
        <v>573.75</v>
      </c>
    </row>
    <row r="9" spans="1:9" x14ac:dyDescent="0.25">
      <c r="A9" s="38"/>
      <c r="B9" s="35"/>
      <c r="C9" s="36"/>
      <c r="D9" s="36"/>
      <c r="E9" s="37"/>
      <c r="F9" s="37"/>
      <c r="G9" s="5" t="s">
        <v>175</v>
      </c>
      <c r="H9" s="16">
        <v>259.99</v>
      </c>
      <c r="I9" s="17">
        <f t="shared" si="0"/>
        <v>259.99</v>
      </c>
    </row>
    <row r="10" spans="1:9" x14ac:dyDescent="0.25">
      <c r="A10" s="38"/>
      <c r="B10" s="35"/>
      <c r="C10" s="36"/>
      <c r="D10" s="36"/>
      <c r="E10" s="37"/>
      <c r="F10" s="37"/>
      <c r="G10" s="5" t="s">
        <v>181</v>
      </c>
      <c r="H10" s="16">
        <v>569.91</v>
      </c>
      <c r="I10" s="17">
        <f t="shared" si="0"/>
        <v>569.91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49</v>
      </c>
      <c r="C3" s="36" t="s">
        <v>7</v>
      </c>
      <c r="D3" s="36">
        <v>1</v>
      </c>
      <c r="E3" s="37">
        <f>IF(C20&lt;=25%,D20,MIN(E20:F20))</f>
        <v>93.27</v>
      </c>
      <c r="F3" s="37">
        <f>MIN(H3:H17)</f>
        <v>31.88</v>
      </c>
      <c r="G3" s="5" t="s">
        <v>140</v>
      </c>
      <c r="H3" s="16">
        <v>60</v>
      </c>
      <c r="I3" s="17">
        <f>IF(H3="","",(IF($C$20&lt;25%,"n/a",IF(H3&lt;=($D$20+$A$20),H3,"Descartado"))))</f>
        <v>60</v>
      </c>
    </row>
    <row r="4" spans="1:9" x14ac:dyDescent="0.25">
      <c r="A4" s="38"/>
      <c r="B4" s="35"/>
      <c r="C4" s="36"/>
      <c r="D4" s="36"/>
      <c r="E4" s="37"/>
      <c r="F4" s="37"/>
      <c r="G4" s="5" t="s">
        <v>141</v>
      </c>
      <c r="H4" s="16">
        <v>212.4</v>
      </c>
      <c r="I4" s="17">
        <f t="shared" ref="I4:I17" si="0">IF(H4="","",(IF($C$20&lt;25%,"n/a",IF(H4&lt;=($D$20+$A$20),H4,"Descartado"))))</f>
        <v>212.4</v>
      </c>
    </row>
    <row r="5" spans="1:9" x14ac:dyDescent="0.25">
      <c r="A5" s="38"/>
      <c r="B5" s="35"/>
      <c r="C5" s="36"/>
      <c r="D5" s="36"/>
      <c r="E5" s="37"/>
      <c r="F5" s="37"/>
      <c r="G5" s="5" t="s">
        <v>142</v>
      </c>
      <c r="H5" s="16">
        <v>34.99</v>
      </c>
      <c r="I5" s="17">
        <f t="shared" si="0"/>
        <v>34.99</v>
      </c>
    </row>
    <row r="6" spans="1:9" x14ac:dyDescent="0.25">
      <c r="A6" s="38"/>
      <c r="B6" s="35"/>
      <c r="C6" s="36"/>
      <c r="D6" s="36"/>
      <c r="E6" s="37"/>
      <c r="F6" s="37"/>
      <c r="G6" s="5" t="s">
        <v>143</v>
      </c>
      <c r="H6" s="16">
        <v>31.88</v>
      </c>
      <c r="I6" s="17">
        <f t="shared" si="0"/>
        <v>31.88</v>
      </c>
    </row>
    <row r="7" spans="1:9" x14ac:dyDescent="0.25">
      <c r="A7" s="38"/>
      <c r="B7" s="35"/>
      <c r="C7" s="36"/>
      <c r="D7" s="36"/>
      <c r="E7" s="37"/>
      <c r="F7" s="37"/>
      <c r="G7" s="5" t="s">
        <v>144</v>
      </c>
      <c r="H7" s="16">
        <v>157</v>
      </c>
      <c r="I7" s="17">
        <f t="shared" si="0"/>
        <v>157</v>
      </c>
    </row>
    <row r="8" spans="1:9" x14ac:dyDescent="0.25">
      <c r="A8" s="38"/>
      <c r="B8" s="35"/>
      <c r="C8" s="36"/>
      <c r="D8" s="36"/>
      <c r="E8" s="37"/>
      <c r="F8" s="37"/>
      <c r="G8" s="5" t="s">
        <v>145</v>
      </c>
      <c r="H8" s="16">
        <v>32.08</v>
      </c>
      <c r="I8" s="17">
        <f t="shared" si="0"/>
        <v>32.08</v>
      </c>
    </row>
    <row r="9" spans="1:9" x14ac:dyDescent="0.25">
      <c r="A9" s="38"/>
      <c r="B9" s="35"/>
      <c r="C9" s="36"/>
      <c r="D9" s="36"/>
      <c r="E9" s="37"/>
      <c r="F9" s="37"/>
      <c r="G9" s="5" t="s">
        <v>146</v>
      </c>
      <c r="H9" s="16">
        <v>625.9</v>
      </c>
      <c r="I9" s="17" t="str">
        <f t="shared" si="0"/>
        <v>Descartado</v>
      </c>
    </row>
    <row r="10" spans="1:9" x14ac:dyDescent="0.25">
      <c r="A10" s="38"/>
      <c r="B10" s="35"/>
      <c r="C10" s="36"/>
      <c r="D10" s="36"/>
      <c r="E10" s="37"/>
      <c r="F10" s="37"/>
      <c r="G10" s="5" t="s">
        <v>175</v>
      </c>
      <c r="H10" s="16">
        <v>115.87</v>
      </c>
      <c r="I10" s="17">
        <f t="shared" si="0"/>
        <v>115.87</v>
      </c>
    </row>
    <row r="11" spans="1:9" x14ac:dyDescent="0.25">
      <c r="A11" s="38"/>
      <c r="B11" s="35"/>
      <c r="C11" s="36"/>
      <c r="D11" s="36"/>
      <c r="E11" s="37"/>
      <c r="F11" s="37"/>
      <c r="G11" s="5" t="s">
        <v>181</v>
      </c>
      <c r="H11" s="16">
        <v>101.9</v>
      </c>
      <c r="I11" s="17">
        <f t="shared" si="0"/>
        <v>101.9</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50</v>
      </c>
      <c r="C3" s="36" t="s">
        <v>7</v>
      </c>
      <c r="D3" s="36">
        <v>2</v>
      </c>
      <c r="E3" s="37">
        <f>IF(C20&lt;=25%,D20,MIN(E20:F20))</f>
        <v>741.85</v>
      </c>
      <c r="F3" s="37">
        <f>MIN(H3:H17)</f>
        <v>569.99</v>
      </c>
      <c r="G3" s="5" t="s">
        <v>175</v>
      </c>
      <c r="H3" s="16">
        <v>1096.79</v>
      </c>
      <c r="I3" s="17" t="str">
        <f>IF(H3="","",(IF($C$20&lt;25%,"n/a",IF(H3&lt;=($D$20+$A$20),H3,"Descartado"))))</f>
        <v>Descartado</v>
      </c>
    </row>
    <row r="4" spans="1:9" x14ac:dyDescent="0.25">
      <c r="A4" s="38"/>
      <c r="B4" s="35"/>
      <c r="C4" s="36"/>
      <c r="D4" s="36"/>
      <c r="E4" s="37"/>
      <c r="F4" s="37"/>
      <c r="G4" s="5" t="s">
        <v>168</v>
      </c>
      <c r="H4" s="16">
        <v>998.9</v>
      </c>
      <c r="I4" s="17">
        <f t="shared" ref="I4:I17" si="0">IF(H4="","",(IF($C$20&lt;25%,"n/a",IF(H4&lt;=($D$20+$A$20),H4,"Descartado"))))</f>
        <v>998.9</v>
      </c>
    </row>
    <row r="5" spans="1:9" x14ac:dyDescent="0.25">
      <c r="A5" s="38"/>
      <c r="B5" s="35"/>
      <c r="C5" s="36"/>
      <c r="D5" s="36"/>
      <c r="E5" s="37"/>
      <c r="F5" s="37"/>
      <c r="G5" s="5" t="s">
        <v>182</v>
      </c>
      <c r="H5" s="16">
        <v>569.99</v>
      </c>
      <c r="I5" s="17">
        <f t="shared" si="0"/>
        <v>569.99</v>
      </c>
    </row>
    <row r="6" spans="1:9" x14ac:dyDescent="0.25">
      <c r="A6" s="38"/>
      <c r="B6" s="35"/>
      <c r="C6" s="36"/>
      <c r="D6" s="36"/>
      <c r="E6" s="37"/>
      <c r="F6" s="37"/>
      <c r="G6" s="5" t="s">
        <v>183</v>
      </c>
      <c r="H6" s="16">
        <v>599</v>
      </c>
      <c r="I6" s="17">
        <f t="shared" si="0"/>
        <v>599</v>
      </c>
    </row>
    <row r="7" spans="1:9" x14ac:dyDescent="0.25">
      <c r="A7" s="38"/>
      <c r="B7" s="35"/>
      <c r="C7" s="36"/>
      <c r="D7" s="36"/>
      <c r="E7" s="37"/>
      <c r="F7" s="37"/>
      <c r="G7" s="5" t="s">
        <v>184</v>
      </c>
      <c r="H7" s="16">
        <v>799.49</v>
      </c>
      <c r="I7" s="17">
        <f t="shared" si="0"/>
        <v>799.49</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18" sqref="B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232</v>
      </c>
      <c r="C3" s="36" t="s">
        <v>203</v>
      </c>
      <c r="D3" s="36">
        <v>100</v>
      </c>
      <c r="E3" s="37">
        <f>IF(C20&lt;=25%,D20,MIN(E20:F20))</f>
        <v>309</v>
      </c>
      <c r="F3" s="37">
        <f>MIN(H3:H17)</f>
        <v>219.88</v>
      </c>
      <c r="G3" s="5" t="s">
        <v>217</v>
      </c>
      <c r="H3" s="16">
        <v>756.31</v>
      </c>
      <c r="I3" s="17" t="str">
        <f>IF(H3="","",(IF($C$20&lt;25%,"n/a",IF(H3&lt;=($D$20+$A$20),H3,"Descartado"))))</f>
        <v>Descartado</v>
      </c>
    </row>
    <row r="4" spans="1:9" x14ac:dyDescent="0.25">
      <c r="A4" s="38"/>
      <c r="B4" s="35"/>
      <c r="C4" s="36"/>
      <c r="D4" s="36"/>
      <c r="E4" s="37"/>
      <c r="F4" s="37"/>
      <c r="G4" s="5" t="s">
        <v>218</v>
      </c>
      <c r="H4" s="16">
        <v>726.74</v>
      </c>
      <c r="I4" s="17" t="str">
        <f t="shared" ref="I4:I18" si="0">IF(H4="","",(IF($C$20&lt;25%,"n/a",IF(H4&lt;=($D$20+$A$20),H4,"Descartado"))))</f>
        <v>Descartado</v>
      </c>
    </row>
    <row r="5" spans="1:9" x14ac:dyDescent="0.25">
      <c r="A5" s="38"/>
      <c r="B5" s="35"/>
      <c r="C5" s="36"/>
      <c r="D5" s="36"/>
      <c r="E5" s="37"/>
      <c r="F5" s="37"/>
      <c r="G5" s="5" t="s">
        <v>219</v>
      </c>
      <c r="H5" s="16">
        <v>548.97</v>
      </c>
      <c r="I5" s="17">
        <f t="shared" si="0"/>
        <v>548.97</v>
      </c>
    </row>
    <row r="6" spans="1:9" x14ac:dyDescent="0.25">
      <c r="A6" s="38"/>
      <c r="B6" s="35"/>
      <c r="C6" s="36"/>
      <c r="D6" s="36"/>
      <c r="E6" s="37"/>
      <c r="F6" s="37"/>
      <c r="G6" s="5" t="s">
        <v>175</v>
      </c>
      <c r="H6" s="16">
        <v>539.9</v>
      </c>
      <c r="I6" s="17">
        <f t="shared" si="0"/>
        <v>539.9</v>
      </c>
    </row>
    <row r="7" spans="1:9" x14ac:dyDescent="0.25">
      <c r="A7" s="38"/>
      <c r="B7" s="35"/>
      <c r="C7" s="36"/>
      <c r="D7" s="36"/>
      <c r="E7" s="37"/>
      <c r="F7" s="37"/>
      <c r="G7" s="5" t="s">
        <v>220</v>
      </c>
      <c r="H7" s="16">
        <v>683.05</v>
      </c>
      <c r="I7" s="17" t="str">
        <f t="shared" si="0"/>
        <v>Descartado</v>
      </c>
    </row>
    <row r="8" spans="1:9" x14ac:dyDescent="0.25">
      <c r="A8" s="38"/>
      <c r="B8" s="35"/>
      <c r="C8" s="36"/>
      <c r="D8" s="36"/>
      <c r="E8" s="37"/>
      <c r="F8" s="37"/>
      <c r="G8" s="5" t="s">
        <v>221</v>
      </c>
      <c r="H8" s="16">
        <v>570.4</v>
      </c>
      <c r="I8" s="17">
        <f t="shared" si="0"/>
        <v>570.4</v>
      </c>
    </row>
    <row r="9" spans="1:9" x14ac:dyDescent="0.25">
      <c r="A9" s="38"/>
      <c r="B9" s="35"/>
      <c r="C9" s="36"/>
      <c r="D9" s="36"/>
      <c r="E9" s="37"/>
      <c r="F9" s="37"/>
      <c r="G9" s="5" t="s">
        <v>222</v>
      </c>
      <c r="H9" s="16">
        <v>240</v>
      </c>
      <c r="I9" s="17">
        <f t="shared" si="0"/>
        <v>240</v>
      </c>
    </row>
    <row r="10" spans="1:9" x14ac:dyDescent="0.25">
      <c r="A10" s="38"/>
      <c r="B10" s="35"/>
      <c r="C10" s="36"/>
      <c r="D10" s="36"/>
      <c r="E10" s="37"/>
      <c r="F10" s="37"/>
      <c r="G10" s="5" t="s">
        <v>223</v>
      </c>
      <c r="H10" s="16">
        <v>248.99</v>
      </c>
      <c r="I10" s="17">
        <f t="shared" si="0"/>
        <v>248.99</v>
      </c>
    </row>
    <row r="11" spans="1:9" x14ac:dyDescent="0.25">
      <c r="A11" s="38"/>
      <c r="B11" s="35"/>
      <c r="C11" s="36"/>
      <c r="D11" s="36"/>
      <c r="E11" s="37"/>
      <c r="F11" s="37"/>
      <c r="G11" s="5" t="s">
        <v>224</v>
      </c>
      <c r="H11" s="16">
        <v>219.88</v>
      </c>
      <c r="I11" s="17">
        <f t="shared" si="0"/>
        <v>219.88</v>
      </c>
    </row>
    <row r="12" spans="1:9" x14ac:dyDescent="0.25">
      <c r="A12" s="38"/>
      <c r="B12" s="35"/>
      <c r="C12" s="36"/>
      <c r="D12" s="36"/>
      <c r="E12" s="37"/>
      <c r="F12" s="37"/>
      <c r="G12" s="5" t="s">
        <v>225</v>
      </c>
      <c r="H12" s="16">
        <v>250</v>
      </c>
      <c r="I12" s="17">
        <f t="shared" si="0"/>
        <v>250</v>
      </c>
    </row>
    <row r="13" spans="1:9" x14ac:dyDescent="0.25">
      <c r="A13" s="38"/>
      <c r="B13" s="35"/>
      <c r="C13" s="36"/>
      <c r="D13" s="36"/>
      <c r="E13" s="37"/>
      <c r="F13" s="37"/>
      <c r="G13" s="5" t="s">
        <v>226</v>
      </c>
      <c r="H13" s="16">
        <v>386.99</v>
      </c>
      <c r="I13" s="17">
        <f t="shared" si="0"/>
        <v>386.99</v>
      </c>
    </row>
    <row r="14" spans="1:9" x14ac:dyDescent="0.25">
      <c r="A14" s="38"/>
      <c r="B14" s="35"/>
      <c r="C14" s="36"/>
      <c r="D14" s="36"/>
      <c r="E14" s="37"/>
      <c r="F14" s="37"/>
      <c r="G14" s="5" t="s">
        <v>230</v>
      </c>
      <c r="H14" s="16">
        <v>309</v>
      </c>
      <c r="I14" s="17">
        <f t="shared" si="0"/>
        <v>309</v>
      </c>
    </row>
    <row r="15" spans="1:9" x14ac:dyDescent="0.25">
      <c r="A15" s="38"/>
      <c r="B15" s="35"/>
      <c r="C15" s="36"/>
      <c r="D15" s="36"/>
      <c r="E15" s="37"/>
      <c r="F15" s="37"/>
      <c r="G15" s="5" t="s">
        <v>227</v>
      </c>
      <c r="H15" s="16">
        <v>269</v>
      </c>
      <c r="I15" s="17">
        <f t="shared" si="0"/>
        <v>269</v>
      </c>
    </row>
    <row r="16" spans="1:9" x14ac:dyDescent="0.25">
      <c r="A16" s="38"/>
      <c r="B16" s="35"/>
      <c r="C16" s="36"/>
      <c r="D16" s="36"/>
      <c r="E16" s="37"/>
      <c r="F16" s="37"/>
      <c r="G16" s="5" t="s">
        <v>228</v>
      </c>
      <c r="H16" s="16">
        <v>293.99</v>
      </c>
      <c r="I16" s="17">
        <f t="shared" si="0"/>
        <v>293.99</v>
      </c>
    </row>
    <row r="17" spans="1:9" x14ac:dyDescent="0.25">
      <c r="A17" s="38"/>
      <c r="B17" s="35"/>
      <c r="C17" s="36"/>
      <c r="D17" s="36"/>
      <c r="E17" s="37"/>
      <c r="F17" s="37"/>
      <c r="G17" s="5" t="s">
        <v>229</v>
      </c>
      <c r="H17" s="16">
        <v>293</v>
      </c>
      <c r="I17" s="17">
        <f t="shared" si="0"/>
        <v>293</v>
      </c>
    </row>
    <row r="18" spans="1:9" x14ac:dyDescent="0.25">
      <c r="G18" s="5"/>
      <c r="I18" s="1"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194.33820530444439</v>
      </c>
      <c r="B20" s="8">
        <f>COUNT(H3:H17)</f>
        <v>15</v>
      </c>
      <c r="C20" s="9">
        <f>IF(B20&lt;2,"n/a",(A20/D20))</f>
        <v>0.46007008665619747</v>
      </c>
      <c r="D20" s="10">
        <f>IFERROR(ROUND(AVERAGE(H3:H17),2),"")</f>
        <v>422.41</v>
      </c>
      <c r="E20" s="15">
        <f>IFERROR(ROUND(IF(B20&lt;2,"n/a",(IF(C20&lt;=25%,"n/a",AVERAGE(I3:I17)))),2),"n/a")</f>
        <v>347.51</v>
      </c>
      <c r="F20" s="10">
        <f>IFERROR(ROUND(MEDIAN(H3:H17),2),"")</f>
        <v>309</v>
      </c>
      <c r="G20" s="11" t="str">
        <f>IFERROR(INDEX(G3:G17,MATCH(H20,H3:H17,0)),"")</f>
        <v>PE90005/2025 - 16.487.666/0001-41</v>
      </c>
      <c r="H20" s="12">
        <f>F3</f>
        <v>219.88</v>
      </c>
    </row>
    <row r="22" spans="1:9" x14ac:dyDescent="0.25">
      <c r="G22" s="13" t="s">
        <v>20</v>
      </c>
      <c r="H22" s="14">
        <f>IF(C20&lt;=25%,D20,MIN(E20:F20))</f>
        <v>309</v>
      </c>
    </row>
    <row r="23" spans="1:9" x14ac:dyDescent="0.25">
      <c r="G23" s="13" t="s">
        <v>6</v>
      </c>
      <c r="H23" s="14">
        <f>ROUND(H22,2)*D3</f>
        <v>30900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51</v>
      </c>
      <c r="C3" s="36" t="s">
        <v>7</v>
      </c>
      <c r="D3" s="36">
        <v>8</v>
      </c>
      <c r="E3" s="37">
        <f>IF(C20&lt;=25%,D20,MIN(E20:F20))</f>
        <v>1288.28</v>
      </c>
      <c r="F3" s="37">
        <f>MIN(H3:H17)</f>
        <v>990</v>
      </c>
      <c r="G3" s="5" t="s">
        <v>185</v>
      </c>
      <c r="H3" s="16">
        <v>990</v>
      </c>
      <c r="I3" s="17" t="str">
        <f>IF(H3="","",(IF($C$20&lt;25%,"n/a",IF(H3&lt;=($D$20+$A$20),H3,"Descartado"))))</f>
        <v>n/a</v>
      </c>
    </row>
    <row r="4" spans="1:9" x14ac:dyDescent="0.25">
      <c r="A4" s="38"/>
      <c r="B4" s="35"/>
      <c r="C4" s="36"/>
      <c r="D4" s="36"/>
      <c r="E4" s="37"/>
      <c r="F4" s="37"/>
      <c r="G4" s="5" t="s">
        <v>186</v>
      </c>
      <c r="H4" s="16">
        <v>1399</v>
      </c>
      <c r="I4" s="17" t="str">
        <f t="shared" ref="I4:I17" si="0">IF(H4="","",(IF($C$20&lt;25%,"n/a",IF(H4&lt;=($D$20+$A$20),H4,"Descartado"))))</f>
        <v>n/a</v>
      </c>
    </row>
    <row r="5" spans="1:9" x14ac:dyDescent="0.25">
      <c r="A5" s="38"/>
      <c r="B5" s="35"/>
      <c r="C5" s="36"/>
      <c r="D5" s="36"/>
      <c r="E5" s="37"/>
      <c r="F5" s="37"/>
      <c r="G5" s="5" t="s">
        <v>187</v>
      </c>
      <c r="H5" s="16">
        <v>1265.0999999999999</v>
      </c>
      <c r="I5" s="17" t="str">
        <f t="shared" si="0"/>
        <v>n/a</v>
      </c>
    </row>
    <row r="6" spans="1:9" x14ac:dyDescent="0.25">
      <c r="A6" s="38"/>
      <c r="B6" s="35"/>
      <c r="C6" s="36"/>
      <c r="D6" s="36"/>
      <c r="E6" s="37"/>
      <c r="F6" s="37"/>
      <c r="G6" s="5" t="s">
        <v>188</v>
      </c>
      <c r="H6" s="16">
        <v>1499</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52</v>
      </c>
      <c r="C3" s="36" t="s">
        <v>7</v>
      </c>
      <c r="D3" s="36">
        <v>2</v>
      </c>
      <c r="E3" s="37">
        <f>IF(C20&lt;=25%,D20,MIN(E20:F20))</f>
        <v>454.84</v>
      </c>
      <c r="F3" s="37">
        <f>MIN(H3:H17)</f>
        <v>136</v>
      </c>
      <c r="G3" s="5" t="s">
        <v>147</v>
      </c>
      <c r="H3" s="16">
        <v>136</v>
      </c>
      <c r="I3" s="17">
        <f>IF(H3="","",(IF($C$20&lt;25%,"n/a",IF(H3&lt;=($D$20+$A$20),H3,"Descartado"))))</f>
        <v>136</v>
      </c>
    </row>
    <row r="4" spans="1:9" x14ac:dyDescent="0.25">
      <c r="A4" s="38"/>
      <c r="B4" s="35"/>
      <c r="C4" s="36"/>
      <c r="D4" s="36"/>
      <c r="E4" s="37"/>
      <c r="F4" s="37"/>
      <c r="G4" s="5" t="s">
        <v>148</v>
      </c>
      <c r="H4" s="16">
        <v>200</v>
      </c>
      <c r="I4" s="17">
        <f t="shared" ref="I4:I17" si="0">IF(H4="","",(IF($C$20&lt;25%,"n/a",IF(H4&lt;=($D$20+$A$20),H4,"Descartado"))))</f>
        <v>200</v>
      </c>
    </row>
    <row r="5" spans="1:9" x14ac:dyDescent="0.25">
      <c r="A5" s="38"/>
      <c r="B5" s="35"/>
      <c r="C5" s="36"/>
      <c r="D5" s="36"/>
      <c r="E5" s="37"/>
      <c r="F5" s="37"/>
      <c r="G5" s="5" t="s">
        <v>149</v>
      </c>
      <c r="H5" s="16">
        <v>300.99</v>
      </c>
      <c r="I5" s="17">
        <f t="shared" si="0"/>
        <v>300.99</v>
      </c>
    </row>
    <row r="6" spans="1:9" x14ac:dyDescent="0.25">
      <c r="A6" s="38"/>
      <c r="B6" s="35"/>
      <c r="C6" s="36"/>
      <c r="D6" s="36"/>
      <c r="E6" s="37"/>
      <c r="F6" s="37"/>
      <c r="G6" s="5" t="s">
        <v>150</v>
      </c>
      <c r="H6" s="16">
        <v>455</v>
      </c>
      <c r="I6" s="17">
        <f t="shared" si="0"/>
        <v>455</v>
      </c>
    </row>
    <row r="7" spans="1:9" x14ac:dyDescent="0.25">
      <c r="A7" s="38"/>
      <c r="B7" s="35"/>
      <c r="C7" s="36"/>
      <c r="D7" s="36"/>
      <c r="E7" s="37"/>
      <c r="F7" s="37"/>
      <c r="G7" s="5" t="s">
        <v>75</v>
      </c>
      <c r="H7" s="16">
        <v>554</v>
      </c>
      <c r="I7" s="17">
        <f t="shared" si="0"/>
        <v>554</v>
      </c>
    </row>
    <row r="8" spans="1:9" x14ac:dyDescent="0.25">
      <c r="A8" s="38"/>
      <c r="B8" s="35"/>
      <c r="C8" s="36"/>
      <c r="D8" s="36"/>
      <c r="E8" s="37"/>
      <c r="F8" s="37"/>
      <c r="G8" s="5" t="s">
        <v>130</v>
      </c>
      <c r="H8" s="16">
        <v>650.94000000000005</v>
      </c>
      <c r="I8" s="17">
        <f t="shared" si="0"/>
        <v>650.94000000000005</v>
      </c>
    </row>
    <row r="9" spans="1:9" x14ac:dyDescent="0.25">
      <c r="A9" s="38"/>
      <c r="B9" s="35"/>
      <c r="C9" s="36"/>
      <c r="D9" s="36"/>
      <c r="E9" s="37"/>
      <c r="F9" s="37"/>
      <c r="G9" s="5" t="s">
        <v>151</v>
      </c>
      <c r="H9" s="16">
        <v>683.75</v>
      </c>
      <c r="I9" s="17">
        <f t="shared" si="0"/>
        <v>683.75</v>
      </c>
    </row>
    <row r="10" spans="1:9" x14ac:dyDescent="0.25">
      <c r="A10" s="38"/>
      <c r="B10" s="35"/>
      <c r="C10" s="36"/>
      <c r="D10" s="36"/>
      <c r="E10" s="37"/>
      <c r="F10" s="37"/>
      <c r="G10" s="5" t="s">
        <v>152</v>
      </c>
      <c r="H10" s="16">
        <v>687</v>
      </c>
      <c r="I10" s="17">
        <f t="shared" si="0"/>
        <v>687</v>
      </c>
    </row>
    <row r="11" spans="1:9" x14ac:dyDescent="0.25">
      <c r="A11" s="38"/>
      <c r="B11" s="35"/>
      <c r="C11" s="36"/>
      <c r="D11" s="36"/>
      <c r="E11" s="37"/>
      <c r="F11" s="37"/>
      <c r="G11" s="5" t="s">
        <v>189</v>
      </c>
      <c r="H11" s="16">
        <v>565.11</v>
      </c>
      <c r="I11" s="17">
        <f t="shared" si="0"/>
        <v>565.11</v>
      </c>
    </row>
    <row r="12" spans="1:9" x14ac:dyDescent="0.25">
      <c r="A12" s="38"/>
      <c r="B12" s="35"/>
      <c r="C12" s="36"/>
      <c r="D12" s="36"/>
      <c r="E12" s="37"/>
      <c r="F12" s="37"/>
      <c r="G12" s="5" t="s">
        <v>165</v>
      </c>
      <c r="H12" s="16">
        <v>750</v>
      </c>
      <c r="I12" s="17" t="str">
        <f t="shared" si="0"/>
        <v>Descartado</v>
      </c>
    </row>
    <row r="13" spans="1:9" x14ac:dyDescent="0.25">
      <c r="A13" s="38"/>
      <c r="B13" s="35"/>
      <c r="C13" s="36"/>
      <c r="D13" s="36"/>
      <c r="E13" s="37"/>
      <c r="F13" s="37"/>
      <c r="G13" s="5" t="s">
        <v>190</v>
      </c>
      <c r="H13" s="16">
        <v>197.99</v>
      </c>
      <c r="I13" s="17">
        <f t="shared" si="0"/>
        <v>197.99</v>
      </c>
    </row>
    <row r="14" spans="1:9" x14ac:dyDescent="0.25">
      <c r="A14" s="38"/>
      <c r="B14" s="35"/>
      <c r="C14" s="36"/>
      <c r="D14" s="36"/>
      <c r="E14" s="37"/>
      <c r="F14" s="37"/>
      <c r="G14" s="5" t="s">
        <v>191</v>
      </c>
      <c r="H14" s="16">
        <v>572.5</v>
      </c>
      <c r="I14" s="17">
        <f t="shared" si="0"/>
        <v>572.5</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53</v>
      </c>
      <c r="C3" s="36" t="s">
        <v>7</v>
      </c>
      <c r="D3" s="36">
        <v>15</v>
      </c>
      <c r="E3" s="37">
        <f>IF(C20&lt;=25%,D20,MIN(E20:F20))</f>
        <v>1692.18</v>
      </c>
      <c r="F3" s="37">
        <f>MIN(H3:H17)</f>
        <v>900.9</v>
      </c>
      <c r="G3" s="5" t="s">
        <v>125</v>
      </c>
      <c r="H3" s="16">
        <v>900.9</v>
      </c>
      <c r="I3" s="17">
        <f>IF(H3="","",(IF($C$20&lt;25%,"n/a",IF(H3&lt;=($D$20+$A$20),H3,"Descartado"))))</f>
        <v>900.9</v>
      </c>
    </row>
    <row r="4" spans="1:9" x14ac:dyDescent="0.25">
      <c r="A4" s="38"/>
      <c r="B4" s="35"/>
      <c r="C4" s="36"/>
      <c r="D4" s="36"/>
      <c r="E4" s="37"/>
      <c r="F4" s="37"/>
      <c r="G4" s="5" t="s">
        <v>153</v>
      </c>
      <c r="H4" s="16">
        <v>1650</v>
      </c>
      <c r="I4" s="17">
        <f t="shared" ref="I4:I17" si="0">IF(H4="","",(IF($C$20&lt;25%,"n/a",IF(H4&lt;=($D$20+$A$20),H4,"Descartado"))))</f>
        <v>1650</v>
      </c>
    </row>
    <row r="5" spans="1:9" x14ac:dyDescent="0.25">
      <c r="A5" s="38"/>
      <c r="B5" s="35"/>
      <c r="C5" s="36"/>
      <c r="D5" s="36"/>
      <c r="E5" s="37"/>
      <c r="F5" s="37"/>
      <c r="G5" s="5" t="s">
        <v>134</v>
      </c>
      <c r="H5" s="16">
        <v>2399</v>
      </c>
      <c r="I5" s="17">
        <f t="shared" si="0"/>
        <v>2399</v>
      </c>
    </row>
    <row r="6" spans="1:9" x14ac:dyDescent="0.25">
      <c r="A6" s="38"/>
      <c r="B6" s="35"/>
      <c r="C6" s="36"/>
      <c r="D6" s="36"/>
      <c r="E6" s="37"/>
      <c r="F6" s="37"/>
      <c r="G6" s="5" t="s">
        <v>154</v>
      </c>
      <c r="H6" s="16">
        <v>3034</v>
      </c>
      <c r="I6" s="17" t="str">
        <f t="shared" si="0"/>
        <v>Descartado</v>
      </c>
    </row>
    <row r="7" spans="1:9" x14ac:dyDescent="0.25">
      <c r="A7" s="38"/>
      <c r="B7" s="35"/>
      <c r="C7" s="36"/>
      <c r="D7" s="36"/>
      <c r="E7" s="37"/>
      <c r="F7" s="37"/>
      <c r="G7" s="5" t="s">
        <v>192</v>
      </c>
      <c r="H7" s="16">
        <v>2019</v>
      </c>
      <c r="I7" s="17">
        <f t="shared" si="0"/>
        <v>2019</v>
      </c>
    </row>
    <row r="8" spans="1:9" x14ac:dyDescent="0.25">
      <c r="A8" s="38"/>
      <c r="B8" s="35"/>
      <c r="C8" s="36"/>
      <c r="D8" s="36"/>
      <c r="E8" s="37"/>
      <c r="F8" s="37"/>
      <c r="G8" s="5" t="s">
        <v>193</v>
      </c>
      <c r="H8" s="16">
        <v>1492</v>
      </c>
      <c r="I8" s="17">
        <f t="shared" si="0"/>
        <v>1492</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54</v>
      </c>
      <c r="C3" s="36" t="s">
        <v>7</v>
      </c>
      <c r="D3" s="36">
        <v>1</v>
      </c>
      <c r="E3" s="37">
        <f>IF(C20&lt;=25%,D20,MIN(E20:F20))</f>
        <v>2269.12</v>
      </c>
      <c r="F3" s="37">
        <f>MIN(H3:H17)</f>
        <v>1299</v>
      </c>
      <c r="G3" s="5" t="s">
        <v>155</v>
      </c>
      <c r="H3" s="16">
        <v>1299</v>
      </c>
      <c r="I3" s="17">
        <f>IF(H3="","",(IF($C$20&lt;25%,"n/a",IF(H3&lt;=($D$20+$A$20),H3,"Descartado"))))</f>
        <v>1299</v>
      </c>
    </row>
    <row r="4" spans="1:9" x14ac:dyDescent="0.25">
      <c r="A4" s="38"/>
      <c r="B4" s="35"/>
      <c r="C4" s="36"/>
      <c r="D4" s="36"/>
      <c r="E4" s="37"/>
      <c r="F4" s="37"/>
      <c r="G4" s="5" t="s">
        <v>96</v>
      </c>
      <c r="H4" s="16">
        <v>1689</v>
      </c>
      <c r="I4" s="17">
        <f t="shared" ref="I4:I17" si="0">IF(H4="","",(IF($C$20&lt;25%,"n/a",IF(H4&lt;=($D$20+$A$20),H4,"Descartado"))))</f>
        <v>1689</v>
      </c>
    </row>
    <row r="5" spans="1:9" x14ac:dyDescent="0.25">
      <c r="A5" s="38"/>
      <c r="B5" s="35"/>
      <c r="C5" s="36"/>
      <c r="D5" s="36"/>
      <c r="E5" s="37"/>
      <c r="F5" s="37"/>
      <c r="G5" s="5" t="s">
        <v>127</v>
      </c>
      <c r="H5" s="16">
        <v>4779.97</v>
      </c>
      <c r="I5" s="17" t="str">
        <f t="shared" si="0"/>
        <v>Descartado</v>
      </c>
    </row>
    <row r="6" spans="1:9" x14ac:dyDescent="0.25">
      <c r="A6" s="38"/>
      <c r="B6" s="35"/>
      <c r="C6" s="36"/>
      <c r="D6" s="36"/>
      <c r="E6" s="37"/>
      <c r="F6" s="37"/>
      <c r="G6" s="5" t="s">
        <v>156</v>
      </c>
      <c r="H6" s="16">
        <v>4768</v>
      </c>
      <c r="I6" s="17" t="str">
        <f t="shared" si="0"/>
        <v>Descartado</v>
      </c>
    </row>
    <row r="7" spans="1:9" x14ac:dyDescent="0.25">
      <c r="A7" s="38"/>
      <c r="B7" s="35"/>
      <c r="C7" s="36"/>
      <c r="D7" s="36"/>
      <c r="E7" s="37"/>
      <c r="F7" s="37"/>
      <c r="G7" s="5" t="s">
        <v>194</v>
      </c>
      <c r="H7" s="16">
        <v>2249.1</v>
      </c>
      <c r="I7" s="17">
        <f t="shared" si="0"/>
        <v>2249.1</v>
      </c>
    </row>
    <row r="8" spans="1:9" x14ac:dyDescent="0.25">
      <c r="A8" s="38"/>
      <c r="B8" s="35"/>
      <c r="C8" s="36"/>
      <c r="D8" s="36"/>
      <c r="E8" s="37"/>
      <c r="F8" s="37"/>
      <c r="G8" s="5" t="s">
        <v>195</v>
      </c>
      <c r="H8" s="16">
        <v>2554.9899999999998</v>
      </c>
      <c r="I8" s="17">
        <f t="shared" si="0"/>
        <v>2554.9899999999998</v>
      </c>
    </row>
    <row r="9" spans="1:9" x14ac:dyDescent="0.25">
      <c r="A9" s="38"/>
      <c r="B9" s="35"/>
      <c r="C9" s="36"/>
      <c r="D9" s="36"/>
      <c r="E9" s="37"/>
      <c r="F9" s="37"/>
      <c r="G9" s="5" t="s">
        <v>196</v>
      </c>
      <c r="H9" s="16">
        <v>4045.24</v>
      </c>
      <c r="I9" s="17">
        <f t="shared" si="0"/>
        <v>4045.24</v>
      </c>
    </row>
    <row r="10" spans="1:9" x14ac:dyDescent="0.25">
      <c r="A10" s="38"/>
      <c r="B10" s="35"/>
      <c r="C10" s="36"/>
      <c r="D10" s="36"/>
      <c r="E10" s="37"/>
      <c r="F10" s="37"/>
      <c r="G10" s="5" t="s">
        <v>197</v>
      </c>
      <c r="H10" s="16">
        <v>1777.41</v>
      </c>
      <c r="I10" s="17">
        <f t="shared" si="0"/>
        <v>1777.41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55</v>
      </c>
      <c r="C3" s="36" t="s">
        <v>7</v>
      </c>
      <c r="D3" s="36">
        <v>6</v>
      </c>
      <c r="E3" s="37">
        <f>IF(C20&lt;=25%,D20,MIN(E20:F20))</f>
        <v>150.47</v>
      </c>
      <c r="F3" s="37">
        <f>MIN(H3:H17)</f>
        <v>116.55</v>
      </c>
      <c r="G3" s="5" t="s">
        <v>175</v>
      </c>
      <c r="H3" s="16">
        <v>116.55</v>
      </c>
      <c r="I3" s="17" t="str">
        <f>IF(H3="","",(IF($C$20&lt;25%,"n/a",IF(H3&lt;=($D$20+$A$20),H3,"Descartado"))))</f>
        <v>n/a</v>
      </c>
    </row>
    <row r="4" spans="1:9" x14ac:dyDescent="0.25">
      <c r="A4" s="38"/>
      <c r="B4" s="35"/>
      <c r="C4" s="36"/>
      <c r="D4" s="36"/>
      <c r="E4" s="37"/>
      <c r="F4" s="37"/>
      <c r="G4" s="5" t="s">
        <v>181</v>
      </c>
      <c r="H4" s="16">
        <v>189.9</v>
      </c>
      <c r="I4" s="17" t="str">
        <f t="shared" ref="I4:I17" si="0">IF(H4="","",(IF($C$20&lt;25%,"n/a",IF(H4&lt;=($D$20+$A$20),H4,"Descartado"))))</f>
        <v>n/a</v>
      </c>
    </row>
    <row r="5" spans="1:9" x14ac:dyDescent="0.25">
      <c r="A5" s="38"/>
      <c r="B5" s="35"/>
      <c r="C5" s="36"/>
      <c r="D5" s="36"/>
      <c r="E5" s="37"/>
      <c r="F5" s="37"/>
      <c r="G5" s="5" t="s">
        <v>198</v>
      </c>
      <c r="H5" s="16">
        <v>144.94999999999999</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56</v>
      </c>
      <c r="C3" s="36" t="s">
        <v>7</v>
      </c>
      <c r="D3" s="36">
        <v>2</v>
      </c>
      <c r="E3" s="37">
        <f>IF(C20&lt;=25%,D20,MIN(E20:F20))</f>
        <v>701.53</v>
      </c>
      <c r="F3" s="37">
        <f>MIN(H3:H17)</f>
        <v>549</v>
      </c>
      <c r="G3" s="5" t="s">
        <v>199</v>
      </c>
      <c r="H3" s="16">
        <v>549</v>
      </c>
      <c r="I3" s="17">
        <f>IF(H3="","",(IF($C$20&lt;25%,"n/a",IF(H3&lt;=($D$20+$A$20),H3,"Descartado"))))</f>
        <v>549</v>
      </c>
    </row>
    <row r="4" spans="1:9" x14ac:dyDescent="0.25">
      <c r="A4" s="38"/>
      <c r="B4" s="35"/>
      <c r="C4" s="36"/>
      <c r="D4" s="36"/>
      <c r="E4" s="37"/>
      <c r="F4" s="37"/>
      <c r="G4" s="5" t="s">
        <v>175</v>
      </c>
      <c r="H4" s="16">
        <v>679.9</v>
      </c>
      <c r="I4" s="17">
        <f t="shared" ref="I4:I17" si="0">IF(H4="","",(IF($C$20&lt;25%,"n/a",IF(H4&lt;=($D$20+$A$20),H4,"Descartado"))))</f>
        <v>679.9</v>
      </c>
    </row>
    <row r="5" spans="1:9" x14ac:dyDescent="0.25">
      <c r="A5" s="38"/>
      <c r="B5" s="35"/>
      <c r="C5" s="36"/>
      <c r="D5" s="36"/>
      <c r="E5" s="37"/>
      <c r="F5" s="37"/>
      <c r="G5" s="5" t="s">
        <v>168</v>
      </c>
      <c r="H5" s="16">
        <v>998</v>
      </c>
      <c r="I5" s="17" t="str">
        <f t="shared" si="0"/>
        <v>Descartado</v>
      </c>
    </row>
    <row r="6" spans="1:9" x14ac:dyDescent="0.25">
      <c r="A6" s="38"/>
      <c r="B6" s="35"/>
      <c r="C6" s="36"/>
      <c r="D6" s="36"/>
      <c r="E6" s="37"/>
      <c r="F6" s="37"/>
      <c r="G6" s="5" t="s">
        <v>200</v>
      </c>
      <c r="H6" s="16">
        <v>875.69</v>
      </c>
      <c r="I6" s="17">
        <f t="shared" si="0"/>
        <v>875.69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57</v>
      </c>
      <c r="C3" s="36" t="s">
        <v>7</v>
      </c>
      <c r="D3" s="36">
        <v>4</v>
      </c>
      <c r="E3" s="37">
        <f>IF(C20&lt;=25%,D20,MIN(E20:F20))</f>
        <v>314.5</v>
      </c>
      <c r="F3" s="37">
        <f>MIN(H3:H17)</f>
        <v>149.97</v>
      </c>
      <c r="G3" s="5" t="s">
        <v>157</v>
      </c>
      <c r="H3" s="16">
        <v>1257</v>
      </c>
      <c r="I3" s="17" t="str">
        <f>IF(H3="","",(IF($C$20&lt;25%,"n/a",IF(H3&lt;=($D$20+$A$20),H3,"Descartado"))))</f>
        <v>Descartado</v>
      </c>
    </row>
    <row r="4" spans="1:9" x14ac:dyDescent="0.25">
      <c r="A4" s="38"/>
      <c r="B4" s="35"/>
      <c r="C4" s="36"/>
      <c r="D4" s="36"/>
      <c r="E4" s="37"/>
      <c r="F4" s="37"/>
      <c r="G4" s="5" t="s">
        <v>96</v>
      </c>
      <c r="H4" s="16">
        <v>160</v>
      </c>
      <c r="I4" s="17">
        <f t="shared" ref="I4:I17" si="0">IF(H4="","",(IF($C$20&lt;25%,"n/a",IF(H4&lt;=($D$20+$A$20),H4,"Descartado"))))</f>
        <v>160</v>
      </c>
    </row>
    <row r="5" spans="1:9" x14ac:dyDescent="0.25">
      <c r="A5" s="38"/>
      <c r="B5" s="35"/>
      <c r="C5" s="36"/>
      <c r="D5" s="36"/>
      <c r="E5" s="37"/>
      <c r="F5" s="37"/>
      <c r="G5" s="5" t="s">
        <v>158</v>
      </c>
      <c r="H5" s="16">
        <v>330</v>
      </c>
      <c r="I5" s="17">
        <f t="shared" si="0"/>
        <v>330</v>
      </c>
    </row>
    <row r="6" spans="1:9" x14ac:dyDescent="0.25">
      <c r="A6" s="38"/>
      <c r="B6" s="35"/>
      <c r="C6" s="36"/>
      <c r="D6" s="36"/>
      <c r="E6" s="37"/>
      <c r="F6" s="37"/>
      <c r="G6" s="5" t="s">
        <v>104</v>
      </c>
      <c r="H6" s="16">
        <v>259</v>
      </c>
      <c r="I6" s="17">
        <f t="shared" si="0"/>
        <v>259</v>
      </c>
    </row>
    <row r="7" spans="1:9" x14ac:dyDescent="0.25">
      <c r="A7" s="38"/>
      <c r="B7" s="35"/>
      <c r="C7" s="36"/>
      <c r="D7" s="36"/>
      <c r="E7" s="37"/>
      <c r="F7" s="37"/>
      <c r="G7" s="5" t="s">
        <v>110</v>
      </c>
      <c r="H7" s="16">
        <v>1000</v>
      </c>
      <c r="I7" s="17">
        <f t="shared" si="0"/>
        <v>1000</v>
      </c>
    </row>
    <row r="8" spans="1:9" x14ac:dyDescent="0.25">
      <c r="A8" s="38"/>
      <c r="B8" s="35"/>
      <c r="C8" s="36"/>
      <c r="D8" s="36"/>
      <c r="E8" s="37"/>
      <c r="F8" s="37"/>
      <c r="G8" s="5" t="s">
        <v>159</v>
      </c>
      <c r="H8" s="16">
        <v>177.5</v>
      </c>
      <c r="I8" s="17">
        <f t="shared" si="0"/>
        <v>177.5</v>
      </c>
    </row>
    <row r="9" spans="1:9" x14ac:dyDescent="0.25">
      <c r="A9" s="38"/>
      <c r="B9" s="35"/>
      <c r="C9" s="36"/>
      <c r="D9" s="36"/>
      <c r="E9" s="37"/>
      <c r="F9" s="37"/>
      <c r="G9" s="5" t="s">
        <v>98</v>
      </c>
      <c r="H9" s="16">
        <v>160</v>
      </c>
      <c r="I9" s="17">
        <f t="shared" si="0"/>
        <v>160</v>
      </c>
    </row>
    <row r="10" spans="1:9" x14ac:dyDescent="0.25">
      <c r="A10" s="38"/>
      <c r="B10" s="35"/>
      <c r="C10" s="36"/>
      <c r="D10" s="36"/>
      <c r="E10" s="37"/>
      <c r="F10" s="37"/>
      <c r="G10" s="5" t="s">
        <v>160</v>
      </c>
      <c r="H10" s="16">
        <v>1342</v>
      </c>
      <c r="I10" s="17" t="str">
        <f t="shared" si="0"/>
        <v>Descartado</v>
      </c>
    </row>
    <row r="11" spans="1:9" x14ac:dyDescent="0.25">
      <c r="A11" s="38"/>
      <c r="B11" s="35"/>
      <c r="C11" s="36"/>
      <c r="D11" s="36"/>
      <c r="E11" s="37"/>
      <c r="F11" s="37"/>
      <c r="G11" s="5" t="s">
        <v>161</v>
      </c>
      <c r="H11" s="16">
        <v>1650</v>
      </c>
      <c r="I11" s="17" t="str">
        <f t="shared" si="0"/>
        <v>Descartado</v>
      </c>
    </row>
    <row r="12" spans="1:9" x14ac:dyDescent="0.25">
      <c r="A12" s="38"/>
      <c r="B12" s="35"/>
      <c r="C12" s="36"/>
      <c r="D12" s="36"/>
      <c r="E12" s="37"/>
      <c r="F12" s="37"/>
      <c r="G12" s="5" t="s">
        <v>129</v>
      </c>
      <c r="H12" s="16">
        <v>149.97</v>
      </c>
      <c r="I12" s="17">
        <f t="shared" si="0"/>
        <v>149.97</v>
      </c>
    </row>
    <row r="13" spans="1:9" x14ac:dyDescent="0.25">
      <c r="A13" s="38"/>
      <c r="B13" s="35"/>
      <c r="C13" s="36"/>
      <c r="D13" s="36"/>
      <c r="E13" s="37"/>
      <c r="F13" s="37"/>
      <c r="G13" s="5" t="s">
        <v>192</v>
      </c>
      <c r="H13" s="16">
        <v>299</v>
      </c>
      <c r="I13" s="17">
        <f t="shared" si="0"/>
        <v>299</v>
      </c>
    </row>
    <row r="14" spans="1:9" x14ac:dyDescent="0.25">
      <c r="A14" s="38"/>
      <c r="B14" s="35"/>
      <c r="C14" s="36"/>
      <c r="D14" s="36"/>
      <c r="E14" s="37"/>
      <c r="F14" s="37"/>
      <c r="G14" s="5" t="s">
        <v>201</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58</v>
      </c>
      <c r="C3" s="36" t="s">
        <v>7</v>
      </c>
      <c r="D3" s="36">
        <v>2</v>
      </c>
      <c r="E3" s="37">
        <f>IF(C20&lt;=25%,D20,MIN(E20:F20))</f>
        <v>2336.66</v>
      </c>
      <c r="F3" s="37">
        <f>MIN(H3:H17)</f>
        <v>985</v>
      </c>
      <c r="G3" s="5" t="s">
        <v>158</v>
      </c>
      <c r="H3" s="16">
        <v>985</v>
      </c>
      <c r="I3" s="17">
        <f>IF(H3="","",(IF($C$20&lt;25%,"n/a",IF(H3&lt;=($D$20+$A$20),H3,"Descartado"))))</f>
        <v>985</v>
      </c>
    </row>
    <row r="4" spans="1:9" x14ac:dyDescent="0.25">
      <c r="A4" s="38"/>
      <c r="B4" s="35"/>
      <c r="C4" s="36"/>
      <c r="D4" s="36"/>
      <c r="E4" s="37"/>
      <c r="F4" s="37"/>
      <c r="G4" s="5" t="s">
        <v>162</v>
      </c>
      <c r="H4" s="16">
        <v>1750</v>
      </c>
      <c r="I4" s="17">
        <f t="shared" ref="I4:I17" si="0">IF(H4="","",(IF($C$20&lt;25%,"n/a",IF(H4&lt;=($D$20+$A$20),H4,"Descartado"))))</f>
        <v>1750</v>
      </c>
    </row>
    <row r="5" spans="1:9" x14ac:dyDescent="0.25">
      <c r="A5" s="38"/>
      <c r="B5" s="35"/>
      <c r="C5" s="36"/>
      <c r="D5" s="36"/>
      <c r="E5" s="37"/>
      <c r="F5" s="37"/>
      <c r="G5" s="5" t="s">
        <v>163</v>
      </c>
      <c r="H5" s="16">
        <v>3775.12</v>
      </c>
      <c r="I5" s="17" t="str">
        <f t="shared" si="0"/>
        <v>Descartado</v>
      </c>
    </row>
    <row r="6" spans="1:9" x14ac:dyDescent="0.25">
      <c r="A6" s="38"/>
      <c r="B6" s="35"/>
      <c r="C6" s="36"/>
      <c r="D6" s="36"/>
      <c r="E6" s="37"/>
      <c r="F6" s="37"/>
      <c r="G6" s="5" t="s">
        <v>96</v>
      </c>
      <c r="H6" s="16">
        <v>1449.99</v>
      </c>
      <c r="I6" s="17">
        <f t="shared" si="0"/>
        <v>1449.99</v>
      </c>
    </row>
    <row r="7" spans="1:9" x14ac:dyDescent="0.25">
      <c r="A7" s="38"/>
      <c r="B7" s="35"/>
      <c r="C7" s="36"/>
      <c r="D7" s="36"/>
      <c r="E7" s="37"/>
      <c r="F7" s="37"/>
      <c r="G7" s="5" t="s">
        <v>124</v>
      </c>
      <c r="H7" s="16">
        <v>1738.77</v>
      </c>
      <c r="I7" s="17">
        <f t="shared" si="0"/>
        <v>1738.77</v>
      </c>
    </row>
    <row r="8" spans="1:9" x14ac:dyDescent="0.25">
      <c r="A8" s="38"/>
      <c r="B8" s="35"/>
      <c r="C8" s="36"/>
      <c r="D8" s="36"/>
      <c r="E8" s="37"/>
      <c r="F8" s="37"/>
      <c r="G8" s="5" t="s">
        <v>164</v>
      </c>
      <c r="H8" s="16">
        <v>2582</v>
      </c>
      <c r="I8" s="17">
        <f t="shared" si="0"/>
        <v>2582</v>
      </c>
    </row>
    <row r="9" spans="1:9" x14ac:dyDescent="0.25">
      <c r="A9" s="38"/>
      <c r="B9" s="35"/>
      <c r="C9" s="36"/>
      <c r="D9" s="36"/>
      <c r="E9" s="37"/>
      <c r="F9" s="37"/>
      <c r="G9" s="5" t="s">
        <v>202</v>
      </c>
      <c r="H9" s="16">
        <v>3179.25</v>
      </c>
      <c r="I9" s="17">
        <f t="shared" si="0"/>
        <v>3179.25</v>
      </c>
    </row>
    <row r="10" spans="1:9" x14ac:dyDescent="0.25">
      <c r="A10" s="38"/>
      <c r="B10" s="35"/>
      <c r="C10" s="36"/>
      <c r="D10" s="36"/>
      <c r="E10" s="37"/>
      <c r="F10" s="37"/>
      <c r="G10" s="5" t="s">
        <v>168</v>
      </c>
      <c r="H10" s="16">
        <v>3484.8</v>
      </c>
      <c r="I10" s="17">
        <f t="shared" si="0"/>
        <v>3484.8</v>
      </c>
    </row>
    <row r="11" spans="1:9" x14ac:dyDescent="0.25">
      <c r="A11" s="38"/>
      <c r="B11" s="35"/>
      <c r="C11" s="36"/>
      <c r="D11" s="36"/>
      <c r="E11" s="37"/>
      <c r="F11" s="37"/>
      <c r="G11" s="5" t="s">
        <v>200</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96" zoomScaleNormal="100" zoomScaleSheetLayoutView="96"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31" t="s">
        <v>1</v>
      </c>
      <c r="B2" s="31" t="s">
        <v>2</v>
      </c>
      <c r="C2" s="31" t="s">
        <v>3</v>
      </c>
      <c r="D2" s="31" t="s">
        <v>4</v>
      </c>
      <c r="E2" s="31" t="s">
        <v>9</v>
      </c>
      <c r="F2" s="31" t="s">
        <v>10</v>
      </c>
      <c r="G2" s="31" t="s">
        <v>11</v>
      </c>
      <c r="H2" s="31" t="s">
        <v>12</v>
      </c>
      <c r="I2" s="31" t="s">
        <v>13</v>
      </c>
    </row>
    <row r="3" spans="1:9" ht="15" customHeight="1" x14ac:dyDescent="0.25">
      <c r="A3" s="38">
        <v>3</v>
      </c>
      <c r="B3" s="34" t="s">
        <v>233</v>
      </c>
      <c r="C3" s="36" t="s">
        <v>203</v>
      </c>
      <c r="D3" s="36">
        <v>125</v>
      </c>
      <c r="E3" s="37">
        <f>IF(C20&lt;=25%,D20,MIN(E20:F20))</f>
        <v>636.64</v>
      </c>
      <c r="F3" s="37">
        <f>MIN(H3:H17)</f>
        <v>528.32611919999999</v>
      </c>
      <c r="G3" s="5" t="s">
        <v>175</v>
      </c>
      <c r="H3" s="16">
        <v>1379</v>
      </c>
      <c r="I3" s="17" t="str">
        <f>IF(H3="","",(IF($C$20&lt;25%,"n/a",IF(H3&lt;=($D$20+$A$20),H3,"Descartado"))))</f>
        <v>Descartado</v>
      </c>
    </row>
    <row r="4" spans="1:9" x14ac:dyDescent="0.25">
      <c r="A4" s="38"/>
      <c r="B4" s="35"/>
      <c r="C4" s="36"/>
      <c r="D4" s="36"/>
      <c r="E4" s="37"/>
      <c r="F4" s="37"/>
      <c r="G4" s="5" t="s">
        <v>181</v>
      </c>
      <c r="H4" s="16">
        <v>1313.94</v>
      </c>
      <c r="I4" s="17" t="str">
        <f t="shared" ref="I4:I17" si="0">IF(H4="","",(IF($C$20&lt;25%,"n/a",IF(H4&lt;=($D$20+$A$20),H4,"Descartado"))))</f>
        <v>Descartado</v>
      </c>
    </row>
    <row r="5" spans="1:9" x14ac:dyDescent="0.25">
      <c r="A5" s="38"/>
      <c r="B5" s="35"/>
      <c r="C5" s="36"/>
      <c r="D5" s="36"/>
      <c r="E5" s="37"/>
      <c r="F5" s="37"/>
      <c r="G5" s="5" t="s">
        <v>204</v>
      </c>
      <c r="H5" s="16">
        <v>1176.99</v>
      </c>
      <c r="I5" s="17" t="str">
        <f t="shared" si="0"/>
        <v>Descartado</v>
      </c>
    </row>
    <row r="6" spans="1:9" x14ac:dyDescent="0.25">
      <c r="A6" s="38"/>
      <c r="B6" s="35"/>
      <c r="C6" s="36"/>
      <c r="D6" s="36"/>
      <c r="E6" s="37"/>
      <c r="F6" s="37"/>
      <c r="G6" s="5" t="s">
        <v>205</v>
      </c>
      <c r="H6" s="16">
        <v>1228.95</v>
      </c>
      <c r="I6" s="17" t="str">
        <f t="shared" si="0"/>
        <v>Descartado</v>
      </c>
    </row>
    <row r="7" spans="1:9" x14ac:dyDescent="0.25">
      <c r="A7" s="38"/>
      <c r="B7" s="35"/>
      <c r="C7" s="36"/>
      <c r="D7" s="36"/>
      <c r="E7" s="37"/>
      <c r="F7" s="37"/>
      <c r="G7" s="5" t="s">
        <v>206</v>
      </c>
      <c r="H7" s="16">
        <f>509*1.0379688</f>
        <v>528.32611919999999</v>
      </c>
      <c r="I7" s="17">
        <f t="shared" si="0"/>
        <v>528.32611919999999</v>
      </c>
    </row>
    <row r="8" spans="1:9" x14ac:dyDescent="0.25">
      <c r="A8" s="38"/>
      <c r="B8" s="35"/>
      <c r="C8" s="36"/>
      <c r="D8" s="36"/>
      <c r="E8" s="37"/>
      <c r="F8" s="37"/>
      <c r="G8" s="5" t="s">
        <v>207</v>
      </c>
      <c r="H8" s="16">
        <f>582*1.0379688</f>
        <v>604.09784160000004</v>
      </c>
      <c r="I8" s="17">
        <f t="shared" si="0"/>
        <v>604.09784160000004</v>
      </c>
    </row>
    <row r="9" spans="1:9" x14ac:dyDescent="0.25">
      <c r="A9" s="38"/>
      <c r="B9" s="35"/>
      <c r="C9" s="36"/>
      <c r="D9" s="36"/>
      <c r="E9" s="37"/>
      <c r="F9" s="37"/>
      <c r="G9" s="5" t="s">
        <v>210</v>
      </c>
      <c r="H9" s="16">
        <f>798.99*1.0379688</f>
        <v>829.32669151200002</v>
      </c>
      <c r="I9" s="17">
        <f t="shared" si="0"/>
        <v>829.32669151200002</v>
      </c>
    </row>
    <row r="10" spans="1:9" x14ac:dyDescent="0.25">
      <c r="A10" s="38"/>
      <c r="B10" s="35"/>
      <c r="C10" s="36"/>
      <c r="D10" s="36"/>
      <c r="E10" s="37"/>
      <c r="F10" s="37"/>
      <c r="G10" s="5" t="s">
        <v>208</v>
      </c>
      <c r="H10" s="16">
        <f>569.5*1.0379688</f>
        <v>591.12323160000005</v>
      </c>
      <c r="I10" s="17">
        <f t="shared" si="0"/>
        <v>591.12323160000005</v>
      </c>
    </row>
    <row r="11" spans="1:9" x14ac:dyDescent="0.25">
      <c r="A11" s="38"/>
      <c r="B11" s="35"/>
      <c r="C11" s="36"/>
      <c r="D11" s="36"/>
      <c r="E11" s="37"/>
      <c r="F11" s="37"/>
      <c r="G11" s="5" t="s">
        <v>209</v>
      </c>
      <c r="H11" s="16">
        <f>510*1.0379688</f>
        <v>529.36408800000004</v>
      </c>
      <c r="I11" s="17">
        <f t="shared" si="0"/>
        <v>529.36408800000004</v>
      </c>
    </row>
    <row r="12" spans="1:9" x14ac:dyDescent="0.25">
      <c r="A12" s="38"/>
      <c r="B12" s="35"/>
      <c r="C12" s="36"/>
      <c r="D12" s="36"/>
      <c r="E12" s="37"/>
      <c r="F12" s="37"/>
      <c r="G12" s="5" t="s">
        <v>211</v>
      </c>
      <c r="H12" s="16">
        <f>702*1.0379688</f>
        <v>728.6540976</v>
      </c>
      <c r="I12" s="17">
        <f t="shared" si="0"/>
        <v>728.6540976</v>
      </c>
    </row>
    <row r="13" spans="1:9" x14ac:dyDescent="0.25">
      <c r="A13" s="38"/>
      <c r="B13" s="35"/>
      <c r="C13" s="36"/>
      <c r="D13" s="36"/>
      <c r="E13" s="37"/>
      <c r="F13" s="37"/>
      <c r="G13" s="5" t="s">
        <v>212</v>
      </c>
      <c r="H13" s="16">
        <f>679.86*1.0379688</f>
        <v>705.67346836800004</v>
      </c>
      <c r="I13" s="17">
        <f t="shared" si="0"/>
        <v>705.67346836800004</v>
      </c>
    </row>
    <row r="14" spans="1:9" x14ac:dyDescent="0.25">
      <c r="A14" s="38"/>
      <c r="B14" s="35"/>
      <c r="C14" s="36"/>
      <c r="D14" s="36"/>
      <c r="E14" s="37"/>
      <c r="F14" s="37"/>
      <c r="G14" s="5" t="s">
        <v>213</v>
      </c>
      <c r="H14" s="16">
        <f>540*1.0379688</f>
        <v>560.503152</v>
      </c>
      <c r="I14" s="17">
        <f t="shared" si="0"/>
        <v>560.503152</v>
      </c>
    </row>
    <row r="15" spans="1:9" x14ac:dyDescent="0.25">
      <c r="A15" s="38"/>
      <c r="B15" s="35"/>
      <c r="C15" s="36"/>
      <c r="D15" s="36"/>
      <c r="E15" s="37"/>
      <c r="F15" s="37"/>
      <c r="G15" s="5" t="s">
        <v>214</v>
      </c>
      <c r="H15" s="16">
        <f>639.99*1.0379688</f>
        <v>664.28965231200004</v>
      </c>
      <c r="I15" s="17">
        <f t="shared" si="0"/>
        <v>664.28965231200004</v>
      </c>
    </row>
    <row r="16" spans="1:9" x14ac:dyDescent="0.25">
      <c r="A16" s="38"/>
      <c r="B16" s="35"/>
      <c r="C16" s="36"/>
      <c r="D16" s="36"/>
      <c r="E16" s="37"/>
      <c r="F16" s="37"/>
      <c r="G16" s="5" t="s">
        <v>215</v>
      </c>
      <c r="H16" s="16">
        <f>640*1.0379688</f>
        <v>664.30003199999999</v>
      </c>
      <c r="I16" s="17">
        <f t="shared" si="0"/>
        <v>664.30003199999999</v>
      </c>
    </row>
    <row r="17" spans="1:9" x14ac:dyDescent="0.25">
      <c r="A17" s="38"/>
      <c r="B17" s="35"/>
      <c r="C17" s="36"/>
      <c r="D17" s="36"/>
      <c r="E17" s="37"/>
      <c r="F17" s="37"/>
      <c r="G17" s="5" t="s">
        <v>216</v>
      </c>
      <c r="H17" s="16">
        <f>575.54*1.0379688</f>
        <v>597.39256315199998</v>
      </c>
      <c r="I17" s="17">
        <f t="shared" si="0"/>
        <v>597.39256315199998</v>
      </c>
    </row>
    <row r="19" spans="1:9" s="4" customFormat="1" ht="24" x14ac:dyDescent="0.25">
      <c r="A19" s="31" t="s">
        <v>14</v>
      </c>
      <c r="B19" s="31" t="s">
        <v>15</v>
      </c>
      <c r="C19" s="31" t="s">
        <v>25</v>
      </c>
      <c r="D19" s="31" t="s">
        <v>16</v>
      </c>
      <c r="E19" s="31" t="s">
        <v>17</v>
      </c>
      <c r="F19" s="31" t="s">
        <v>18</v>
      </c>
      <c r="G19" s="32" t="s">
        <v>19</v>
      </c>
      <c r="H19" s="32"/>
    </row>
    <row r="20" spans="1:9" x14ac:dyDescent="0.25">
      <c r="A20" s="8">
        <f>IF(B20&lt;2,"n/a",(_xlfn.STDEV.S(H3:H17)))</f>
        <v>305.18705741573348</v>
      </c>
      <c r="B20" s="8">
        <f>COUNT(H3:H17)</f>
        <v>15</v>
      </c>
      <c r="C20" s="9">
        <f>IF(B20&lt;2,"n/a",(A20/D20))</f>
        <v>0.37826853918658093</v>
      </c>
      <c r="D20" s="10">
        <f>IFERROR(ROUND(AVERAGE(H3:H17),2),"")</f>
        <v>806.8</v>
      </c>
      <c r="E20" s="15">
        <f>IFERROR(ROUND(IF(B20&lt;2,"n/a",(IF(C20&lt;=25%,"n/a",AVERAGE(I3:I17)))),2),"n/a")</f>
        <v>636.64</v>
      </c>
      <c r="F20" s="10">
        <f>IFERROR(ROUND(MEDIAN(H3:H17),2),"")</f>
        <v>664.3</v>
      </c>
      <c r="G20" s="11" t="str">
        <f>IFERROR(INDEX(G3:G17,MATCH(H20,H3:H17,0)),"")</f>
        <v>PE 90220/2024 - 23.964.820/000107</v>
      </c>
      <c r="H20" s="12">
        <f>F3</f>
        <v>528.32611919999999</v>
      </c>
    </row>
    <row r="22" spans="1:9" x14ac:dyDescent="0.25">
      <c r="G22" s="13" t="s">
        <v>20</v>
      </c>
      <c r="H22" s="14">
        <f>IF(C20&lt;=25%,D20,MIN(E20:F20))</f>
        <v>636.64</v>
      </c>
    </row>
    <row r="23" spans="1:9" x14ac:dyDescent="0.25">
      <c r="G23" s="13" t="s">
        <v>6</v>
      </c>
      <c r="H23" s="14">
        <f>ROUND(H22,2)*D3</f>
        <v>79580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4" right="0.511811024" top="0.78740157499999996" bottom="0.78740157499999996" header="0.31496062000000002" footer="0.31496062000000002"/>
  <pageSetup paperSize="9" scale="86"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tabSelected="1" view="pageBreakPreview" zoomScaleNormal="100" zoomScaleSheetLayoutView="100" workbookViewId="0">
      <selection activeCell="F4" sqref="F4"/>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409.5" x14ac:dyDescent="0.25">
      <c r="A3" s="25" t="s">
        <v>59</v>
      </c>
      <c r="B3" s="25">
        <f>Item1!A3</f>
        <v>1</v>
      </c>
      <c r="C3" s="27" t="str">
        <f>Item1!B3</f>
        <v>NOBREAK:
Potência mínima de 1500VA / 1200W real;
Fator de potência: 0,8 ou superior;
Entrada bivolt automático 115V/220V (110V/115V/120V/127V/220V/230V/240V);
Forma de onda Senoidal Pura na saída em qualquer condiçao de operação (rede, bateria ou inversor);
Frequência da rede: 50/60 Hz;
Tensão de saída: 115/120 VAC;
Plugue do cabo de força: padrão NBR14136;
Total compatibilidade com cargas sensíveis como servidores, switches gerenciáveis, roteadores, câmeras, dentre outros;
Tempo máximo de comutação para modo bateria menor que 4 milissegundos;
Autonomia mínima de 60 minutos, com referência ao uso de 1 PC on board e um monitor LCD 15,6";
Com estabilização True RMS com ampla faixa de variação de tensão;
Mínimo de 8 tomadas de saída 10A (padrão NBR 14136);
Proteção contra:
Curto-circuito no inversor;
Surtos de tensão entre fase e neutro;
Sobrecarga na saída;
Sub e sobretensão da rede elétrica com retorno automático;
Sobreaquecimento no inversor e no transformador;
Descarga total das baterias;
Ruídos e surtos na rede elétrica;
Curto-circuito nas tomadas de saída.
Leds indicativos das condições de funcionamento do equipamento;
LEDs indicativos do modo de operação (rede e bateria);
Sinalização visual e sonora de status do nobreak;
Fusível de proteção externo com unidade reserva e troca fácil;
Mínimo de duas baterias VRLA internas seladas de 12V/7Ah ou maior;
Filtro de linha e estabilizador integrados;
Recarga automática das baterias mesmo com o nobreak desligado;
Saída padrão USB para comunicação com o computador;
Conector para módulo de baterias externas para expansão de autonomia;
Software de gerenciamento de configuração via computador;
Line Interactive (Nobreak Interativo com Regulação On-Line)
Garantia de, no mínimo, 12 meses, contados a partir do recebimento definitivo do equipamento.</v>
      </c>
      <c r="D3" s="25" t="str">
        <f>Item1!C3</f>
        <v>UNIDADE</v>
      </c>
      <c r="E3" s="25">
        <f>Item1!D3</f>
        <v>375</v>
      </c>
      <c r="F3" s="26">
        <f>Item1!E3</f>
        <v>636.64</v>
      </c>
      <c r="G3" s="26">
        <f>ROUND((E3*F3),2)</f>
        <v>238740</v>
      </c>
    </row>
    <row r="4" spans="1:7" ht="409.5" x14ac:dyDescent="0.25">
      <c r="A4" s="25" t="s">
        <v>59</v>
      </c>
      <c r="B4" s="25">
        <f>Item2!A3</f>
        <v>2</v>
      </c>
      <c r="C4" s="27" t="str">
        <f>Item2!B3</f>
        <v>ESTABILIZADOR DE TENSÃO MICROPROCESSADO:
Potência mínima de 1000 VA / 600 W;
Fator de potência superior a 0,92;
Compatível com impressoras laser e multifuncionais monocromáticas de até 40ppm;
Microprocessador de alta velocidade;
Filtro de linha integrado;
Plugue do cabo de força: padrão NBR 14136;
Tensão de entrada: 115/127/220V (bivolt automático)
Frequência da rede: 60 Hz;
Tensão de saída: 115 VAC;
Mínimo de 5 tomadas de saída com padrão NBR 14136;
Porta-fusível externo com unidade reserva;
Proteção contra:
Curto-circuito;
Surtos de tensão entre fase e neutro;
Sub/sobretensão de rede elétrica;
Sobreaquecimento;
Sobrecarga;
Leds indicativos das condições de funcionamento da rede elétrica;
Certificado conforme NBR 14373:2006;
Garantia de, no mínimo, 12 meses, contados a partir do recebimento definitivo do equipamento.</v>
      </c>
      <c r="D4" s="25" t="str">
        <f>Item2!C3</f>
        <v>UNIDADE</v>
      </c>
      <c r="E4" s="25">
        <f>Item2!D3</f>
        <v>100</v>
      </c>
      <c r="F4" s="26">
        <f>Item2!E3</f>
        <v>309</v>
      </c>
      <c r="G4" s="26">
        <f t="shared" ref="G4" si="0">ROUND((E4*F4),2)</f>
        <v>30900</v>
      </c>
    </row>
    <row r="5" spans="1:7" ht="342.75" customHeight="1" x14ac:dyDescent="0.25">
      <c r="A5" s="25" t="s">
        <v>59</v>
      </c>
      <c r="B5" s="25">
        <v>3</v>
      </c>
      <c r="C5" s="27" t="str">
        <f>Item1!B3</f>
        <v>NOBREAK:
Potência mínima de 1500VA / 1200W real;
Fator de potência: 0,8 ou superior;
Entrada bivolt automático 115V/220V (110V/115V/120V/127V/220V/230V/240V);
Forma de onda Senoidal Pura na saída em qualquer condiçao de operação (rede, bateria ou inversor);
Frequência da rede: 50/60 Hz;
Tensão de saída: 115/120 VAC;
Plugue do cabo de força: padrão NBR14136;
Total compatibilidade com cargas sensíveis como servidores, switches gerenciáveis, roteadores, câmeras, dentre outros;
Tempo máximo de comutação para modo bateria menor que 4 milissegundos;
Autonomia mínima de 60 minutos, com referência ao uso de 1 PC on board e um monitor LCD 15,6";
Com estabilização True RMS com ampla faixa de variação de tensão;
Mínimo de 8 tomadas de saída 10A (padrão NBR 14136);
Proteção contra:
Curto-circuito no inversor;
Surtos de tensão entre fase e neutro;
Sobrecarga na saída;
Sub e sobretensão da rede elétrica com retorno automático;
Sobreaquecimento no inversor e no transformador;
Descarga total das baterias;
Ruídos e surtos na rede elétrica;
Curto-circuito nas tomadas de saída.
Leds indicativos das condições de funcionamento do equipamento;
LEDs indicativos do modo de operação (rede e bateria);
Sinalização visual e sonora de status do nobreak;
Fusível de proteção externo com unidade reserva e troca fácil;
Mínimo de duas baterias VRLA internas seladas de 12V/7Ah ou maior;
Filtro de linha e estabilizador integrados;
Recarga automática das baterias mesmo com o nobreak desligado;
Saída padrão USB para comunicação com o computador;
Conector para módulo de baterias externas para expansão de autonomia;
Software de gerenciamento de configuração via computador;
Line Interactive (Nobreak Interativo com Regulação On-Line)
Garantia de, no mínimo, 12 meses, contados a partir do recebimento definitivo do equipamento.</v>
      </c>
      <c r="D5" s="25" t="s">
        <v>203</v>
      </c>
      <c r="E5" s="25">
        <v>125</v>
      </c>
      <c r="F5" s="26">
        <f>'Item 3'!E20</f>
        <v>636.64</v>
      </c>
      <c r="G5" s="26">
        <f>F5*E5</f>
        <v>79580</v>
      </c>
    </row>
    <row r="6" spans="1:7" x14ac:dyDescent="0.25">
      <c r="A6" s="29"/>
      <c r="B6" s="29"/>
      <c r="C6" s="28"/>
      <c r="D6" s="29"/>
      <c r="E6" s="29"/>
      <c r="F6" s="30"/>
      <c r="G6" s="30"/>
    </row>
    <row r="7" spans="1:7" ht="15.75" thickBot="1" x14ac:dyDescent="0.3"/>
    <row r="8" spans="1:7" ht="16.5" thickTop="1" thickBot="1" x14ac:dyDescent="0.3">
      <c r="D8" s="22"/>
      <c r="E8" s="23" t="s">
        <v>33</v>
      </c>
      <c r="F8" s="24">
        <f>SUM(G:G)</f>
        <v>349220</v>
      </c>
    </row>
    <row r="9" spans="1:7" ht="15.75" thickTop="1" x14ac:dyDescent="0.25">
      <c r="F9" s="3"/>
    </row>
    <row r="10" spans="1:7" x14ac:dyDescent="0.25">
      <c r="D10" s="21" t="s">
        <v>32</v>
      </c>
      <c r="E10" s="13">
        <f>MAX(A:A)</f>
        <v>0</v>
      </c>
    </row>
    <row r="12" spans="1:7" x14ac:dyDescent="0.25">
      <c r="D12" s="18" t="s">
        <v>31</v>
      </c>
      <c r="E12" s="19">
        <v>1</v>
      </c>
      <c r="F12" s="20">
        <f>SUMIF(A:A,E12,G:G)</f>
        <v>0</v>
      </c>
    </row>
  </sheetData>
  <mergeCells count="1">
    <mergeCell ref="A1:G1"/>
  </mergeCells>
  <pageMargins left="0.51181102362204722" right="0.51181102362204722" top="1.2598425196850394" bottom="0.78740157480314965" header="0.31496062992125984" footer="0.31496062992125984"/>
  <pageSetup paperSize="9" scale="54"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34</v>
      </c>
      <c r="C3" s="36" t="s">
        <v>7</v>
      </c>
      <c r="D3" s="36">
        <v>6</v>
      </c>
      <c r="E3" s="37">
        <f>IF(C20&lt;=25%,D20,MIN(E20:F20))</f>
        <v>296.49</v>
      </c>
      <c r="F3" s="37">
        <f>MIN(H3:H17)</f>
        <v>171.07</v>
      </c>
      <c r="G3" s="5" t="s">
        <v>63</v>
      </c>
      <c r="H3" s="16">
        <v>235.1</v>
      </c>
      <c r="I3" s="17">
        <f>IF(H3="","",(IF($C$20&lt;25%,"n/a",IF(H3&lt;=($D$20+$A$20),H3,"Descartado"))))</f>
        <v>235.1</v>
      </c>
    </row>
    <row r="4" spans="1:9" x14ac:dyDescent="0.25">
      <c r="A4" s="38"/>
      <c r="B4" s="35"/>
      <c r="C4" s="36"/>
      <c r="D4" s="36"/>
      <c r="E4" s="37"/>
      <c r="F4" s="37"/>
      <c r="G4" s="5" t="s">
        <v>64</v>
      </c>
      <c r="H4" s="16">
        <v>247.6</v>
      </c>
      <c r="I4" s="17">
        <f t="shared" ref="I4:I17" si="0">IF(H4="","",(IF($C$20&lt;25%,"n/a",IF(H4&lt;=($D$20+$A$20),H4,"Descartado"))))</f>
        <v>247.6</v>
      </c>
    </row>
    <row r="5" spans="1:9" x14ac:dyDescent="0.25">
      <c r="A5" s="38"/>
      <c r="B5" s="35"/>
      <c r="C5" s="36"/>
      <c r="D5" s="36"/>
      <c r="E5" s="37"/>
      <c r="F5" s="37"/>
      <c r="G5" s="5" t="s">
        <v>65</v>
      </c>
      <c r="H5" s="16">
        <v>541</v>
      </c>
      <c r="I5" s="17">
        <f t="shared" si="0"/>
        <v>541</v>
      </c>
    </row>
    <row r="6" spans="1:9" x14ac:dyDescent="0.25">
      <c r="A6" s="38"/>
      <c r="B6" s="35"/>
      <c r="C6" s="36"/>
      <c r="D6" s="36"/>
      <c r="E6" s="37"/>
      <c r="F6" s="37"/>
      <c r="G6" s="5" t="s">
        <v>66</v>
      </c>
      <c r="H6" s="16">
        <v>171.07</v>
      </c>
      <c r="I6" s="17">
        <f t="shared" si="0"/>
        <v>171.07</v>
      </c>
    </row>
    <row r="7" spans="1:9" x14ac:dyDescent="0.25">
      <c r="A7" s="38"/>
      <c r="B7" s="35"/>
      <c r="C7" s="36"/>
      <c r="D7" s="36"/>
      <c r="E7" s="37"/>
      <c r="F7" s="37"/>
      <c r="G7" s="5" t="s">
        <v>67</v>
      </c>
      <c r="H7" s="16">
        <v>1000</v>
      </c>
      <c r="I7" s="17" t="str">
        <f t="shared" si="0"/>
        <v>Descartado</v>
      </c>
    </row>
    <row r="8" spans="1:9" x14ac:dyDescent="0.25">
      <c r="A8" s="38"/>
      <c r="B8" s="35"/>
      <c r="C8" s="36"/>
      <c r="D8" s="36"/>
      <c r="E8" s="37"/>
      <c r="F8" s="37"/>
      <c r="G8" s="5" t="s">
        <v>68</v>
      </c>
      <c r="H8" s="16">
        <v>176.78</v>
      </c>
      <c r="I8" s="17">
        <f t="shared" si="0"/>
        <v>176.78</v>
      </c>
    </row>
    <row r="9" spans="1:9" x14ac:dyDescent="0.25">
      <c r="A9" s="38"/>
      <c r="B9" s="35"/>
      <c r="C9" s="36"/>
      <c r="D9" s="36"/>
      <c r="E9" s="37"/>
      <c r="F9" s="37"/>
      <c r="G9" s="5" t="s">
        <v>167</v>
      </c>
      <c r="H9" s="16">
        <v>407.38</v>
      </c>
      <c r="I9" s="17">
        <f t="shared" si="0"/>
        <v>407.38</v>
      </c>
    </row>
    <row r="10" spans="1:9" x14ac:dyDescent="0.25">
      <c r="A10" s="38"/>
      <c r="B10" s="35"/>
      <c r="C10" s="36"/>
      <c r="D10" s="36"/>
      <c r="E10" s="37"/>
      <c r="F10" s="37"/>
      <c r="G10" s="5" t="s">
        <v>165</v>
      </c>
      <c r="H10" s="16">
        <v>884</v>
      </c>
      <c r="I10" s="17" t="str">
        <f t="shared" si="0"/>
        <v>Descartado</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35</v>
      </c>
      <c r="C3" s="36" t="s">
        <v>7</v>
      </c>
      <c r="D3" s="36">
        <v>2</v>
      </c>
      <c r="E3" s="37">
        <f>IF(C20&lt;=25%,D20,MIN(E20:F20))</f>
        <v>1386.39</v>
      </c>
      <c r="F3" s="37">
        <f>MIN(H3:H17)</f>
        <v>800</v>
      </c>
      <c r="G3" s="5" t="s">
        <v>69</v>
      </c>
      <c r="H3" s="16">
        <v>940</v>
      </c>
      <c r="I3" s="17">
        <f>IF(H3="","",(IF($C$20&lt;25%,"n/a",IF(H3&lt;=($D$20+$A$20),H3,"Descartado"))))</f>
        <v>940</v>
      </c>
    </row>
    <row r="4" spans="1:9" x14ac:dyDescent="0.25">
      <c r="A4" s="38"/>
      <c r="B4" s="35"/>
      <c r="C4" s="36"/>
      <c r="D4" s="36"/>
      <c r="E4" s="37"/>
      <c r="F4" s="37"/>
      <c r="G4" s="5" t="s">
        <v>70</v>
      </c>
      <c r="H4" s="16">
        <v>2144.34</v>
      </c>
      <c r="I4" s="17">
        <f t="shared" ref="I4:I17" si="0">IF(H4="","",(IF($C$20&lt;25%,"n/a",IF(H4&lt;=($D$20+$A$20),H4,"Descartado"))))</f>
        <v>2144.34</v>
      </c>
    </row>
    <row r="5" spans="1:9" x14ac:dyDescent="0.25">
      <c r="A5" s="38"/>
      <c r="B5" s="35"/>
      <c r="C5" s="36"/>
      <c r="D5" s="36"/>
      <c r="E5" s="37"/>
      <c r="F5" s="37"/>
      <c r="G5" s="5" t="s">
        <v>71</v>
      </c>
      <c r="H5" s="16">
        <v>925</v>
      </c>
      <c r="I5" s="17">
        <f t="shared" si="0"/>
        <v>925</v>
      </c>
    </row>
    <row r="6" spans="1:9" x14ac:dyDescent="0.25">
      <c r="A6" s="38"/>
      <c r="B6" s="35"/>
      <c r="C6" s="36"/>
      <c r="D6" s="36"/>
      <c r="E6" s="37"/>
      <c r="F6" s="37"/>
      <c r="G6" s="5" t="s">
        <v>72</v>
      </c>
      <c r="H6" s="16">
        <v>4280.84</v>
      </c>
      <c r="I6" s="17" t="str">
        <f t="shared" si="0"/>
        <v>Descartado</v>
      </c>
    </row>
    <row r="7" spans="1:9" x14ac:dyDescent="0.25">
      <c r="A7" s="38"/>
      <c r="B7" s="35"/>
      <c r="C7" s="36"/>
      <c r="D7" s="36"/>
      <c r="E7" s="37"/>
      <c r="F7" s="37"/>
      <c r="G7" s="5" t="s">
        <v>63</v>
      </c>
      <c r="H7" s="16">
        <v>1402</v>
      </c>
      <c r="I7" s="17">
        <f t="shared" si="0"/>
        <v>1402</v>
      </c>
    </row>
    <row r="8" spans="1:9" x14ac:dyDescent="0.25">
      <c r="A8" s="38"/>
      <c r="B8" s="35"/>
      <c r="C8" s="36"/>
      <c r="D8" s="36"/>
      <c r="E8" s="37"/>
      <c r="F8" s="37"/>
      <c r="G8" s="5" t="s">
        <v>73</v>
      </c>
      <c r="H8" s="16">
        <v>2100</v>
      </c>
      <c r="I8" s="17">
        <f t="shared" si="0"/>
        <v>2100</v>
      </c>
    </row>
    <row r="9" spans="1:9" x14ac:dyDescent="0.25">
      <c r="A9" s="38"/>
      <c r="B9" s="35"/>
      <c r="C9" s="36"/>
      <c r="D9" s="36"/>
      <c r="E9" s="37"/>
      <c r="F9" s="37"/>
      <c r="G9" s="5" t="s">
        <v>74</v>
      </c>
      <c r="H9" s="16">
        <v>3777</v>
      </c>
      <c r="I9" s="17" t="str">
        <f t="shared" si="0"/>
        <v>Descartado</v>
      </c>
    </row>
    <row r="10" spans="1:9" x14ac:dyDescent="0.25">
      <c r="A10" s="38"/>
      <c r="B10" s="35"/>
      <c r="C10" s="36"/>
      <c r="D10" s="36"/>
      <c r="E10" s="37"/>
      <c r="F10" s="37"/>
      <c r="G10" s="5" t="s">
        <v>60</v>
      </c>
      <c r="H10" s="16">
        <v>1375</v>
      </c>
      <c r="I10" s="17">
        <f t="shared" si="0"/>
        <v>1375</v>
      </c>
    </row>
    <row r="11" spans="1:9" x14ac:dyDescent="0.25">
      <c r="A11" s="38"/>
      <c r="B11" s="35"/>
      <c r="C11" s="36"/>
      <c r="D11" s="36"/>
      <c r="E11" s="37"/>
      <c r="F11" s="37"/>
      <c r="G11" s="5" t="s">
        <v>75</v>
      </c>
      <c r="H11" s="16">
        <v>1999</v>
      </c>
      <c r="I11" s="17">
        <f t="shared" si="0"/>
        <v>1999</v>
      </c>
    </row>
    <row r="12" spans="1:9" x14ac:dyDescent="0.25">
      <c r="A12" s="38"/>
      <c r="B12" s="35"/>
      <c r="C12" s="36"/>
      <c r="D12" s="36"/>
      <c r="E12" s="37"/>
      <c r="F12" s="37"/>
      <c r="G12" s="5" t="s">
        <v>76</v>
      </c>
      <c r="H12" s="16">
        <v>877.55</v>
      </c>
      <c r="I12" s="17">
        <f t="shared" si="0"/>
        <v>877.55</v>
      </c>
    </row>
    <row r="13" spans="1:9" x14ac:dyDescent="0.25">
      <c r="A13" s="38"/>
      <c r="B13" s="35"/>
      <c r="C13" s="36"/>
      <c r="D13" s="36"/>
      <c r="E13" s="37"/>
      <c r="F13" s="37"/>
      <c r="G13" s="5" t="s">
        <v>169</v>
      </c>
      <c r="H13" s="16">
        <v>1301.05</v>
      </c>
      <c r="I13" s="17">
        <f t="shared" si="0"/>
        <v>1301.05</v>
      </c>
    </row>
    <row r="14" spans="1:9" x14ac:dyDescent="0.25">
      <c r="A14" s="38"/>
      <c r="B14" s="35"/>
      <c r="C14" s="36"/>
      <c r="D14" s="36"/>
      <c r="E14" s="37"/>
      <c r="F14" s="37"/>
      <c r="G14" s="5" t="s">
        <v>166</v>
      </c>
      <c r="H14" s="16">
        <v>800</v>
      </c>
      <c r="I14" s="17">
        <f t="shared" si="0"/>
        <v>800</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36</v>
      </c>
      <c r="C3" s="36" t="s">
        <v>7</v>
      </c>
      <c r="D3" s="36">
        <v>1</v>
      </c>
      <c r="E3" s="37">
        <f>IF(C20&lt;=25%,D20,MIN(E20:F20))</f>
        <v>7540.83</v>
      </c>
      <c r="F3" s="37">
        <f>MIN(H3:H17)</f>
        <v>1172.6600000000001</v>
      </c>
      <c r="G3" s="5" t="s">
        <v>77</v>
      </c>
      <c r="H3" s="16">
        <v>9050</v>
      </c>
      <c r="I3" s="17">
        <f>IF(H3="","",(IF($C$20&lt;25%,"n/a",IF(H3&lt;=($D$20+$A$20),H3,"Descartado"))))</f>
        <v>9050</v>
      </c>
    </row>
    <row r="4" spans="1:9" x14ac:dyDescent="0.25">
      <c r="A4" s="38"/>
      <c r="B4" s="35"/>
      <c r="C4" s="36"/>
      <c r="D4" s="36"/>
      <c r="E4" s="37"/>
      <c r="F4" s="37"/>
      <c r="G4" s="5" t="s">
        <v>63</v>
      </c>
      <c r="H4" s="16">
        <v>5737.44</v>
      </c>
      <c r="I4" s="17">
        <f t="shared" ref="I4:I17" si="0">IF(H4="","",(IF($C$20&lt;25%,"n/a",IF(H4&lt;=($D$20+$A$20),H4,"Descartado"))))</f>
        <v>5737.44</v>
      </c>
    </row>
    <row r="5" spans="1:9" x14ac:dyDescent="0.25">
      <c r="A5" s="38"/>
      <c r="B5" s="35"/>
      <c r="C5" s="36"/>
      <c r="D5" s="36"/>
      <c r="E5" s="37"/>
      <c r="F5" s="37"/>
      <c r="G5" s="5" t="s">
        <v>78</v>
      </c>
      <c r="H5" s="16">
        <v>1172.6600000000001</v>
      </c>
      <c r="I5" s="17">
        <f t="shared" si="0"/>
        <v>1172.6600000000001</v>
      </c>
    </row>
    <row r="6" spans="1:9" x14ac:dyDescent="0.25">
      <c r="A6" s="38"/>
      <c r="B6" s="35"/>
      <c r="C6" s="36"/>
      <c r="D6" s="36"/>
      <c r="E6" s="37"/>
      <c r="F6" s="37"/>
      <c r="G6" s="5" t="s">
        <v>71</v>
      </c>
      <c r="H6" s="16">
        <v>3900</v>
      </c>
      <c r="I6" s="17">
        <f t="shared" si="0"/>
        <v>3900</v>
      </c>
    </row>
    <row r="7" spans="1:9" x14ac:dyDescent="0.25">
      <c r="A7" s="38"/>
      <c r="B7" s="35"/>
      <c r="C7" s="36"/>
      <c r="D7" s="36"/>
      <c r="E7" s="37"/>
      <c r="F7" s="37"/>
      <c r="G7" s="5" t="s">
        <v>65</v>
      </c>
      <c r="H7" s="16">
        <v>7969</v>
      </c>
      <c r="I7" s="17">
        <f t="shared" si="0"/>
        <v>7969</v>
      </c>
    </row>
    <row r="8" spans="1:9" x14ac:dyDescent="0.25">
      <c r="A8" s="38"/>
      <c r="B8" s="35"/>
      <c r="C8" s="36"/>
      <c r="D8" s="36"/>
      <c r="E8" s="37"/>
      <c r="F8" s="37"/>
      <c r="G8" s="5" t="s">
        <v>79</v>
      </c>
      <c r="H8" s="16">
        <v>7680</v>
      </c>
      <c r="I8" s="17">
        <f t="shared" si="0"/>
        <v>7680</v>
      </c>
    </row>
    <row r="9" spans="1:9" x14ac:dyDescent="0.25">
      <c r="A9" s="38"/>
      <c r="B9" s="35"/>
      <c r="C9" s="36"/>
      <c r="D9" s="36"/>
      <c r="E9" s="37"/>
      <c r="F9" s="37"/>
      <c r="G9" s="5" t="s">
        <v>80</v>
      </c>
      <c r="H9" s="16">
        <v>10150</v>
      </c>
      <c r="I9" s="17">
        <f t="shared" si="0"/>
        <v>10150</v>
      </c>
    </row>
    <row r="10" spans="1:9" x14ac:dyDescent="0.25">
      <c r="A10" s="38"/>
      <c r="B10" s="35"/>
      <c r="C10" s="36"/>
      <c r="D10" s="36"/>
      <c r="E10" s="37"/>
      <c r="F10" s="37"/>
      <c r="G10" s="5" t="s">
        <v>81</v>
      </c>
      <c r="H10" s="16">
        <v>10040</v>
      </c>
      <c r="I10" s="17">
        <f t="shared" si="0"/>
        <v>10040</v>
      </c>
    </row>
    <row r="11" spans="1:9" x14ac:dyDescent="0.25">
      <c r="A11" s="38"/>
      <c r="B11" s="35"/>
      <c r="C11" s="36"/>
      <c r="D11" s="36"/>
      <c r="E11" s="37"/>
      <c r="F11" s="37"/>
      <c r="G11" s="5" t="s">
        <v>62</v>
      </c>
      <c r="H11" s="16">
        <v>10600</v>
      </c>
      <c r="I11" s="17">
        <f t="shared" si="0"/>
        <v>10600</v>
      </c>
    </row>
    <row r="12" spans="1:9" x14ac:dyDescent="0.25">
      <c r="A12" s="38"/>
      <c r="B12" s="35"/>
      <c r="C12" s="36"/>
      <c r="D12" s="36"/>
      <c r="E12" s="37"/>
      <c r="F12" s="37"/>
      <c r="G12" s="5" t="s">
        <v>61</v>
      </c>
      <c r="H12" s="16">
        <v>8000</v>
      </c>
      <c r="I12" s="17">
        <f t="shared" si="0"/>
        <v>8000</v>
      </c>
    </row>
    <row r="13" spans="1:9" x14ac:dyDescent="0.25">
      <c r="A13" s="38"/>
      <c r="B13" s="35"/>
      <c r="C13" s="36"/>
      <c r="D13" s="36"/>
      <c r="E13" s="37"/>
      <c r="F13" s="37"/>
      <c r="G13" s="5" t="s">
        <v>82</v>
      </c>
      <c r="H13" s="16">
        <v>14086.4</v>
      </c>
      <c r="I13" s="17" t="str">
        <f t="shared" si="0"/>
        <v>Descartado</v>
      </c>
    </row>
    <row r="14" spans="1:9" x14ac:dyDescent="0.25">
      <c r="A14" s="38"/>
      <c r="B14" s="35"/>
      <c r="C14" s="36"/>
      <c r="D14" s="36"/>
      <c r="E14" s="37"/>
      <c r="F14" s="37"/>
      <c r="G14" s="5" t="s">
        <v>83</v>
      </c>
      <c r="H14" s="16">
        <v>8650</v>
      </c>
      <c r="I14" s="17">
        <f t="shared" si="0"/>
        <v>8650</v>
      </c>
    </row>
    <row r="15" spans="1:9" x14ac:dyDescent="0.25">
      <c r="A15" s="38"/>
      <c r="B15" s="35"/>
      <c r="C15" s="36"/>
      <c r="D15" s="36"/>
      <c r="E15" s="37"/>
      <c r="F15" s="37"/>
      <c r="G15" s="5" t="s">
        <v>165</v>
      </c>
      <c r="H15" s="16">
        <v>12399</v>
      </c>
      <c r="I15" s="17" t="str">
        <f t="shared" si="0"/>
        <v>Descartado</v>
      </c>
    </row>
    <row r="16" spans="1:9" x14ac:dyDescent="0.25">
      <c r="A16" s="38"/>
      <c r="B16" s="35"/>
      <c r="C16" s="36"/>
      <c r="D16" s="36"/>
      <c r="E16" s="37"/>
      <c r="F16" s="37"/>
      <c r="G16" s="5" t="s">
        <v>170</v>
      </c>
      <c r="H16" s="16">
        <v>12624</v>
      </c>
      <c r="I16" s="17" t="str">
        <f t="shared" si="0"/>
        <v>Descartado</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37</v>
      </c>
      <c r="C3" s="36" t="s">
        <v>7</v>
      </c>
      <c r="D3" s="36">
        <v>2</v>
      </c>
      <c r="E3" s="37">
        <f>IF(C20&lt;=25%,D20,MIN(E20:F20))</f>
        <v>1062.4100000000001</v>
      </c>
      <c r="F3" s="37">
        <f>MIN(H3:H17)</f>
        <v>749</v>
      </c>
      <c r="G3" s="5" t="s">
        <v>75</v>
      </c>
      <c r="H3" s="16">
        <v>749</v>
      </c>
      <c r="I3" s="17">
        <f>IF(H3="","",(IF($C$20&lt;25%,"n/a",IF(H3&lt;=($D$20+$A$20),H3,"Descartado"))))</f>
        <v>749</v>
      </c>
    </row>
    <row r="4" spans="1:9" x14ac:dyDescent="0.25">
      <c r="A4" s="38"/>
      <c r="B4" s="35"/>
      <c r="C4" s="36"/>
      <c r="D4" s="36"/>
      <c r="E4" s="37"/>
      <c r="F4" s="37"/>
      <c r="G4" s="5" t="s">
        <v>167</v>
      </c>
      <c r="H4" s="16">
        <v>1539.22</v>
      </c>
      <c r="I4" s="17">
        <f t="shared" ref="I4:I17" si="0">IF(H4="","",(IF($C$20&lt;25%,"n/a",IF(H4&lt;=($D$20+$A$20),H4,"Descartado"))))</f>
        <v>1539.22</v>
      </c>
    </row>
    <row r="5" spans="1:9" x14ac:dyDescent="0.25">
      <c r="A5" s="38"/>
      <c r="B5" s="35"/>
      <c r="C5" s="36"/>
      <c r="D5" s="36"/>
      <c r="E5" s="37"/>
      <c r="F5" s="37"/>
      <c r="G5" s="5" t="s">
        <v>165</v>
      </c>
      <c r="H5" s="16">
        <v>899</v>
      </c>
      <c r="I5" s="17">
        <f t="shared" si="0"/>
        <v>899</v>
      </c>
    </row>
    <row r="6" spans="1:9" x14ac:dyDescent="0.25">
      <c r="A6" s="38"/>
      <c r="B6" s="35"/>
      <c r="C6" s="36"/>
      <c r="D6" s="36"/>
      <c r="E6" s="37"/>
      <c r="F6" s="37"/>
      <c r="G6" s="5" t="s">
        <v>168</v>
      </c>
      <c r="H6" s="16">
        <v>2178.21</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38</v>
      </c>
      <c r="C3" s="36" t="s">
        <v>7</v>
      </c>
      <c r="D3" s="36">
        <v>2</v>
      </c>
      <c r="E3" s="37">
        <f>IF(C20&lt;=25%,D20,MIN(E20:F20))</f>
        <v>232.66</v>
      </c>
      <c r="F3" s="37">
        <f>MIN(H3:H17)</f>
        <v>188</v>
      </c>
      <c r="G3" s="5" t="s">
        <v>62</v>
      </c>
      <c r="H3" s="16">
        <v>188</v>
      </c>
      <c r="I3" s="17">
        <f>IF(H3="","",(IF($C$20&lt;25%,"n/a",IF(H3&lt;=($D$20+$A$20),H3,"Descartado"))))</f>
        <v>188</v>
      </c>
    </row>
    <row r="4" spans="1:9" x14ac:dyDescent="0.25">
      <c r="A4" s="38"/>
      <c r="B4" s="35"/>
      <c r="C4" s="36"/>
      <c r="D4" s="36"/>
      <c r="E4" s="37"/>
      <c r="F4" s="37"/>
      <c r="G4" s="5" t="s">
        <v>84</v>
      </c>
      <c r="H4" s="16">
        <v>360</v>
      </c>
      <c r="I4" s="17" t="str">
        <f t="shared" ref="I4:I17" si="0">IF(H4="","",(IF($C$20&lt;25%,"n/a",IF(H4&lt;=($D$20+$A$20),H4,"Descartado"))))</f>
        <v>Descartado</v>
      </c>
    </row>
    <row r="5" spans="1:9" x14ac:dyDescent="0.25">
      <c r="A5" s="38"/>
      <c r="B5" s="35"/>
      <c r="C5" s="36"/>
      <c r="D5" s="36"/>
      <c r="E5" s="37"/>
      <c r="F5" s="37"/>
      <c r="G5" s="5" t="s">
        <v>85</v>
      </c>
      <c r="H5" s="16">
        <v>280</v>
      </c>
      <c r="I5" s="17">
        <f t="shared" si="0"/>
        <v>280</v>
      </c>
    </row>
    <row r="6" spans="1:9" x14ac:dyDescent="0.25">
      <c r="A6" s="38"/>
      <c r="B6" s="35"/>
      <c r="C6" s="36"/>
      <c r="D6" s="36"/>
      <c r="E6" s="37"/>
      <c r="F6" s="37"/>
      <c r="G6" s="5" t="s">
        <v>168</v>
      </c>
      <c r="H6" s="16">
        <v>229.99</v>
      </c>
      <c r="I6" s="17">
        <f t="shared" si="0"/>
        <v>229.99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39</v>
      </c>
      <c r="C3" s="36" t="s">
        <v>7</v>
      </c>
      <c r="D3" s="36">
        <v>1</v>
      </c>
      <c r="E3" s="37">
        <f>IF(C20&lt;=25%,D20,MIN(E20:F20))</f>
        <v>1797.62</v>
      </c>
      <c r="F3" s="37">
        <f>MIN(H3:H17)</f>
        <v>514</v>
      </c>
      <c r="G3" s="5" t="s">
        <v>86</v>
      </c>
      <c r="H3" s="16">
        <v>1463.54</v>
      </c>
      <c r="I3" s="17">
        <f>IF(H3="","",(IF($C$20&lt;25%,"n/a",IF(H3&lt;=($D$20+$A$20),H3,"Descartado"))))</f>
        <v>1463.54</v>
      </c>
    </row>
    <row r="4" spans="1:9" x14ac:dyDescent="0.25">
      <c r="A4" s="38"/>
      <c r="B4" s="35"/>
      <c r="C4" s="36"/>
      <c r="D4" s="36"/>
      <c r="E4" s="37"/>
      <c r="F4" s="37"/>
      <c r="G4" s="5" t="s">
        <v>87</v>
      </c>
      <c r="H4" s="16">
        <v>514</v>
      </c>
      <c r="I4" s="17">
        <f t="shared" ref="I4:I17" si="0">IF(H4="","",(IF($C$20&lt;25%,"n/a",IF(H4&lt;=($D$20+$A$20),H4,"Descartado"))))</f>
        <v>514</v>
      </c>
    </row>
    <row r="5" spans="1:9" x14ac:dyDescent="0.25">
      <c r="A5" s="38"/>
      <c r="B5" s="35"/>
      <c r="C5" s="36"/>
      <c r="D5" s="36"/>
      <c r="E5" s="37"/>
      <c r="F5" s="37"/>
      <c r="G5" s="5" t="s">
        <v>88</v>
      </c>
      <c r="H5" s="16">
        <v>2565.66</v>
      </c>
      <c r="I5" s="17">
        <f t="shared" si="0"/>
        <v>2565.66</v>
      </c>
    </row>
    <row r="6" spans="1:9" x14ac:dyDescent="0.25">
      <c r="A6" s="38"/>
      <c r="B6" s="35"/>
      <c r="C6" s="36"/>
      <c r="D6" s="36"/>
      <c r="E6" s="37"/>
      <c r="F6" s="37"/>
      <c r="G6" s="5" t="s">
        <v>89</v>
      </c>
      <c r="H6" s="16">
        <v>790</v>
      </c>
      <c r="I6" s="17">
        <f t="shared" si="0"/>
        <v>790</v>
      </c>
    </row>
    <row r="7" spans="1:9" x14ac:dyDescent="0.25">
      <c r="A7" s="38"/>
      <c r="B7" s="35"/>
      <c r="C7" s="36"/>
      <c r="D7" s="36"/>
      <c r="E7" s="37"/>
      <c r="F7" s="37"/>
      <c r="G7" s="5" t="s">
        <v>90</v>
      </c>
      <c r="H7" s="16">
        <v>4858</v>
      </c>
      <c r="I7" s="17" t="str">
        <f t="shared" si="0"/>
        <v>Descartado</v>
      </c>
    </row>
    <row r="8" spans="1:9" x14ac:dyDescent="0.25">
      <c r="A8" s="38"/>
      <c r="B8" s="35"/>
      <c r="C8" s="36"/>
      <c r="D8" s="36"/>
      <c r="E8" s="37"/>
      <c r="F8" s="37"/>
      <c r="G8" s="5" t="s">
        <v>91</v>
      </c>
      <c r="H8" s="16">
        <v>4932</v>
      </c>
      <c r="I8" s="17" t="str">
        <f t="shared" si="0"/>
        <v>Descartado</v>
      </c>
    </row>
    <row r="9" spans="1:9" x14ac:dyDescent="0.25">
      <c r="A9" s="38"/>
      <c r="B9" s="35"/>
      <c r="C9" s="36"/>
      <c r="D9" s="36"/>
      <c r="E9" s="37"/>
      <c r="F9" s="37"/>
      <c r="G9" s="5" t="s">
        <v>92</v>
      </c>
      <c r="H9" s="16">
        <v>1970</v>
      </c>
      <c r="I9" s="17">
        <f t="shared" si="0"/>
        <v>1970</v>
      </c>
    </row>
    <row r="10" spans="1:9" x14ac:dyDescent="0.25">
      <c r="A10" s="38"/>
      <c r="B10" s="35"/>
      <c r="C10" s="36"/>
      <c r="D10" s="36"/>
      <c r="E10" s="37"/>
      <c r="F10" s="37"/>
      <c r="G10" s="5" t="s">
        <v>93</v>
      </c>
      <c r="H10" s="16">
        <v>3137</v>
      </c>
      <c r="I10" s="17">
        <f t="shared" si="0"/>
        <v>3137</v>
      </c>
    </row>
    <row r="11" spans="1:9" x14ac:dyDescent="0.25">
      <c r="A11" s="38"/>
      <c r="B11" s="35"/>
      <c r="C11" s="36"/>
      <c r="D11" s="36"/>
      <c r="E11" s="37"/>
      <c r="F11" s="37"/>
      <c r="G11" s="5" t="s">
        <v>94</v>
      </c>
      <c r="H11" s="16">
        <v>1990</v>
      </c>
      <c r="I11" s="17">
        <f t="shared" si="0"/>
        <v>1990</v>
      </c>
    </row>
    <row r="12" spans="1:9" x14ac:dyDescent="0.25">
      <c r="A12" s="38"/>
      <c r="B12" s="35"/>
      <c r="C12" s="36"/>
      <c r="D12" s="36"/>
      <c r="E12" s="37"/>
      <c r="F12" s="37"/>
      <c r="G12" s="5" t="s">
        <v>168</v>
      </c>
      <c r="H12" s="16">
        <v>1950.72</v>
      </c>
      <c r="I12" s="17">
        <f t="shared" si="0"/>
        <v>1950.72</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40</v>
      </c>
      <c r="C3" s="36" t="s">
        <v>7</v>
      </c>
      <c r="D3" s="36">
        <v>4</v>
      </c>
      <c r="E3" s="37">
        <f>IF(C20&lt;=25%,D20,MIN(E20:F20))</f>
        <v>684.5</v>
      </c>
      <c r="F3" s="37">
        <f>MIN(H3:H17)</f>
        <v>110</v>
      </c>
      <c r="G3" s="5" t="s">
        <v>95</v>
      </c>
      <c r="H3" s="16">
        <v>699</v>
      </c>
      <c r="I3" s="17">
        <f>IF(H3="","",(IF($C$20&lt;25%,"n/a",IF(H3&lt;=($D$20+$A$20),H3,"Descartado"))))</f>
        <v>699</v>
      </c>
    </row>
    <row r="4" spans="1:9" x14ac:dyDescent="0.25">
      <c r="A4" s="38"/>
      <c r="B4" s="35"/>
      <c r="C4" s="36"/>
      <c r="D4" s="36"/>
      <c r="E4" s="37"/>
      <c r="F4" s="37"/>
      <c r="G4" s="5" t="s">
        <v>96</v>
      </c>
      <c r="H4" s="16">
        <v>238.76</v>
      </c>
      <c r="I4" s="17">
        <f t="shared" ref="I4:I17" si="0">IF(H4="","",(IF($C$20&lt;25%,"n/a",IF(H4&lt;=($D$20+$A$20),H4,"Descartado"))))</f>
        <v>238.76</v>
      </c>
    </row>
    <row r="5" spans="1:9" x14ac:dyDescent="0.25">
      <c r="A5" s="38"/>
      <c r="B5" s="35"/>
      <c r="C5" s="36"/>
      <c r="D5" s="36"/>
      <c r="E5" s="37"/>
      <c r="F5" s="37"/>
      <c r="G5" s="5" t="s">
        <v>97</v>
      </c>
      <c r="H5" s="16">
        <v>595</v>
      </c>
      <c r="I5" s="17">
        <f t="shared" si="0"/>
        <v>595</v>
      </c>
    </row>
    <row r="6" spans="1:9" x14ac:dyDescent="0.25">
      <c r="A6" s="38"/>
      <c r="B6" s="35"/>
      <c r="C6" s="36"/>
      <c r="D6" s="36"/>
      <c r="E6" s="37"/>
      <c r="F6" s="37"/>
      <c r="G6" s="5" t="s">
        <v>98</v>
      </c>
      <c r="H6" s="16">
        <v>110</v>
      </c>
      <c r="I6" s="17">
        <f t="shared" si="0"/>
        <v>110</v>
      </c>
    </row>
    <row r="7" spans="1:9" x14ac:dyDescent="0.25">
      <c r="A7" s="38"/>
      <c r="B7" s="35"/>
      <c r="C7" s="36"/>
      <c r="D7" s="36"/>
      <c r="E7" s="37"/>
      <c r="F7" s="37"/>
      <c r="G7" s="5" t="s">
        <v>99</v>
      </c>
      <c r="H7" s="16">
        <v>1064.26</v>
      </c>
      <c r="I7" s="17">
        <f t="shared" si="0"/>
        <v>1064.26</v>
      </c>
    </row>
    <row r="8" spans="1:9" x14ac:dyDescent="0.25">
      <c r="A8" s="38"/>
      <c r="B8" s="35"/>
      <c r="C8" s="36"/>
      <c r="D8" s="36"/>
      <c r="E8" s="37"/>
      <c r="F8" s="37"/>
      <c r="G8" s="5" t="s">
        <v>171</v>
      </c>
      <c r="H8" s="16">
        <v>1400</v>
      </c>
      <c r="I8" s="17">
        <f t="shared" si="0"/>
        <v>1400</v>
      </c>
    </row>
    <row r="9" spans="1:9" x14ac:dyDescent="0.25">
      <c r="A9" s="38"/>
      <c r="B9" s="35"/>
      <c r="C9" s="36"/>
      <c r="D9" s="36"/>
      <c r="E9" s="37"/>
      <c r="F9" s="37"/>
      <c r="G9" s="5" t="s">
        <v>172</v>
      </c>
      <c r="H9" s="16">
        <v>5751</v>
      </c>
      <c r="I9" s="17" t="str">
        <f t="shared" si="0"/>
        <v>Descartado</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29</vt:i4>
      </vt:variant>
      <vt:variant>
        <vt:lpstr>Intervalos nomeados</vt:lpstr>
      </vt:variant>
      <vt:variant>
        <vt:i4>2</vt:i4>
      </vt:variant>
    </vt:vector>
  </HeadingPairs>
  <TitlesOfParts>
    <vt:vector size="31"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 3</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Carlos Alberto Rocha de Almeida</cp:lastModifiedBy>
  <cp:lastPrinted>2025-08-19T14:26:56Z</cp:lastPrinted>
  <dcterms:created xsi:type="dcterms:W3CDTF">2023-11-07T17:10:34Z</dcterms:created>
  <dcterms:modified xsi:type="dcterms:W3CDTF">2025-08-21T13:22:58Z</dcterms:modified>
</cp:coreProperties>
</file>