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 activeTab="3"/>
  </bookViews>
  <sheets>
    <sheet name="coordenador" sheetId="1" r:id="rId1"/>
    <sheet name="arquivista" sheetId="2" r:id="rId2"/>
    <sheet name="tecnico" sheetId="3" state="hidden" r:id="rId3"/>
    <sheet name="total" sheetId="4" r:id="rId4"/>
  </sheets>
  <calcPr calcId="145621"/>
</workbook>
</file>

<file path=xl/calcChain.xml><?xml version="1.0" encoding="utf-8"?>
<calcChain xmlns="http://schemas.openxmlformats.org/spreadsheetml/2006/main">
  <c r="G7" i="4" l="1"/>
  <c r="G6" i="4"/>
  <c r="G5" i="4"/>
  <c r="C104" i="2" l="1"/>
  <c r="C103" i="2"/>
  <c r="C102" i="2"/>
  <c r="C101" i="2"/>
  <c r="C100" i="2"/>
  <c r="C103" i="1"/>
  <c r="C102" i="1"/>
  <c r="C101" i="1"/>
  <c r="C100" i="1"/>
  <c r="D6" i="4" l="1"/>
  <c r="D5" i="4"/>
  <c r="B6" i="4"/>
  <c r="B5" i="4"/>
  <c r="D132" i="1"/>
  <c r="D132" i="2"/>
  <c r="D157" i="2" s="1"/>
  <c r="D132" i="3"/>
  <c r="D157" i="3" s="1"/>
  <c r="C140" i="3"/>
  <c r="C147" i="3" s="1"/>
  <c r="C104" i="3"/>
  <c r="C103" i="3"/>
  <c r="C102" i="3"/>
  <c r="C101" i="3"/>
  <c r="C100" i="3"/>
  <c r="C90" i="3"/>
  <c r="C89" i="3"/>
  <c r="C88" i="3"/>
  <c r="C87" i="3"/>
  <c r="D85" i="3"/>
  <c r="D86" i="3" s="1"/>
  <c r="C85" i="3"/>
  <c r="D66" i="3"/>
  <c r="D65" i="3"/>
  <c r="D70" i="3" s="1"/>
  <c r="D78" i="3" s="1"/>
  <c r="C59" i="3"/>
  <c r="C44" i="3"/>
  <c r="C43" i="3"/>
  <c r="C45" i="3" s="1"/>
  <c r="D35" i="3"/>
  <c r="D112" i="1"/>
  <c r="D112" i="2"/>
  <c r="C147" i="2"/>
  <c r="C140" i="2"/>
  <c r="C90" i="2"/>
  <c r="C88" i="2"/>
  <c r="C87" i="2"/>
  <c r="C85" i="2"/>
  <c r="D66" i="2"/>
  <c r="D65" i="2"/>
  <c r="D70" i="2" s="1"/>
  <c r="D78" i="2" s="1"/>
  <c r="C59" i="2"/>
  <c r="C89" i="2" s="1"/>
  <c r="C44" i="2"/>
  <c r="C43" i="2"/>
  <c r="D35" i="2"/>
  <c r="D66" i="1"/>
  <c r="D65" i="1"/>
  <c r="D44" i="3" l="1"/>
  <c r="D87" i="3"/>
  <c r="D90" i="3"/>
  <c r="D153" i="3"/>
  <c r="D43" i="3"/>
  <c r="D45" i="3" s="1"/>
  <c r="D88" i="3"/>
  <c r="D89" i="3" s="1"/>
  <c r="D87" i="2"/>
  <c r="D44" i="2"/>
  <c r="D90" i="2"/>
  <c r="C45" i="2"/>
  <c r="D153" i="2"/>
  <c r="D88" i="2"/>
  <c r="D89" i="2" s="1"/>
  <c r="D85" i="2"/>
  <c r="D43" i="2"/>
  <c r="D45" i="2" s="1"/>
  <c r="D56" i="2" s="1"/>
  <c r="C90" i="1"/>
  <c r="C87" i="1"/>
  <c r="D91" i="3" l="1"/>
  <c r="D155" i="3" s="1"/>
  <c r="D55" i="3"/>
  <c r="D53" i="3"/>
  <c r="D52" i="3"/>
  <c r="D51" i="3"/>
  <c r="D58" i="3"/>
  <c r="D76" i="3"/>
  <c r="D57" i="3"/>
  <c r="D54" i="3"/>
  <c r="D56" i="3"/>
  <c r="D76" i="2"/>
  <c r="D54" i="2"/>
  <c r="D55" i="2"/>
  <c r="D53" i="2"/>
  <c r="D52" i="2"/>
  <c r="D58" i="2"/>
  <c r="D86" i="2"/>
  <c r="D91" i="2"/>
  <c r="D155" i="2" s="1"/>
  <c r="D57" i="2"/>
  <c r="D51" i="2"/>
  <c r="C140" i="1"/>
  <c r="C147" i="1"/>
  <c r="C104" i="1"/>
  <c r="C89" i="1"/>
  <c r="C88" i="1"/>
  <c r="C85" i="1"/>
  <c r="C45" i="1"/>
  <c r="C44" i="1"/>
  <c r="C43" i="1"/>
  <c r="D59" i="3" l="1"/>
  <c r="D77" i="3" s="1"/>
  <c r="D79" i="3" s="1"/>
  <c r="D59" i="2"/>
  <c r="D77" i="2" s="1"/>
  <c r="D79" i="2"/>
  <c r="D157" i="1"/>
  <c r="D70" i="1"/>
  <c r="D78" i="1" s="1"/>
  <c r="C59" i="1"/>
  <c r="D35" i="1"/>
  <c r="D154" i="3" l="1"/>
  <c r="D103" i="3"/>
  <c r="D100" i="3"/>
  <c r="D104" i="3"/>
  <c r="D101" i="3"/>
  <c r="D112" i="3"/>
  <c r="D113" i="3" s="1"/>
  <c r="D120" i="3" s="1"/>
  <c r="D105" i="3"/>
  <c r="D102" i="3"/>
  <c r="D154" i="2"/>
  <c r="D105" i="2"/>
  <c r="D101" i="2"/>
  <c r="D102" i="2"/>
  <c r="D104" i="2"/>
  <c r="D113" i="2"/>
  <c r="D120" i="2" s="1"/>
  <c r="D100" i="2"/>
  <c r="D103" i="2"/>
  <c r="D88" i="1"/>
  <c r="D89" i="1" s="1"/>
  <c r="D87" i="1"/>
  <c r="D85" i="1"/>
  <c r="D86" i="1" s="1"/>
  <c r="D153" i="1"/>
  <c r="D44" i="1"/>
  <c r="D90" i="1"/>
  <c r="D43" i="1"/>
  <c r="D106" i="3" l="1"/>
  <c r="D119" i="3" s="1"/>
  <c r="D121" i="3" s="1"/>
  <c r="D156" i="3" s="1"/>
  <c r="D158" i="3"/>
  <c r="D106" i="2"/>
  <c r="D119" i="2" s="1"/>
  <c r="D121" i="2" s="1"/>
  <c r="D156" i="2" s="1"/>
  <c r="D158" i="2" s="1"/>
  <c r="D45" i="1"/>
  <c r="D91" i="1"/>
  <c r="D138" i="3" l="1"/>
  <c r="D138" i="2"/>
  <c r="D76" i="1"/>
  <c r="D54" i="1"/>
  <c r="D52" i="1"/>
  <c r="D55" i="1"/>
  <c r="D58" i="1"/>
  <c r="D53" i="1"/>
  <c r="D56" i="1"/>
  <c r="D51" i="1"/>
  <c r="D57" i="1"/>
  <c r="D155" i="1"/>
  <c r="D139" i="3" l="1"/>
  <c r="D140" i="3" s="1"/>
  <c r="D139" i="2"/>
  <c r="D140" i="2" s="1"/>
  <c r="D59" i="1"/>
  <c r="D77" i="1" s="1"/>
  <c r="D79" i="1" s="1"/>
  <c r="D103" i="1" s="1"/>
  <c r="D147" i="3" l="1"/>
  <c r="D159" i="3" s="1"/>
  <c r="D160" i="3" s="1"/>
  <c r="D147" i="2"/>
  <c r="D159" i="2" s="1"/>
  <c r="D160" i="2" s="1"/>
  <c r="C6" i="4" s="1"/>
  <c r="E6" i="4" s="1"/>
  <c r="F6" i="4" s="1"/>
  <c r="D105" i="1"/>
  <c r="D154" i="1"/>
  <c r="D104" i="1"/>
  <c r="D101" i="1"/>
  <c r="D113" i="1"/>
  <c r="D120" i="1" s="1"/>
  <c r="D102" i="1"/>
  <c r="D100" i="1"/>
  <c r="D144" i="3" l="1"/>
  <c r="D145" i="3"/>
  <c r="D143" i="3"/>
  <c r="D142" i="3"/>
  <c r="D141" i="3"/>
  <c r="D146" i="3"/>
  <c r="D146" i="2"/>
  <c r="D143" i="2"/>
  <c r="D141" i="2"/>
  <c r="D145" i="2"/>
  <c r="D144" i="2"/>
  <c r="D142" i="2"/>
  <c r="D106" i="1"/>
  <c r="D119" i="1" s="1"/>
  <c r="D121" i="1" s="1"/>
  <c r="D156" i="1" s="1"/>
  <c r="D158" i="1" s="1"/>
  <c r="D138" i="1" l="1"/>
  <c r="D139" i="1" s="1"/>
  <c r="D140" i="1" s="1"/>
  <c r="D147" i="1" l="1"/>
  <c r="D159" i="1" s="1"/>
  <c r="D160" i="1" l="1"/>
  <c r="C5" i="4" l="1"/>
  <c r="E5" i="4" s="1"/>
  <c r="F5" i="4" s="1"/>
  <c r="F7" i="4" s="1"/>
  <c r="D143" i="1"/>
  <c r="D141" i="1"/>
  <c r="D144" i="1"/>
  <c r="D145" i="1"/>
  <c r="D142" i="1"/>
  <c r="D146" i="1"/>
</calcChain>
</file>

<file path=xl/sharedStrings.xml><?xml version="1.0" encoding="utf-8"?>
<sst xmlns="http://schemas.openxmlformats.org/spreadsheetml/2006/main" count="613" uniqueCount="132">
  <si>
    <t>PLANILHA DE CUSTOS E FORMAÇÃO DE PREÇOS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</si>
  <si>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</si>
  <si>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</si>
  <si>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</si>
  <si>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</si>
  <si>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</si>
  <si>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</si>
  <si>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</si>
  <si>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</si>
  <si>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</si>
  <si>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</si>
  <si>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</si>
  <si>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</si>
  <si>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</si>
  <si>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</si>
  <si>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</si>
  <si>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</si>
  <si>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</si>
  <si>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</si>
  <si>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</si>
  <si>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</si>
  <si>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</si>
  <si>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</si>
  <si>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</si>
  <si>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</si>
  <si>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</si>
  <si>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</si>
  <si>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</si>
  <si>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</si>
  <si>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</si>
  <si>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</si>
  <si>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</si>
  <si>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</si>
  <si>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</si>
  <si>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</si>
  <si>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</si>
  <si>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</si>
  <si>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</si>
  <si>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</si>
  <si>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</si>
  <si>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</si>
  <si>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</si>
  <si>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</si>
  <si>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</si>
  <si>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</si>
  <si>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</si>
  <si>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</si>
  <si>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</si>
  <si>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</si>
  <si>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Aviso Prévio Trabalhado</t>
  </si>
  <si>
    <t>Módulo 4 - Custo de Reposição do Profissional Ausente</t>
  </si>
  <si>
    <t>4.1</t>
  </si>
  <si>
    <t>4.2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</si>
  <si>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</si>
  <si>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</si>
  <si>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</si>
  <si>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</si>
  <si>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</si>
  <si>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</si>
  <si>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</si>
  <si>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</si>
  <si>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</si>
  <si>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</si>
  <si>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</si>
  <si>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</si>
  <si>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</si>
  <si>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C.2. Tributos Estaduais (especificar)</t>
  </si>
  <si>
    <t>C.3. Tributos Municipais (especificar)</t>
  </si>
  <si>
    <t>Mão de obra vinculada à execução contratual (valor por empregado)</t>
  </si>
  <si>
    <t>Módulo 6 – Custos Indiretos, Tributos e Lucro</t>
  </si>
  <si>
    <t xml:space="preserve">Valor Total por Empregado 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</si>
  <si>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</si>
  <si>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</si>
  <si>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</si>
  <si>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</si>
  <si>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</si>
  <si>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Submódulo 4.1 - Substituto nas Ausências Legais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</si>
  <si>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</si>
  <si>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</si>
  <si>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</si>
  <si>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</si>
  <si>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</si>
  <si>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</si>
  <si>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</si>
  <si>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</si>
  <si>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Substituto na Intrajornada</t>
  </si>
  <si>
    <t>Substituto na cobertura de Intervalo para repouso e alimentação</t>
  </si>
  <si>
    <t>Identificação do Serviço</t>
  </si>
  <si>
    <t>Tipo de Serviço</t>
  </si>
  <si>
    <t>Unidade de Medida</t>
  </si>
  <si>
    <t>Quantidade total a contratar (em função da unidade de medida)</t>
  </si>
  <si>
    <t>Classificação Brasileira de Ocupações (CBO)</t>
  </si>
  <si>
    <t>Incidência de GPS, FGTS e outras contribuições sobre o Aviso Prévio Trabalhado</t>
  </si>
  <si>
    <t>Subtotal (A + B +C+ D + E)</t>
  </si>
  <si>
    <t>C.1.A. PIS</t>
  </si>
  <si>
    <t>C.1.B. COFINS</t>
  </si>
  <si>
    <t>C.3.A. ISS</t>
  </si>
  <si>
    <t>Multa do FGTS sobre o Aviso Prévio Indenizado</t>
  </si>
  <si>
    <t>Multa do FGTS sobre o Aviso Prévio Trabalhado</t>
  </si>
  <si>
    <t>Convenção Coletiva de Trabalho</t>
  </si>
  <si>
    <t xml:space="preserve">Número de Registro no MTE </t>
  </si>
  <si>
    <t>Data do Registro</t>
  </si>
  <si>
    <t>(sindicato patronal)</t>
  </si>
  <si>
    <t>(sindicato de empregados)</t>
  </si>
  <si>
    <t>Informação sobre estimativa da Administração</t>
  </si>
  <si>
    <r>
      <t xml:space="preserve">Informa-se que foi utilizada a seguinte Convenção Coletiva de Trabalho no cálculo do valor pela Administração, a qual </t>
    </r>
    <r>
      <rPr>
        <b/>
        <u/>
        <sz val="10"/>
        <color theme="1"/>
        <rFont val="Times New Roman"/>
        <family val="1"/>
      </rPr>
      <t>não</t>
    </r>
    <r>
      <rPr>
        <b/>
        <sz val="10"/>
        <color theme="1"/>
        <rFont val="Times New Roman"/>
        <family val="1"/>
      </rPr>
      <t xml:space="preserve"> será de uso obrigatório pelas licitantes:</t>
    </r>
  </si>
  <si>
    <t>QUADRO-RESUMO DO CUSTO POR EMPREGADO</t>
  </si>
  <si>
    <t>2025/2026</t>
  </si>
  <si>
    <t>BA000817/2024</t>
  </si>
  <si>
    <t>SINDICATO DAS EMPRESAS DE SERVICOS E LIMPEZA AMBIENTAL DO ESTADO DA BAHIA - SEAC/BA, CNPJ n. 13.713.607/0001-60</t>
  </si>
  <si>
    <t>SINDILIMP-BA SIND.TRAB.LIMPEZA PUBLICA,COML,INDL, HOSPITALAR,ASSEIO, PREST. SERV.EM GERAL, CONSERVACAO, JARDINAGEM E CONTROLE DE PRAGAS INTERMUNICIPAL, CNPJ n. 32.700.148/0001-25</t>
  </si>
  <si>
    <t>Arquivista Coordenador</t>
  </si>
  <si>
    <t>posto de serviço</t>
  </si>
  <si>
    <t>Arquivista</t>
  </si>
  <si>
    <t>2613-05</t>
  </si>
  <si>
    <t>Assistência Médica</t>
  </si>
  <si>
    <t>Assistência Odontológica</t>
  </si>
  <si>
    <t>Seguro de Vida</t>
  </si>
  <si>
    <t>Técnico de Arquivo</t>
  </si>
  <si>
    <t>quadro resumo - valor total estimado</t>
  </si>
  <si>
    <t>postos regulares - valor anual</t>
  </si>
  <si>
    <t>item</t>
  </si>
  <si>
    <t>especificação</t>
  </si>
  <si>
    <t>valor mensal unitário</t>
  </si>
  <si>
    <t>quantidade</t>
  </si>
  <si>
    <t>valor mensal</t>
  </si>
  <si>
    <t>valor anual</t>
  </si>
  <si>
    <t>total estimado da contratação</t>
  </si>
  <si>
    <t>EPIs</t>
  </si>
  <si>
    <t>Capacitação dos profissionais em ferramentas de preservação digital</t>
  </si>
  <si>
    <t>Capacitação em ferramentas de preservação digital</t>
  </si>
  <si>
    <t>valor total
(5 anos)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</si>
</sst>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\-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0"/>
      <name val="Times New Roman"/>
      <family val="1"/>
    </font>
    <font>
      <b/>
      <i/>
      <sz val="10"/>
      <color theme="1"/>
      <name val="Times New Roman"/>
      <family val="1"/>
    </font>
    <font>
      <b/>
      <u/>
      <sz val="10"/>
      <color theme="1"/>
      <name val="Times New Roman"/>
      <family val="1"/>
    </font>
    <font>
      <b/>
      <sz val="10"/>
      <color theme="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2">
    <xf numFmtId="0" fontId="0" fillId="0" borderId="0"/>
    <xf numFmtId="0" fontId="2" fillId="0" borderId="0"/>
    <xf numFmtId="164" fontId="3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4" fillId="0" borderId="0" xfId="0" applyFont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10" fontId="4" fillId="0" borderId="1" xfId="11" applyNumberFormat="1" applyFont="1" applyBorder="1" applyAlignment="1">
      <alignment horizontal="center" vertical="center" wrapText="1"/>
    </xf>
    <xf numFmtId="43" fontId="4" fillId="0" borderId="1" xfId="10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0" fontId="4" fillId="2" borderId="1" xfId="11" applyNumberFormat="1" applyFont="1" applyFill="1" applyBorder="1" applyAlignment="1">
      <alignment horizontal="center" vertical="center" wrapText="1"/>
    </xf>
    <xf numFmtId="43" fontId="4" fillId="0" borderId="0" xfId="0" applyNumberFormat="1" applyFont="1"/>
    <xf numFmtId="10" fontId="4" fillId="0" borderId="0" xfId="11" applyNumberFormat="1" applyFont="1"/>
    <xf numFmtId="43" fontId="5" fillId="0" borderId="1" xfId="0" applyNumberFormat="1" applyFont="1" applyBorder="1" applyAlignment="1">
      <alignment horizontal="center" vertical="center" wrapText="1"/>
    </xf>
    <xf numFmtId="43" fontId="5" fillId="0" borderId="1" xfId="10" applyFont="1" applyBorder="1" applyAlignment="1">
      <alignment horizontal="center" vertical="center" wrapText="1"/>
    </xf>
    <xf numFmtId="10" fontId="7" fillId="0" borderId="3" xfId="11" applyNumberFormat="1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vertical="center" wrapText="1"/>
    </xf>
    <xf numFmtId="43" fontId="5" fillId="0" borderId="1" xfId="0" applyNumberFormat="1" applyFont="1" applyBorder="1" applyAlignment="1">
      <alignment vertical="center" wrapText="1"/>
    </xf>
    <xf numFmtId="43" fontId="4" fillId="0" borderId="1" xfId="1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0" xfId="0" applyFont="1" applyFill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10" fontId="5" fillId="0" borderId="3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6" borderId="1" xfId="0" applyFont="1" applyFill="1" applyBorder="1"/>
    <xf numFmtId="0" fontId="4" fillId="6" borderId="2" xfId="0" applyFont="1" applyFill="1" applyBorder="1"/>
    <xf numFmtId="0" fontId="4" fillId="6" borderId="3" xfId="0" applyFont="1" applyFill="1" applyBorder="1" applyAlignment="1"/>
    <xf numFmtId="0" fontId="4" fillId="6" borderId="1" xfId="0" applyFont="1" applyFill="1" applyBorder="1" applyAlignment="1"/>
    <xf numFmtId="14" fontId="4" fillId="6" borderId="1" xfId="0" applyNumberFormat="1" applyFont="1" applyFill="1" applyBorder="1" applyAlignme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/>
    <xf numFmtId="0" fontId="10" fillId="0" borderId="5" xfId="0" applyFont="1" applyBorder="1"/>
    <xf numFmtId="43" fontId="10" fillId="0" borderId="5" xfId="0" applyNumberFormat="1" applyFont="1" applyBorder="1"/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/>
    <xf numFmtId="43" fontId="11" fillId="0" borderId="5" xfId="0" applyNumberFormat="1" applyFont="1" applyBorder="1"/>
    <xf numFmtId="0" fontId="5" fillId="6" borderId="2" xfId="0" applyFont="1" applyFill="1" applyBorder="1" applyAlignment="1">
      <alignment horizontal="center" vertical="top" shrinkToFit="1"/>
    </xf>
    <xf numFmtId="0" fontId="5" fillId="6" borderId="4" xfId="0" applyFont="1" applyFill="1" applyBorder="1" applyAlignment="1">
      <alignment horizontal="center" vertical="top" shrinkToFit="1"/>
    </xf>
    <xf numFmtId="0" fontId="5" fillId="6" borderId="3" xfId="0" applyFont="1" applyFill="1" applyBorder="1" applyAlignment="1">
      <alignment horizontal="center" vertical="top" shrinkToFi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9" fillId="5" borderId="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shrinkToFit="1"/>
    </xf>
    <xf numFmtId="0" fontId="4" fillId="6" borderId="3" xfId="0" applyFont="1" applyFill="1" applyBorder="1" applyAlignment="1">
      <alignment shrinkToFi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/>
    </xf>
    <xf numFmtId="0" fontId="5" fillId="3" borderId="0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/>
    </xf>
  </cellXfs>
  <cellStyles count="12">
    <cellStyle name="Normal" xfId="0" builtinId="0"/>
    <cellStyle name="Normal 2" xfId="1"/>
    <cellStyle name="Porcentagem" xfId="11" builtinId="5"/>
    <cellStyle name="Vírgula" xfId="10" builtinId="3"/>
    <cellStyle name="Vírgula 2" xfId="2"/>
    <cellStyle name="Vírgula 3" xfId="3"/>
    <cellStyle name="Vírgula 3 2" xfId="4"/>
    <cellStyle name="Vírgula 4" xfId="5"/>
    <cellStyle name="Vírgula 4 2" xfId="6"/>
    <cellStyle name="Vírgula 5" xfId="7"/>
    <cellStyle name="Vírgula 5 2" xfId="8"/>
    <cellStyle name="Vírgula 6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0"/>
  <sheetViews>
    <sheetView topLeftCell="A98" zoomScale="115" zoomScaleNormal="115" workbookViewId="0">
      <selection activeCell="C131" sqref="C131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68" t="s">
        <v>0</v>
      </c>
      <c r="B1" s="68"/>
      <c r="C1" s="68"/>
      <c r="D1" s="68"/>
    </row>
    <row r="2" spans="1:4" ht="15.75" x14ac:dyDescent="0.25">
      <c r="A2" s="26"/>
      <c r="B2" s="26"/>
      <c r="C2" s="26"/>
      <c r="D2" s="26"/>
    </row>
    <row r="3" spans="1:4" x14ac:dyDescent="0.2">
      <c r="A3" s="57" t="s">
        <v>104</v>
      </c>
      <c r="B3" s="57"/>
      <c r="C3" s="57"/>
      <c r="D3" s="57"/>
    </row>
    <row r="4" spans="1:4" x14ac:dyDescent="0.2">
      <c r="A4" s="2"/>
      <c r="B4" s="2"/>
      <c r="C4" s="2"/>
      <c r="D4" s="2"/>
    </row>
    <row r="5" spans="1:4" x14ac:dyDescent="0.2">
      <c r="A5" s="48" t="s">
        <v>105</v>
      </c>
      <c r="B5" s="49"/>
      <c r="C5" s="49"/>
      <c r="D5" s="50"/>
    </row>
    <row r="6" spans="1:4" x14ac:dyDescent="0.2">
      <c r="A6" s="33" t="s">
        <v>4</v>
      </c>
      <c r="B6" s="34" t="s">
        <v>99</v>
      </c>
      <c r="C6" s="35"/>
      <c r="D6" s="36" t="s">
        <v>107</v>
      </c>
    </row>
    <row r="7" spans="1:4" x14ac:dyDescent="0.2">
      <c r="A7" s="33" t="s">
        <v>6</v>
      </c>
      <c r="B7" s="34" t="s">
        <v>100</v>
      </c>
      <c r="C7" s="35"/>
      <c r="D7" s="36" t="s">
        <v>108</v>
      </c>
    </row>
    <row r="8" spans="1:4" x14ac:dyDescent="0.2">
      <c r="A8" s="33" t="s">
        <v>8</v>
      </c>
      <c r="B8" s="34" t="s">
        <v>101</v>
      </c>
      <c r="C8" s="35"/>
      <c r="D8" s="37">
        <v>45629</v>
      </c>
    </row>
    <row r="9" spans="1:4" x14ac:dyDescent="0.2">
      <c r="A9" s="33" t="s">
        <v>10</v>
      </c>
      <c r="B9" s="58" t="s">
        <v>109</v>
      </c>
      <c r="C9" s="59"/>
      <c r="D9" s="36" t="s">
        <v>102</v>
      </c>
    </row>
    <row r="10" spans="1:4" x14ac:dyDescent="0.2">
      <c r="A10" s="33" t="s">
        <v>12</v>
      </c>
      <c r="B10" s="58" t="s">
        <v>110</v>
      </c>
      <c r="C10" s="59"/>
      <c r="D10" s="36" t="s">
        <v>103</v>
      </c>
    </row>
    <row r="12" spans="1:4" x14ac:dyDescent="0.2">
      <c r="A12" s="57" t="s">
        <v>87</v>
      </c>
      <c r="B12" s="57"/>
      <c r="C12" s="57"/>
      <c r="D12" s="57"/>
    </row>
    <row r="13" spans="1:4" x14ac:dyDescent="0.2">
      <c r="A13" s="2"/>
      <c r="B13" s="2"/>
      <c r="C13" s="2"/>
      <c r="D13" s="2"/>
    </row>
    <row r="14" spans="1:4" ht="38.25" x14ac:dyDescent="0.2">
      <c r="A14" s="51" t="s">
        <v>88</v>
      </c>
      <c r="B14" s="51"/>
      <c r="C14" s="7" t="s">
        <v>89</v>
      </c>
      <c r="D14" s="27" t="s">
        <v>90</v>
      </c>
    </row>
    <row r="15" spans="1:4" x14ac:dyDescent="0.2">
      <c r="A15" s="52" t="s">
        <v>111</v>
      </c>
      <c r="B15" s="52"/>
      <c r="C15" s="40" t="s">
        <v>112</v>
      </c>
      <c r="D15" s="40">
        <v>1</v>
      </c>
    </row>
    <row r="17" spans="1:4" x14ac:dyDescent="0.2">
      <c r="A17" s="57" t="s">
        <v>71</v>
      </c>
      <c r="B17" s="57"/>
      <c r="C17" s="57"/>
      <c r="D17" s="57"/>
    </row>
    <row r="18" spans="1:4" x14ac:dyDescent="0.2">
      <c r="A18" s="2"/>
      <c r="B18" s="2"/>
      <c r="C18" s="2"/>
      <c r="D18" s="2"/>
    </row>
    <row r="19" spans="1:4" x14ac:dyDescent="0.2">
      <c r="A19" s="5">
        <v>1</v>
      </c>
      <c r="B19" s="5" t="s">
        <v>72</v>
      </c>
      <c r="C19" s="53" t="s">
        <v>113</v>
      </c>
      <c r="D19" s="54"/>
    </row>
    <row r="20" spans="1:4" x14ac:dyDescent="0.2">
      <c r="A20" s="5">
        <v>2</v>
      </c>
      <c r="B20" s="5" t="s">
        <v>91</v>
      </c>
      <c r="C20" s="53" t="s">
        <v>114</v>
      </c>
      <c r="D20" s="54"/>
    </row>
    <row r="21" spans="1:4" x14ac:dyDescent="0.2">
      <c r="A21" s="5">
        <v>3</v>
      </c>
      <c r="B21" s="5" t="s">
        <v>73</v>
      </c>
      <c r="C21" s="53"/>
      <c r="D21" s="54"/>
    </row>
    <row r="22" spans="1:4" x14ac:dyDescent="0.2">
      <c r="A22" s="5">
        <v>4</v>
      </c>
      <c r="B22" s="5" t="s">
        <v>74</v>
      </c>
      <c r="C22" s="53"/>
      <c r="D22" s="54"/>
    </row>
    <row r="23" spans="1:4" x14ac:dyDescent="0.2">
      <c r="A23" s="5">
        <v>5</v>
      </c>
      <c r="B23" s="5" t="s">
        <v>75</v>
      </c>
      <c r="C23" s="53"/>
      <c r="D23" s="54"/>
    </row>
    <row r="25" spans="1:4" x14ac:dyDescent="0.2">
      <c r="A25" s="57" t="s">
        <v>1</v>
      </c>
      <c r="B25" s="57"/>
      <c r="C25" s="57"/>
      <c r="D25" s="57"/>
    </row>
    <row r="27" spans="1:4" x14ac:dyDescent="0.2">
      <c r="A27" s="6">
        <v>1</v>
      </c>
      <c r="B27" s="55" t="s">
        <v>2</v>
      </c>
      <c r="C27" s="55"/>
      <c r="D27" s="6" t="s">
        <v>3</v>
      </c>
    </row>
    <row r="28" spans="1:4" x14ac:dyDescent="0.2">
      <c r="A28" s="7" t="s">
        <v>4</v>
      </c>
      <c r="B28" s="56" t="s">
        <v>5</v>
      </c>
      <c r="C28" s="56"/>
      <c r="D28" s="13">
        <v>5977.18</v>
      </c>
    </row>
    <row r="29" spans="1:4" x14ac:dyDescent="0.2">
      <c r="A29" s="7" t="s">
        <v>6</v>
      </c>
      <c r="B29" s="56" t="s">
        <v>7</v>
      </c>
      <c r="C29" s="56"/>
      <c r="D29" s="13"/>
    </row>
    <row r="30" spans="1:4" x14ac:dyDescent="0.2">
      <c r="A30" s="7" t="s">
        <v>8</v>
      </c>
      <c r="B30" s="56" t="s">
        <v>9</v>
      </c>
      <c r="C30" s="56"/>
      <c r="D30" s="13"/>
    </row>
    <row r="31" spans="1:4" x14ac:dyDescent="0.2">
      <c r="A31" s="7" t="s">
        <v>10</v>
      </c>
      <c r="B31" s="56" t="s">
        <v>11</v>
      </c>
      <c r="C31" s="56"/>
      <c r="D31" s="13"/>
    </row>
    <row r="32" spans="1:4" x14ac:dyDescent="0.2">
      <c r="A32" s="7" t="s">
        <v>12</v>
      </c>
      <c r="B32" s="56" t="s">
        <v>13</v>
      </c>
      <c r="C32" s="56"/>
      <c r="D32" s="13"/>
    </row>
    <row r="33" spans="1:4" x14ac:dyDescent="0.2">
      <c r="A33" s="7"/>
      <c r="B33" s="56"/>
      <c r="C33" s="56"/>
      <c r="D33" s="13"/>
    </row>
    <row r="34" spans="1:4" x14ac:dyDescent="0.2">
      <c r="A34" s="7" t="s">
        <v>14</v>
      </c>
      <c r="B34" s="56" t="s">
        <v>15</v>
      </c>
      <c r="C34" s="56"/>
      <c r="D34" s="13"/>
    </row>
    <row r="35" spans="1:4" x14ac:dyDescent="0.2">
      <c r="A35" s="55" t="s">
        <v>16</v>
      </c>
      <c r="B35" s="55"/>
      <c r="C35" s="55"/>
      <c r="D35" s="20">
        <f>SUM(D28:D34)</f>
        <v>5977.18</v>
      </c>
    </row>
    <row r="38" spans="1:4" x14ac:dyDescent="0.2">
      <c r="A38" s="57" t="s">
        <v>17</v>
      </c>
      <c r="B38" s="57"/>
      <c r="C38" s="57"/>
      <c r="D38" s="57"/>
    </row>
    <row r="39" spans="1:4" x14ac:dyDescent="0.2">
      <c r="A39" s="3"/>
    </row>
    <row r="40" spans="1:4" x14ac:dyDescent="0.2">
      <c r="A40" s="66" t="s">
        <v>18</v>
      </c>
      <c r="B40" s="66"/>
      <c r="C40" s="66"/>
      <c r="D40" s="66"/>
    </row>
    <row r="42" spans="1:4" x14ac:dyDescent="0.2">
      <c r="A42" s="6" t="s">
        <v>19</v>
      </c>
      <c r="B42" s="55" t="s">
        <v>20</v>
      </c>
      <c r="C42" s="55"/>
      <c r="D42" s="6" t="s">
        <v>3</v>
      </c>
    </row>
    <row r="43" spans="1:4" x14ac:dyDescent="0.2">
      <c r="A43" s="7" t="s">
        <v>4</v>
      </c>
      <c r="B43" s="8" t="s">
        <v>21</v>
      </c>
      <c r="C43" s="12">
        <f>TRUNC(1/12,4)</f>
        <v>8.3299999999999999E-2</v>
      </c>
      <c r="D43" s="13">
        <f>TRUNC($D$35*C43,2)</f>
        <v>497.89</v>
      </c>
    </row>
    <row r="44" spans="1:4" x14ac:dyDescent="0.2">
      <c r="A44" s="7" t="s">
        <v>6</v>
      </c>
      <c r="B44" s="8" t="s">
        <v>22</v>
      </c>
      <c r="C44" s="12">
        <f>TRUNC(((1+1/3)/12),4)</f>
        <v>0.1111</v>
      </c>
      <c r="D44" s="13">
        <f>TRUNC($D$35*C44,2)</f>
        <v>664.06</v>
      </c>
    </row>
    <row r="45" spans="1:4" x14ac:dyDescent="0.2">
      <c r="A45" s="55" t="s">
        <v>16</v>
      </c>
      <c r="B45" s="55"/>
      <c r="C45" s="28">
        <f>SUM(C43:C44)</f>
        <v>0.19440000000000002</v>
      </c>
      <c r="D45" s="19">
        <f>SUM(D43:D44)</f>
        <v>1161.9499999999998</v>
      </c>
    </row>
    <row r="48" spans="1:4" x14ac:dyDescent="0.2">
      <c r="A48" s="69" t="s">
        <v>23</v>
      </c>
      <c r="B48" s="69"/>
      <c r="C48" s="69"/>
      <c r="D48" s="69"/>
    </row>
    <row r="50" spans="1:4" x14ac:dyDescent="0.2">
      <c r="A50" s="6" t="s">
        <v>24</v>
      </c>
      <c r="B50" s="6" t="s">
        <v>25</v>
      </c>
      <c r="C50" s="6" t="s">
        <v>26</v>
      </c>
      <c r="D50" s="6" t="s">
        <v>3</v>
      </c>
    </row>
    <row r="51" spans="1:4" x14ac:dyDescent="0.2">
      <c r="A51" s="7" t="s">
        <v>4</v>
      </c>
      <c r="B51" s="8" t="s">
        <v>27</v>
      </c>
      <c r="C51" s="9">
        <v>0.2</v>
      </c>
      <c r="D51" s="13">
        <f>TRUNC(($D$35+$D$45)*C51,2)</f>
        <v>1427.82</v>
      </c>
    </row>
    <row r="52" spans="1:4" x14ac:dyDescent="0.2">
      <c r="A52" s="7" t="s">
        <v>6</v>
      </c>
      <c r="B52" s="8" t="s">
        <v>28</v>
      </c>
      <c r="C52" s="9">
        <v>2.5000000000000001E-2</v>
      </c>
      <c r="D52" s="13">
        <f t="shared" ref="D52:D58" si="0">TRUNC(($D$35+$D$45)*C52,2)</f>
        <v>178.47</v>
      </c>
    </row>
    <row r="53" spans="1:4" x14ac:dyDescent="0.2">
      <c r="A53" s="7" t="s">
        <v>8</v>
      </c>
      <c r="B53" s="8" t="s">
        <v>29</v>
      </c>
      <c r="C53" s="16">
        <v>0.03</v>
      </c>
      <c r="D53" s="13">
        <f t="shared" si="0"/>
        <v>214.17</v>
      </c>
    </row>
    <row r="54" spans="1:4" x14ac:dyDescent="0.2">
      <c r="A54" s="7" t="s">
        <v>10</v>
      </c>
      <c r="B54" s="8" t="s">
        <v>30</v>
      </c>
      <c r="C54" s="9">
        <v>1.4999999999999999E-2</v>
      </c>
      <c r="D54" s="13">
        <f t="shared" si="0"/>
        <v>107.08</v>
      </c>
    </row>
    <row r="55" spans="1:4" x14ac:dyDescent="0.2">
      <c r="A55" s="7" t="s">
        <v>12</v>
      </c>
      <c r="B55" s="8" t="s">
        <v>31</v>
      </c>
      <c r="C55" s="9">
        <v>0.01</v>
      </c>
      <c r="D55" s="13">
        <f t="shared" si="0"/>
        <v>71.39</v>
      </c>
    </row>
    <row r="56" spans="1:4" x14ac:dyDescent="0.2">
      <c r="A56" s="7" t="s">
        <v>32</v>
      </c>
      <c r="B56" s="8" t="s">
        <v>33</v>
      </c>
      <c r="C56" s="9">
        <v>6.0000000000000001E-3</v>
      </c>
      <c r="D56" s="13">
        <f t="shared" si="0"/>
        <v>42.83</v>
      </c>
    </row>
    <row r="57" spans="1:4" x14ac:dyDescent="0.2">
      <c r="A57" s="7" t="s">
        <v>14</v>
      </c>
      <c r="B57" s="8" t="s">
        <v>34</v>
      </c>
      <c r="C57" s="9">
        <v>2E-3</v>
      </c>
      <c r="D57" s="13">
        <f t="shared" si="0"/>
        <v>14.27</v>
      </c>
    </row>
    <row r="58" spans="1:4" x14ac:dyDescent="0.2">
      <c r="A58" s="7" t="s">
        <v>35</v>
      </c>
      <c r="B58" s="8" t="s">
        <v>36</v>
      </c>
      <c r="C58" s="9">
        <v>0.08</v>
      </c>
      <c r="D58" s="13">
        <f t="shared" si="0"/>
        <v>571.13</v>
      </c>
    </row>
    <row r="59" spans="1:4" x14ac:dyDescent="0.2">
      <c r="A59" s="55" t="s">
        <v>37</v>
      </c>
      <c r="B59" s="55"/>
      <c r="C59" s="15">
        <f>SUM(C51:C58)</f>
        <v>0.36800000000000005</v>
      </c>
      <c r="D59" s="19">
        <f>SUM(D51:D58)</f>
        <v>2627.1600000000003</v>
      </c>
    </row>
    <row r="62" spans="1:4" x14ac:dyDescent="0.2">
      <c r="A62" s="66" t="s">
        <v>38</v>
      </c>
      <c r="B62" s="66"/>
      <c r="C62" s="66"/>
      <c r="D62" s="66"/>
    </row>
    <row r="64" spans="1:4" x14ac:dyDescent="0.2">
      <c r="A64" s="6" t="s">
        <v>39</v>
      </c>
      <c r="B64" s="65" t="s">
        <v>40</v>
      </c>
      <c r="C64" s="65"/>
      <c r="D64" s="6" t="s">
        <v>3</v>
      </c>
    </row>
    <row r="65" spans="1:5" x14ac:dyDescent="0.2">
      <c r="A65" s="7" t="s">
        <v>4</v>
      </c>
      <c r="B65" s="56" t="s">
        <v>41</v>
      </c>
      <c r="C65" s="56"/>
      <c r="D65" s="13">
        <f>IF((22*2*5.6)-(D28*0.06)&gt;0,(22*2*5.6)-(D28*0.06),0)</f>
        <v>0</v>
      </c>
    </row>
    <row r="66" spans="1:5" x14ac:dyDescent="0.2">
      <c r="A66" s="7" t="s">
        <v>6</v>
      </c>
      <c r="B66" s="56" t="s">
        <v>42</v>
      </c>
      <c r="C66" s="56"/>
      <c r="D66" s="13">
        <f>20*22*0.8</f>
        <v>352</v>
      </c>
    </row>
    <row r="67" spans="1:5" x14ac:dyDescent="0.2">
      <c r="A67" s="7" t="s">
        <v>8</v>
      </c>
      <c r="B67" s="56" t="s">
        <v>115</v>
      </c>
      <c r="C67" s="56"/>
      <c r="D67" s="13">
        <v>280</v>
      </c>
    </row>
    <row r="68" spans="1:5" x14ac:dyDescent="0.2">
      <c r="A68" s="32" t="s">
        <v>10</v>
      </c>
      <c r="B68" s="56" t="s">
        <v>116</v>
      </c>
      <c r="C68" s="56"/>
      <c r="D68" s="13">
        <v>23</v>
      </c>
    </row>
    <row r="69" spans="1:5" x14ac:dyDescent="0.2">
      <c r="A69" s="7" t="s">
        <v>12</v>
      </c>
      <c r="B69" s="56" t="s">
        <v>117</v>
      </c>
      <c r="C69" s="56"/>
      <c r="D69" s="13">
        <v>4.8</v>
      </c>
    </row>
    <row r="70" spans="1:5" x14ac:dyDescent="0.2">
      <c r="A70" s="55" t="s">
        <v>16</v>
      </c>
      <c r="B70" s="55"/>
      <c r="C70" s="55"/>
      <c r="D70" s="19">
        <f>SUM(D65:D69)</f>
        <v>659.8</v>
      </c>
    </row>
    <row r="73" spans="1:5" x14ac:dyDescent="0.2">
      <c r="A73" s="66" t="s">
        <v>43</v>
      </c>
      <c r="B73" s="66"/>
      <c r="C73" s="66"/>
      <c r="D73" s="66"/>
    </row>
    <row r="75" spans="1:5" x14ac:dyDescent="0.2">
      <c r="A75" s="6">
        <v>2</v>
      </c>
      <c r="B75" s="65" t="s">
        <v>44</v>
      </c>
      <c r="C75" s="65"/>
      <c r="D75" s="6" t="s">
        <v>3</v>
      </c>
    </row>
    <row r="76" spans="1:5" x14ac:dyDescent="0.2">
      <c r="A76" s="7" t="s">
        <v>19</v>
      </c>
      <c r="B76" s="56" t="s">
        <v>20</v>
      </c>
      <c r="C76" s="56"/>
      <c r="D76" s="14">
        <f>D45</f>
        <v>1161.9499999999998</v>
      </c>
    </row>
    <row r="77" spans="1:5" x14ac:dyDescent="0.2">
      <c r="A77" s="7" t="s">
        <v>24</v>
      </c>
      <c r="B77" s="56" t="s">
        <v>25</v>
      </c>
      <c r="C77" s="56"/>
      <c r="D77" s="14">
        <f>D59</f>
        <v>2627.1600000000003</v>
      </c>
    </row>
    <row r="78" spans="1:5" x14ac:dyDescent="0.2">
      <c r="A78" s="7" t="s">
        <v>39</v>
      </c>
      <c r="B78" s="56" t="s">
        <v>40</v>
      </c>
      <c r="C78" s="56"/>
      <c r="D78" s="14">
        <f>D70</f>
        <v>659.8</v>
      </c>
    </row>
    <row r="79" spans="1:5" x14ac:dyDescent="0.2">
      <c r="A79" s="55" t="s">
        <v>16</v>
      </c>
      <c r="B79" s="55"/>
      <c r="C79" s="55"/>
      <c r="D79" s="19">
        <f>SUM(D76:D78)</f>
        <v>4448.91</v>
      </c>
    </row>
    <row r="80" spans="1:5" x14ac:dyDescent="0.2">
      <c r="A80" s="4"/>
      <c r="E80" s="18"/>
    </row>
    <row r="82" spans="1:5" x14ac:dyDescent="0.2">
      <c r="A82" s="57" t="s">
        <v>45</v>
      </c>
      <c r="B82" s="57"/>
      <c r="C82" s="57"/>
      <c r="D82" s="57"/>
      <c r="E82" s="17"/>
    </row>
    <row r="83" spans="1:5" ht="12.75" customHeight="1" x14ac:dyDescent="0.2">
      <c r="E83" s="18"/>
    </row>
    <row r="84" spans="1:5" x14ac:dyDescent="0.2">
      <c r="A84" s="6">
        <v>3</v>
      </c>
      <c r="B84" s="65" t="s">
        <v>46</v>
      </c>
      <c r="C84" s="65"/>
      <c r="D84" s="6" t="s">
        <v>3</v>
      </c>
    </row>
    <row r="85" spans="1:5" x14ac:dyDescent="0.2">
      <c r="A85" s="7" t="s">
        <v>4</v>
      </c>
      <c r="B85" s="10" t="s">
        <v>47</v>
      </c>
      <c r="C85" s="9">
        <f>TRUNC(((1/12)*5%),4)</f>
        <v>4.1000000000000003E-3</v>
      </c>
      <c r="D85" s="13">
        <f>TRUNC($D$35*C85,2)</f>
        <v>24.5</v>
      </c>
    </row>
    <row r="86" spans="1:5" x14ac:dyDescent="0.2">
      <c r="A86" s="7" t="s">
        <v>6</v>
      </c>
      <c r="B86" s="10" t="s">
        <v>48</v>
      </c>
      <c r="C86" s="9">
        <v>0.08</v>
      </c>
      <c r="D86" s="13">
        <f>TRUNC(D85*C86,2)</f>
        <v>1.96</v>
      </c>
    </row>
    <row r="87" spans="1:5" x14ac:dyDescent="0.2">
      <c r="A87" s="7" t="s">
        <v>8</v>
      </c>
      <c r="B87" s="10" t="s">
        <v>97</v>
      </c>
      <c r="C87" s="9">
        <f>TRUNC(8%*5%*40%,4)</f>
        <v>1.6000000000000001E-3</v>
      </c>
      <c r="D87" s="13">
        <f>TRUNC($D$35*C87,2)</f>
        <v>9.56</v>
      </c>
    </row>
    <row r="88" spans="1:5" x14ac:dyDescent="0.2">
      <c r="A88" s="7" t="s">
        <v>10</v>
      </c>
      <c r="B88" s="10" t="s">
        <v>49</v>
      </c>
      <c r="C88" s="9">
        <f>TRUNC(((7/30)/12)*95%,4)</f>
        <v>1.84E-2</v>
      </c>
      <c r="D88" s="13">
        <f>TRUNC($D$35*C88,2)</f>
        <v>109.98</v>
      </c>
    </row>
    <row r="89" spans="1:5" ht="25.5" x14ac:dyDescent="0.2">
      <c r="A89" s="7" t="s">
        <v>12</v>
      </c>
      <c r="B89" s="10" t="s">
        <v>92</v>
      </c>
      <c r="C89" s="9">
        <f>C59</f>
        <v>0.36800000000000005</v>
      </c>
      <c r="D89" s="13">
        <f>TRUNC(D88*C89,2)</f>
        <v>40.47</v>
      </c>
    </row>
    <row r="90" spans="1:5" x14ac:dyDescent="0.2">
      <c r="A90" s="7" t="s">
        <v>32</v>
      </c>
      <c r="B90" s="10" t="s">
        <v>98</v>
      </c>
      <c r="C90" s="9">
        <f>TRUNC(8%*95%*40%,4)</f>
        <v>3.04E-2</v>
      </c>
      <c r="D90" s="13">
        <f t="shared" ref="D90" si="1">TRUNC($D$35*C90,2)</f>
        <v>181.7</v>
      </c>
    </row>
    <row r="91" spans="1:5" x14ac:dyDescent="0.2">
      <c r="A91" s="63" t="s">
        <v>16</v>
      </c>
      <c r="B91" s="64"/>
      <c r="C91" s="67"/>
      <c r="D91" s="19">
        <f>SUM(D85:D90)</f>
        <v>368.16999999999996</v>
      </c>
    </row>
    <row r="94" spans="1:5" x14ac:dyDescent="0.2">
      <c r="A94" s="57" t="s">
        <v>50</v>
      </c>
      <c r="B94" s="57"/>
      <c r="C94" s="57"/>
      <c r="D94" s="57"/>
    </row>
    <row r="97" spans="1:6" x14ac:dyDescent="0.2">
      <c r="A97" s="66" t="s">
        <v>76</v>
      </c>
      <c r="B97" s="66"/>
      <c r="C97" s="66"/>
      <c r="D97" s="66"/>
    </row>
    <row r="98" spans="1:6" x14ac:dyDescent="0.2">
      <c r="A98" s="3"/>
    </row>
    <row r="99" spans="1:6" x14ac:dyDescent="0.2">
      <c r="A99" s="6" t="s">
        <v>51</v>
      </c>
      <c r="B99" s="65" t="s">
        <v>77</v>
      </c>
      <c r="C99" s="65"/>
      <c r="D99" s="6" t="s">
        <v>3</v>
      </c>
    </row>
    <row r="100" spans="1:6" x14ac:dyDescent="0.2">
      <c r="A100" s="7" t="s">
        <v>4</v>
      </c>
      <c r="B100" s="8" t="s">
        <v>78</v>
      </c>
      <c r="C100" s="9">
        <f>TRUNC(((1+1/3)/12)/12,4)*0</f>
        <v>0</v>
      </c>
      <c r="D100" s="13">
        <f>TRUNC(($D$35+$D$79+$D$91)*C100,2)</f>
        <v>0</v>
      </c>
    </row>
    <row r="101" spans="1:6" x14ac:dyDescent="0.2">
      <c r="A101" s="7" t="s">
        <v>6</v>
      </c>
      <c r="B101" s="8" t="s">
        <v>79</v>
      </c>
      <c r="C101" s="9">
        <f>TRUNC(((2/30)/12),4)*0</f>
        <v>0</v>
      </c>
      <c r="D101" s="13">
        <f t="shared" ref="D101:D105" si="2">TRUNC(($D$35+$D$79+$D$91)*C101,2)</f>
        <v>0</v>
      </c>
    </row>
    <row r="102" spans="1:6" x14ac:dyDescent="0.2">
      <c r="A102" s="7" t="s">
        <v>8</v>
      </c>
      <c r="B102" s="8" t="s">
        <v>80</v>
      </c>
      <c r="C102" s="9">
        <f>TRUNC(((5/30)/12)*2%,4)*0</f>
        <v>0</v>
      </c>
      <c r="D102" s="13">
        <f t="shared" si="2"/>
        <v>0</v>
      </c>
    </row>
    <row r="103" spans="1:6" x14ac:dyDescent="0.2">
      <c r="A103" s="7" t="s">
        <v>10</v>
      </c>
      <c r="B103" s="8" t="s">
        <v>81</v>
      </c>
      <c r="C103" s="9">
        <f>TRUNC(((15/30)/12)*8%,4)*0</f>
        <v>0</v>
      </c>
      <c r="D103" s="13">
        <f t="shared" si="2"/>
        <v>0</v>
      </c>
    </row>
    <row r="104" spans="1:6" x14ac:dyDescent="0.2">
      <c r="A104" s="7" t="s">
        <v>12</v>
      </c>
      <c r="B104" s="8" t="s">
        <v>82</v>
      </c>
      <c r="C104" s="9">
        <f>((1+1/3)/12)*3%*(4/12)</f>
        <v>1.1111111111111109E-3</v>
      </c>
      <c r="D104" s="13">
        <f t="shared" si="2"/>
        <v>11.99</v>
      </c>
    </row>
    <row r="105" spans="1:6" x14ac:dyDescent="0.2">
      <c r="A105" s="7" t="s">
        <v>32</v>
      </c>
      <c r="B105" s="8" t="s">
        <v>83</v>
      </c>
      <c r="C105" s="9"/>
      <c r="D105" s="13">
        <f t="shared" si="2"/>
        <v>0</v>
      </c>
    </row>
    <row r="106" spans="1:6" x14ac:dyDescent="0.2">
      <c r="A106" s="55" t="s">
        <v>37</v>
      </c>
      <c r="B106" s="55"/>
      <c r="C106" s="55"/>
      <c r="D106" s="19">
        <f>SUM(D100:D105)</f>
        <v>11.99</v>
      </c>
      <c r="E106" s="17"/>
      <c r="F106" s="17"/>
    </row>
    <row r="109" spans="1:6" x14ac:dyDescent="0.2">
      <c r="A109" s="66" t="s">
        <v>84</v>
      </c>
      <c r="B109" s="66"/>
      <c r="C109" s="66"/>
      <c r="D109" s="66"/>
    </row>
    <row r="110" spans="1:6" x14ac:dyDescent="0.2">
      <c r="A110" s="3"/>
    </row>
    <row r="111" spans="1:6" x14ac:dyDescent="0.2">
      <c r="A111" s="6" t="s">
        <v>52</v>
      </c>
      <c r="B111" s="65" t="s">
        <v>85</v>
      </c>
      <c r="C111" s="65"/>
      <c r="D111" s="6" t="s">
        <v>3</v>
      </c>
    </row>
    <row r="112" spans="1:6" x14ac:dyDescent="0.2">
      <c r="A112" s="7" t="s">
        <v>4</v>
      </c>
      <c r="B112" s="60" t="s">
        <v>86</v>
      </c>
      <c r="C112" s="61"/>
      <c r="D112" s="13">
        <f>((D35+D79+D91)/220)*22*0</f>
        <v>0</v>
      </c>
    </row>
    <row r="113" spans="1:4" x14ac:dyDescent="0.2">
      <c r="A113" s="55" t="s">
        <v>16</v>
      </c>
      <c r="B113" s="55"/>
      <c r="C113" s="55"/>
      <c r="D113" s="19">
        <f>SUM(D112)</f>
        <v>0</v>
      </c>
    </row>
    <row r="116" spans="1:4" x14ac:dyDescent="0.2">
      <c r="A116" s="66" t="s">
        <v>53</v>
      </c>
      <c r="B116" s="66"/>
      <c r="C116" s="66"/>
      <c r="D116" s="66"/>
    </row>
    <row r="117" spans="1:4" x14ac:dyDescent="0.2">
      <c r="A117" s="3"/>
    </row>
    <row r="118" spans="1:4" x14ac:dyDescent="0.2">
      <c r="A118" s="6">
        <v>4</v>
      </c>
      <c r="B118" s="55" t="s">
        <v>54</v>
      </c>
      <c r="C118" s="55"/>
      <c r="D118" s="6" t="s">
        <v>3</v>
      </c>
    </row>
    <row r="119" spans="1:4" x14ac:dyDescent="0.2">
      <c r="A119" s="7" t="s">
        <v>51</v>
      </c>
      <c r="B119" s="56" t="s">
        <v>77</v>
      </c>
      <c r="C119" s="56"/>
      <c r="D119" s="14">
        <f>D106</f>
        <v>11.99</v>
      </c>
    </row>
    <row r="120" spans="1:4" x14ac:dyDescent="0.2">
      <c r="A120" s="7" t="s">
        <v>52</v>
      </c>
      <c r="B120" s="56" t="s">
        <v>85</v>
      </c>
      <c r="C120" s="56"/>
      <c r="D120" s="14">
        <f>D113</f>
        <v>0</v>
      </c>
    </row>
    <row r="121" spans="1:4" x14ac:dyDescent="0.2">
      <c r="A121" s="55" t="s">
        <v>16</v>
      </c>
      <c r="B121" s="55"/>
      <c r="C121" s="55"/>
      <c r="D121" s="19">
        <f>SUM(D119:D120)</f>
        <v>11.99</v>
      </c>
    </row>
    <row r="124" spans="1:4" x14ac:dyDescent="0.2">
      <c r="A124" s="57" t="s">
        <v>55</v>
      </c>
      <c r="B124" s="57"/>
      <c r="C124" s="57"/>
      <c r="D124" s="57"/>
    </row>
    <row r="126" spans="1:4" x14ac:dyDescent="0.2">
      <c r="A126" s="6">
        <v>5</v>
      </c>
      <c r="B126" s="62" t="s">
        <v>56</v>
      </c>
      <c r="C126" s="62"/>
      <c r="D126" s="6" t="s">
        <v>3</v>
      </c>
    </row>
    <row r="127" spans="1:4" x14ac:dyDescent="0.2">
      <c r="A127" s="7" t="s">
        <v>4</v>
      </c>
      <c r="B127" s="8" t="s">
        <v>57</v>
      </c>
      <c r="C127" s="8"/>
      <c r="D127" s="13">
        <v>4.8899999999999997</v>
      </c>
    </row>
    <row r="128" spans="1:4" x14ac:dyDescent="0.2">
      <c r="A128" s="7" t="s">
        <v>6</v>
      </c>
      <c r="B128" s="8" t="s">
        <v>58</v>
      </c>
      <c r="C128" s="8"/>
      <c r="D128" s="13">
        <v>76.5</v>
      </c>
    </row>
    <row r="129" spans="1:4" x14ac:dyDescent="0.2">
      <c r="A129" s="7" t="s">
        <v>8</v>
      </c>
      <c r="B129" s="8" t="s">
        <v>59</v>
      </c>
      <c r="C129" s="8"/>
      <c r="D129" s="13">
        <v>11.72</v>
      </c>
    </row>
    <row r="130" spans="1:4" x14ac:dyDescent="0.2">
      <c r="A130" s="38" t="s">
        <v>10</v>
      </c>
      <c r="B130" s="39" t="s">
        <v>128</v>
      </c>
      <c r="C130" s="39"/>
      <c r="D130" s="13">
        <v>0.33</v>
      </c>
    </row>
    <row r="131" spans="1:4" x14ac:dyDescent="0.2">
      <c r="A131" s="7" t="s">
        <v>12</v>
      </c>
      <c r="B131" s="8" t="s">
        <v>130</v>
      </c>
      <c r="C131" s="8"/>
      <c r="D131" s="13">
        <v>0</v>
      </c>
    </row>
    <row r="132" spans="1:4" x14ac:dyDescent="0.2">
      <c r="A132" s="55" t="s">
        <v>37</v>
      </c>
      <c r="B132" s="55"/>
      <c r="C132" s="55"/>
      <c r="D132" s="20">
        <f>SUM(D127:D131)</f>
        <v>93.44</v>
      </c>
    </row>
    <row r="135" spans="1:4" x14ac:dyDescent="0.2">
      <c r="A135" s="57" t="s">
        <v>60</v>
      </c>
      <c r="B135" s="57"/>
      <c r="C135" s="57"/>
      <c r="D135" s="57"/>
    </row>
    <row r="137" spans="1:4" x14ac:dyDescent="0.2">
      <c r="A137" s="6">
        <v>6</v>
      </c>
      <c r="B137" s="11" t="s">
        <v>61</v>
      </c>
      <c r="C137" s="6" t="s">
        <v>26</v>
      </c>
      <c r="D137" s="6" t="s">
        <v>3</v>
      </c>
    </row>
    <row r="138" spans="1:4" x14ac:dyDescent="0.2">
      <c r="A138" s="7" t="s">
        <v>4</v>
      </c>
      <c r="B138" s="8" t="s">
        <v>62</v>
      </c>
      <c r="C138" s="9">
        <v>0.05</v>
      </c>
      <c r="D138" s="14">
        <f>D158*C138</f>
        <v>544.98450000000003</v>
      </c>
    </row>
    <row r="139" spans="1:4" x14ac:dyDescent="0.2">
      <c r="A139" s="7" t="s">
        <v>6</v>
      </c>
      <c r="B139" s="8" t="s">
        <v>63</v>
      </c>
      <c r="C139" s="9">
        <v>0.06</v>
      </c>
      <c r="D139" s="13">
        <f>(D158+D138)*C139</f>
        <v>686.68047000000001</v>
      </c>
    </row>
    <row r="140" spans="1:4" x14ac:dyDescent="0.2">
      <c r="A140" s="7" t="s">
        <v>8</v>
      </c>
      <c r="B140" s="8" t="s">
        <v>64</v>
      </c>
      <c r="C140" s="12">
        <f>SUM(C141:C146)</f>
        <v>8.6499999999999994E-2</v>
      </c>
      <c r="D140" s="13">
        <f>(D158+D138+D139)*C140/(1-C140)</f>
        <v>1148.7270989655174</v>
      </c>
    </row>
    <row r="141" spans="1:4" x14ac:dyDescent="0.2">
      <c r="A141" s="7"/>
      <c r="B141" s="8" t="s">
        <v>65</v>
      </c>
      <c r="C141" s="9"/>
      <c r="D141" s="14">
        <f>$D$160*C141</f>
        <v>0</v>
      </c>
    </row>
    <row r="142" spans="1:4" x14ac:dyDescent="0.2">
      <c r="A142" s="7"/>
      <c r="B142" s="25" t="s">
        <v>94</v>
      </c>
      <c r="C142" s="9">
        <v>6.4999999999999997E-3</v>
      </c>
      <c r="D142" s="14">
        <f t="shared" ref="D142:D143" si="3">$D$160*C142</f>
        <v>86.320520000000002</v>
      </c>
    </row>
    <row r="143" spans="1:4" x14ac:dyDescent="0.2">
      <c r="A143" s="7"/>
      <c r="B143" s="25" t="s">
        <v>95</v>
      </c>
      <c r="C143" s="9">
        <v>0.03</v>
      </c>
      <c r="D143" s="14">
        <f t="shared" si="3"/>
        <v>398.4024</v>
      </c>
    </row>
    <row r="144" spans="1:4" x14ac:dyDescent="0.2">
      <c r="A144" s="7"/>
      <c r="B144" s="8" t="s">
        <v>66</v>
      </c>
      <c r="C144" s="7"/>
      <c r="D144" s="14">
        <f t="shared" ref="D144:D145" si="4">$D$160*C144</f>
        <v>0</v>
      </c>
    </row>
    <row r="145" spans="1:4" x14ac:dyDescent="0.2">
      <c r="A145" s="7"/>
      <c r="B145" s="8" t="s">
        <v>67</v>
      </c>
      <c r="C145" s="9"/>
      <c r="D145" s="14">
        <f t="shared" si="4"/>
        <v>0</v>
      </c>
    </row>
    <row r="146" spans="1:4" x14ac:dyDescent="0.2">
      <c r="A146" s="7"/>
      <c r="B146" s="25" t="s">
        <v>96</v>
      </c>
      <c r="C146" s="9">
        <v>0.05</v>
      </c>
      <c r="D146" s="14">
        <f t="shared" ref="D146" si="5">$D$160*C146</f>
        <v>664.00400000000002</v>
      </c>
    </row>
    <row r="147" spans="1:4" ht="13.5" x14ac:dyDescent="0.2">
      <c r="A147" s="63" t="s">
        <v>37</v>
      </c>
      <c r="B147" s="64"/>
      <c r="C147" s="21">
        <f>(1+C139)*(1+C138)/(1-C140)-1</f>
        <v>0.21839080459770144</v>
      </c>
      <c r="D147" s="19">
        <f>SUM(D138:D140)</f>
        <v>2380.3920689655174</v>
      </c>
    </row>
    <row r="150" spans="1:4" x14ac:dyDescent="0.2">
      <c r="A150" s="57" t="s">
        <v>106</v>
      </c>
      <c r="B150" s="57"/>
      <c r="C150" s="57"/>
      <c r="D150" s="57"/>
    </row>
    <row r="152" spans="1:4" x14ac:dyDescent="0.2">
      <c r="A152" s="6"/>
      <c r="B152" s="55" t="s">
        <v>68</v>
      </c>
      <c r="C152" s="55"/>
      <c r="D152" s="6" t="s">
        <v>3</v>
      </c>
    </row>
    <row r="153" spans="1:4" x14ac:dyDescent="0.2">
      <c r="A153" s="6" t="s">
        <v>4</v>
      </c>
      <c r="B153" s="56" t="s">
        <v>1</v>
      </c>
      <c r="C153" s="56"/>
      <c r="D153" s="22">
        <f>D35</f>
        <v>5977.18</v>
      </c>
    </row>
    <row r="154" spans="1:4" x14ac:dyDescent="0.2">
      <c r="A154" s="6" t="s">
        <v>6</v>
      </c>
      <c r="B154" s="56" t="s">
        <v>17</v>
      </c>
      <c r="C154" s="56"/>
      <c r="D154" s="22">
        <f>D79</f>
        <v>4448.91</v>
      </c>
    </row>
    <row r="155" spans="1:4" x14ac:dyDescent="0.2">
      <c r="A155" s="6" t="s">
        <v>8</v>
      </c>
      <c r="B155" s="56" t="s">
        <v>45</v>
      </c>
      <c r="C155" s="56"/>
      <c r="D155" s="22">
        <f>D91</f>
        <v>368.16999999999996</v>
      </c>
    </row>
    <row r="156" spans="1:4" x14ac:dyDescent="0.2">
      <c r="A156" s="6" t="s">
        <v>10</v>
      </c>
      <c r="B156" s="56" t="s">
        <v>50</v>
      </c>
      <c r="C156" s="56"/>
      <c r="D156" s="22">
        <f>D121</f>
        <v>11.99</v>
      </c>
    </row>
    <row r="157" spans="1:4" x14ac:dyDescent="0.2">
      <c r="A157" s="6" t="s">
        <v>12</v>
      </c>
      <c r="B157" s="56" t="s">
        <v>55</v>
      </c>
      <c r="C157" s="56"/>
      <c r="D157" s="22">
        <f>D132</f>
        <v>93.44</v>
      </c>
    </row>
    <row r="158" spans="1:4" x14ac:dyDescent="0.2">
      <c r="A158" s="55" t="s">
        <v>93</v>
      </c>
      <c r="B158" s="55"/>
      <c r="C158" s="55"/>
      <c r="D158" s="23">
        <f>SUM(D153:D157)</f>
        <v>10899.69</v>
      </c>
    </row>
    <row r="159" spans="1:4" x14ac:dyDescent="0.2">
      <c r="A159" s="6" t="s">
        <v>32</v>
      </c>
      <c r="B159" s="56" t="s">
        <v>69</v>
      </c>
      <c r="C159" s="56"/>
      <c r="D159" s="24">
        <f>D147</f>
        <v>2380.3920689655174</v>
      </c>
    </row>
    <row r="160" spans="1:4" x14ac:dyDescent="0.2">
      <c r="A160" s="55" t="s">
        <v>70</v>
      </c>
      <c r="B160" s="55"/>
      <c r="C160" s="55"/>
      <c r="D160" s="23">
        <f>ROUND(SUM(D158:D159),2)</f>
        <v>13280.08</v>
      </c>
    </row>
  </sheetData>
  <mergeCells count="75">
    <mergeCell ref="B157:C157"/>
    <mergeCell ref="A158:C158"/>
    <mergeCell ref="A62:D62"/>
    <mergeCell ref="B64:C64"/>
    <mergeCell ref="B65:C65"/>
    <mergeCell ref="B66:C66"/>
    <mergeCell ref="A73:D73"/>
    <mergeCell ref="B75:C75"/>
    <mergeCell ref="B76:C76"/>
    <mergeCell ref="B77:C77"/>
    <mergeCell ref="B78:C78"/>
    <mergeCell ref="A79:C79"/>
    <mergeCell ref="A82:D82"/>
    <mergeCell ref="B84:C84"/>
    <mergeCell ref="A106:C106"/>
    <mergeCell ref="A109:D109"/>
    <mergeCell ref="A1:D1"/>
    <mergeCell ref="A48:D48"/>
    <mergeCell ref="A59:B59"/>
    <mergeCell ref="A40:D40"/>
    <mergeCell ref="B42:C42"/>
    <mergeCell ref="B31:C31"/>
    <mergeCell ref="B32:C32"/>
    <mergeCell ref="B34:C34"/>
    <mergeCell ref="B33:C33"/>
    <mergeCell ref="A35:C35"/>
    <mergeCell ref="A17:D17"/>
    <mergeCell ref="B27:C27"/>
    <mergeCell ref="B28:C28"/>
    <mergeCell ref="B29:C29"/>
    <mergeCell ref="A3:D3"/>
    <mergeCell ref="A12:D12"/>
    <mergeCell ref="A97:D97"/>
    <mergeCell ref="B99:C99"/>
    <mergeCell ref="B67:C67"/>
    <mergeCell ref="B69:C69"/>
    <mergeCell ref="A70:C70"/>
    <mergeCell ref="A94:D94"/>
    <mergeCell ref="A91:C91"/>
    <mergeCell ref="B68:C68"/>
    <mergeCell ref="B111:C111"/>
    <mergeCell ref="A113:C113"/>
    <mergeCell ref="A116:D116"/>
    <mergeCell ref="B118:C118"/>
    <mergeCell ref="B119:C119"/>
    <mergeCell ref="B159:C159"/>
    <mergeCell ref="A160:C160"/>
    <mergeCell ref="A135:D135"/>
    <mergeCell ref="B112:C112"/>
    <mergeCell ref="B120:C120"/>
    <mergeCell ref="A121:C121"/>
    <mergeCell ref="A124:D124"/>
    <mergeCell ref="B126:C126"/>
    <mergeCell ref="A132:C132"/>
    <mergeCell ref="A147:B147"/>
    <mergeCell ref="A150:D150"/>
    <mergeCell ref="B152:C152"/>
    <mergeCell ref="B153:C153"/>
    <mergeCell ref="B154:C154"/>
    <mergeCell ref="B155:C155"/>
    <mergeCell ref="B156:C156"/>
    <mergeCell ref="A5:D5"/>
    <mergeCell ref="A14:B14"/>
    <mergeCell ref="A15:B15"/>
    <mergeCell ref="C20:D20"/>
    <mergeCell ref="A45:B45"/>
    <mergeCell ref="B30:C30"/>
    <mergeCell ref="C19:D19"/>
    <mergeCell ref="C21:D21"/>
    <mergeCell ref="C22:D22"/>
    <mergeCell ref="C23:D23"/>
    <mergeCell ref="A25:D25"/>
    <mergeCell ref="A38:D38"/>
    <mergeCell ref="B9:C9"/>
    <mergeCell ref="B10:C10"/>
  </mergeCells>
  <pageMargins left="0.51181102362204722" right="0.51181102362204722" top="0.78740157480314965" bottom="0.78740157480314965" header="0.31496062992125984" footer="0.31496062992125984"/>
  <pageSetup paperSize="9" scale="84" fitToHeight="0" orientation="portrait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0"/>
  <sheetViews>
    <sheetView topLeftCell="A80" zoomScale="115" zoomScaleNormal="115" workbookViewId="0">
      <selection activeCell="C131" sqref="C131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68" t="s">
        <v>0</v>
      </c>
      <c r="B1" s="68"/>
      <c r="C1" s="68"/>
      <c r="D1" s="68"/>
    </row>
    <row r="2" spans="1:4" ht="15.75" x14ac:dyDescent="0.25">
      <c r="A2" s="26"/>
      <c r="B2" s="26"/>
      <c r="C2" s="26"/>
      <c r="D2" s="26"/>
    </row>
    <row r="3" spans="1:4" x14ac:dyDescent="0.2">
      <c r="A3" s="57" t="s">
        <v>104</v>
      </c>
      <c r="B3" s="57"/>
      <c r="C3" s="57"/>
      <c r="D3" s="57"/>
    </row>
    <row r="4" spans="1:4" x14ac:dyDescent="0.2">
      <c r="A4" s="2"/>
      <c r="B4" s="2"/>
      <c r="C4" s="2"/>
      <c r="D4" s="2"/>
    </row>
    <row r="5" spans="1:4" x14ac:dyDescent="0.2">
      <c r="A5" s="48" t="s">
        <v>105</v>
      </c>
      <c r="B5" s="49"/>
      <c r="C5" s="49"/>
      <c r="D5" s="50"/>
    </row>
    <row r="6" spans="1:4" x14ac:dyDescent="0.2">
      <c r="A6" s="33" t="s">
        <v>4</v>
      </c>
      <c r="B6" s="34" t="s">
        <v>99</v>
      </c>
      <c r="C6" s="35"/>
      <c r="D6" s="36" t="s">
        <v>107</v>
      </c>
    </row>
    <row r="7" spans="1:4" x14ac:dyDescent="0.2">
      <c r="A7" s="33" t="s">
        <v>6</v>
      </c>
      <c r="B7" s="34" t="s">
        <v>100</v>
      </c>
      <c r="C7" s="35"/>
      <c r="D7" s="36" t="s">
        <v>108</v>
      </c>
    </row>
    <row r="8" spans="1:4" x14ac:dyDescent="0.2">
      <c r="A8" s="33" t="s">
        <v>8</v>
      </c>
      <c r="B8" s="34" t="s">
        <v>101</v>
      </c>
      <c r="C8" s="35"/>
      <c r="D8" s="37">
        <v>45629</v>
      </c>
    </row>
    <row r="9" spans="1:4" x14ac:dyDescent="0.2">
      <c r="A9" s="33" t="s">
        <v>10</v>
      </c>
      <c r="B9" s="58" t="s">
        <v>109</v>
      </c>
      <c r="C9" s="59"/>
      <c r="D9" s="36" t="s">
        <v>102</v>
      </c>
    </row>
    <row r="10" spans="1:4" x14ac:dyDescent="0.2">
      <c r="A10" s="33" t="s">
        <v>12</v>
      </c>
      <c r="B10" s="58" t="s">
        <v>110</v>
      </c>
      <c r="C10" s="59"/>
      <c r="D10" s="36" t="s">
        <v>103</v>
      </c>
    </row>
    <row r="12" spans="1:4" x14ac:dyDescent="0.2">
      <c r="A12" s="57" t="s">
        <v>87</v>
      </c>
      <c r="B12" s="57"/>
      <c r="C12" s="57"/>
      <c r="D12" s="57"/>
    </row>
    <row r="13" spans="1:4" x14ac:dyDescent="0.2">
      <c r="A13" s="2"/>
      <c r="B13" s="2"/>
      <c r="C13" s="2"/>
      <c r="D13" s="2"/>
    </row>
    <row r="14" spans="1:4" ht="38.25" x14ac:dyDescent="0.2">
      <c r="A14" s="51" t="s">
        <v>88</v>
      </c>
      <c r="B14" s="51"/>
      <c r="C14" s="32" t="s">
        <v>89</v>
      </c>
      <c r="D14" s="27" t="s">
        <v>90</v>
      </c>
    </row>
    <row r="15" spans="1:4" x14ac:dyDescent="0.2">
      <c r="A15" s="52" t="s">
        <v>113</v>
      </c>
      <c r="B15" s="52"/>
      <c r="C15" s="40" t="s">
        <v>112</v>
      </c>
      <c r="D15" s="40">
        <v>1</v>
      </c>
    </row>
    <row r="17" spans="1:4" x14ac:dyDescent="0.2">
      <c r="A17" s="57" t="s">
        <v>71</v>
      </c>
      <c r="B17" s="57"/>
      <c r="C17" s="57"/>
      <c r="D17" s="57"/>
    </row>
    <row r="18" spans="1:4" x14ac:dyDescent="0.2">
      <c r="A18" s="2"/>
      <c r="B18" s="2"/>
      <c r="C18" s="2"/>
      <c r="D18" s="2"/>
    </row>
    <row r="19" spans="1:4" x14ac:dyDescent="0.2">
      <c r="A19" s="5">
        <v>1</v>
      </c>
      <c r="B19" s="5" t="s">
        <v>72</v>
      </c>
      <c r="C19" s="53" t="s">
        <v>113</v>
      </c>
      <c r="D19" s="54"/>
    </row>
    <row r="20" spans="1:4" x14ac:dyDescent="0.2">
      <c r="A20" s="5">
        <v>2</v>
      </c>
      <c r="B20" s="5" t="s">
        <v>91</v>
      </c>
      <c r="C20" s="53" t="s">
        <v>114</v>
      </c>
      <c r="D20" s="54"/>
    </row>
    <row r="21" spans="1:4" x14ac:dyDescent="0.2">
      <c r="A21" s="5">
        <v>3</v>
      </c>
      <c r="B21" s="5" t="s">
        <v>73</v>
      </c>
      <c r="C21" s="53"/>
      <c r="D21" s="54"/>
    </row>
    <row r="22" spans="1:4" x14ac:dyDescent="0.2">
      <c r="A22" s="5">
        <v>4</v>
      </c>
      <c r="B22" s="5" t="s">
        <v>74</v>
      </c>
      <c r="C22" s="53"/>
      <c r="D22" s="54"/>
    </row>
    <row r="23" spans="1:4" x14ac:dyDescent="0.2">
      <c r="A23" s="5">
        <v>5</v>
      </c>
      <c r="B23" s="5" t="s">
        <v>75</v>
      </c>
      <c r="C23" s="53"/>
      <c r="D23" s="54"/>
    </row>
    <row r="25" spans="1:4" x14ac:dyDescent="0.2">
      <c r="A25" s="57" t="s">
        <v>1</v>
      </c>
      <c r="B25" s="57"/>
      <c r="C25" s="57"/>
      <c r="D25" s="57"/>
    </row>
    <row r="27" spans="1:4" x14ac:dyDescent="0.2">
      <c r="A27" s="30">
        <v>1</v>
      </c>
      <c r="B27" s="55" t="s">
        <v>2</v>
      </c>
      <c r="C27" s="55"/>
      <c r="D27" s="30" t="s">
        <v>3</v>
      </c>
    </row>
    <row r="28" spans="1:4" x14ac:dyDescent="0.2">
      <c r="A28" s="32" t="s">
        <v>4</v>
      </c>
      <c r="B28" s="56" t="s">
        <v>5</v>
      </c>
      <c r="C28" s="56"/>
      <c r="D28" s="13">
        <v>5379.46</v>
      </c>
    </row>
    <row r="29" spans="1:4" x14ac:dyDescent="0.2">
      <c r="A29" s="32" t="s">
        <v>6</v>
      </c>
      <c r="B29" s="56" t="s">
        <v>7</v>
      </c>
      <c r="C29" s="56"/>
      <c r="D29" s="13"/>
    </row>
    <row r="30" spans="1:4" x14ac:dyDescent="0.2">
      <c r="A30" s="32" t="s">
        <v>8</v>
      </c>
      <c r="B30" s="56" t="s">
        <v>9</v>
      </c>
      <c r="C30" s="56"/>
      <c r="D30" s="13"/>
    </row>
    <row r="31" spans="1:4" x14ac:dyDescent="0.2">
      <c r="A31" s="32" t="s">
        <v>10</v>
      </c>
      <c r="B31" s="56" t="s">
        <v>11</v>
      </c>
      <c r="C31" s="56"/>
      <c r="D31" s="13"/>
    </row>
    <row r="32" spans="1:4" x14ac:dyDescent="0.2">
      <c r="A32" s="32" t="s">
        <v>12</v>
      </c>
      <c r="B32" s="56" t="s">
        <v>13</v>
      </c>
      <c r="C32" s="56"/>
      <c r="D32" s="13"/>
    </row>
    <row r="33" spans="1:4" x14ac:dyDescent="0.2">
      <c r="A33" s="32"/>
      <c r="B33" s="56"/>
      <c r="C33" s="56"/>
      <c r="D33" s="13"/>
    </row>
    <row r="34" spans="1:4" x14ac:dyDescent="0.2">
      <c r="A34" s="32" t="s">
        <v>14</v>
      </c>
      <c r="B34" s="56" t="s">
        <v>15</v>
      </c>
      <c r="C34" s="56"/>
      <c r="D34" s="13"/>
    </row>
    <row r="35" spans="1:4" x14ac:dyDescent="0.2">
      <c r="A35" s="55" t="s">
        <v>16</v>
      </c>
      <c r="B35" s="55"/>
      <c r="C35" s="55"/>
      <c r="D35" s="20">
        <f>SUM(D28:D34)</f>
        <v>5379.46</v>
      </c>
    </row>
    <row r="38" spans="1:4" x14ac:dyDescent="0.2">
      <c r="A38" s="57" t="s">
        <v>17</v>
      </c>
      <c r="B38" s="57"/>
      <c r="C38" s="57"/>
      <c r="D38" s="57"/>
    </row>
    <row r="39" spans="1:4" x14ac:dyDescent="0.2">
      <c r="A39" s="3"/>
    </row>
    <row r="40" spans="1:4" x14ac:dyDescent="0.2">
      <c r="A40" s="66" t="s">
        <v>18</v>
      </c>
      <c r="B40" s="66"/>
      <c r="C40" s="66"/>
      <c r="D40" s="66"/>
    </row>
    <row r="42" spans="1:4" x14ac:dyDescent="0.2">
      <c r="A42" s="30" t="s">
        <v>19</v>
      </c>
      <c r="B42" s="55" t="s">
        <v>20</v>
      </c>
      <c r="C42" s="55"/>
      <c r="D42" s="30" t="s">
        <v>3</v>
      </c>
    </row>
    <row r="43" spans="1:4" x14ac:dyDescent="0.2">
      <c r="A43" s="32" t="s">
        <v>4</v>
      </c>
      <c r="B43" s="29" t="s">
        <v>21</v>
      </c>
      <c r="C43" s="12">
        <f>TRUNC(1/12,4)</f>
        <v>8.3299999999999999E-2</v>
      </c>
      <c r="D43" s="13">
        <f>TRUNC($D$35*C43,2)</f>
        <v>448.1</v>
      </c>
    </row>
    <row r="44" spans="1:4" x14ac:dyDescent="0.2">
      <c r="A44" s="32" t="s">
        <v>6</v>
      </c>
      <c r="B44" s="29" t="s">
        <v>22</v>
      </c>
      <c r="C44" s="12">
        <f>TRUNC(((1+1/3)/12),4)</f>
        <v>0.1111</v>
      </c>
      <c r="D44" s="13">
        <f>TRUNC($D$35*C44,2)</f>
        <v>597.65</v>
      </c>
    </row>
    <row r="45" spans="1:4" x14ac:dyDescent="0.2">
      <c r="A45" s="55" t="s">
        <v>16</v>
      </c>
      <c r="B45" s="55"/>
      <c r="C45" s="28">
        <f>SUM(C43:C44)</f>
        <v>0.19440000000000002</v>
      </c>
      <c r="D45" s="19">
        <f>SUM(D43:D44)</f>
        <v>1045.75</v>
      </c>
    </row>
    <row r="48" spans="1:4" x14ac:dyDescent="0.2">
      <c r="A48" s="69" t="s">
        <v>23</v>
      </c>
      <c r="B48" s="69"/>
      <c r="C48" s="69"/>
      <c r="D48" s="69"/>
    </row>
    <row r="50" spans="1:4" x14ac:dyDescent="0.2">
      <c r="A50" s="30" t="s">
        <v>24</v>
      </c>
      <c r="B50" s="30" t="s">
        <v>25</v>
      </c>
      <c r="C50" s="30" t="s">
        <v>26</v>
      </c>
      <c r="D50" s="30" t="s">
        <v>3</v>
      </c>
    </row>
    <row r="51" spans="1:4" x14ac:dyDescent="0.2">
      <c r="A51" s="32" t="s">
        <v>4</v>
      </c>
      <c r="B51" s="29" t="s">
        <v>27</v>
      </c>
      <c r="C51" s="9">
        <v>0.2</v>
      </c>
      <c r="D51" s="13">
        <f>TRUNC(($D$35+$D$45)*C51,2)</f>
        <v>1285.04</v>
      </c>
    </row>
    <row r="52" spans="1:4" x14ac:dyDescent="0.2">
      <c r="A52" s="32" t="s">
        <v>6</v>
      </c>
      <c r="B52" s="29" t="s">
        <v>28</v>
      </c>
      <c r="C52" s="9">
        <v>2.5000000000000001E-2</v>
      </c>
      <c r="D52" s="13">
        <f t="shared" ref="D52:D58" si="0">TRUNC(($D$35+$D$45)*C52,2)</f>
        <v>160.63</v>
      </c>
    </row>
    <row r="53" spans="1:4" x14ac:dyDescent="0.2">
      <c r="A53" s="32" t="s">
        <v>8</v>
      </c>
      <c r="B53" s="29" t="s">
        <v>29</v>
      </c>
      <c r="C53" s="16">
        <v>0.03</v>
      </c>
      <c r="D53" s="13">
        <f t="shared" si="0"/>
        <v>192.75</v>
      </c>
    </row>
    <row r="54" spans="1:4" x14ac:dyDescent="0.2">
      <c r="A54" s="32" t="s">
        <v>10</v>
      </c>
      <c r="B54" s="29" t="s">
        <v>30</v>
      </c>
      <c r="C54" s="9">
        <v>1.4999999999999999E-2</v>
      </c>
      <c r="D54" s="13">
        <f t="shared" si="0"/>
        <v>96.37</v>
      </c>
    </row>
    <row r="55" spans="1:4" x14ac:dyDescent="0.2">
      <c r="A55" s="32" t="s">
        <v>12</v>
      </c>
      <c r="B55" s="29" t="s">
        <v>31</v>
      </c>
      <c r="C55" s="9">
        <v>0.01</v>
      </c>
      <c r="D55" s="13">
        <f t="shared" si="0"/>
        <v>64.25</v>
      </c>
    </row>
    <row r="56" spans="1:4" x14ac:dyDescent="0.2">
      <c r="A56" s="32" t="s">
        <v>32</v>
      </c>
      <c r="B56" s="29" t="s">
        <v>33</v>
      </c>
      <c r="C56" s="9">
        <v>6.0000000000000001E-3</v>
      </c>
      <c r="D56" s="13">
        <f t="shared" si="0"/>
        <v>38.549999999999997</v>
      </c>
    </row>
    <row r="57" spans="1:4" x14ac:dyDescent="0.2">
      <c r="A57" s="32" t="s">
        <v>14</v>
      </c>
      <c r="B57" s="29" t="s">
        <v>34</v>
      </c>
      <c r="C57" s="9">
        <v>2E-3</v>
      </c>
      <c r="D57" s="13">
        <f t="shared" si="0"/>
        <v>12.85</v>
      </c>
    </row>
    <row r="58" spans="1:4" x14ac:dyDescent="0.2">
      <c r="A58" s="32" t="s">
        <v>35</v>
      </c>
      <c r="B58" s="29" t="s">
        <v>36</v>
      </c>
      <c r="C58" s="9">
        <v>0.08</v>
      </c>
      <c r="D58" s="13">
        <f t="shared" si="0"/>
        <v>514.01</v>
      </c>
    </row>
    <row r="59" spans="1:4" x14ac:dyDescent="0.2">
      <c r="A59" s="55" t="s">
        <v>37</v>
      </c>
      <c r="B59" s="55"/>
      <c r="C59" s="15">
        <f>SUM(C51:C58)</f>
        <v>0.36800000000000005</v>
      </c>
      <c r="D59" s="19">
        <f>SUM(D51:D58)</f>
        <v>2364.4499999999998</v>
      </c>
    </row>
    <row r="62" spans="1:4" x14ac:dyDescent="0.2">
      <c r="A62" s="66" t="s">
        <v>38</v>
      </c>
      <c r="B62" s="66"/>
      <c r="C62" s="66"/>
      <c r="D62" s="66"/>
    </row>
    <row r="64" spans="1:4" x14ac:dyDescent="0.2">
      <c r="A64" s="30" t="s">
        <v>39</v>
      </c>
      <c r="B64" s="65" t="s">
        <v>40</v>
      </c>
      <c r="C64" s="65"/>
      <c r="D64" s="30" t="s">
        <v>3</v>
      </c>
    </row>
    <row r="65" spans="1:5" x14ac:dyDescent="0.2">
      <c r="A65" s="32" t="s">
        <v>4</v>
      </c>
      <c r="B65" s="56" t="s">
        <v>41</v>
      </c>
      <c r="C65" s="56"/>
      <c r="D65" s="13">
        <f>IF((22*2*5.6)-(D28*0.06)&gt;0,(22*2*5.6)-(D28*0.06),0)</f>
        <v>0</v>
      </c>
    </row>
    <row r="66" spans="1:5" x14ac:dyDescent="0.2">
      <c r="A66" s="32" t="s">
        <v>6</v>
      </c>
      <c r="B66" s="56" t="s">
        <v>42</v>
      </c>
      <c r="C66" s="56"/>
      <c r="D66" s="13">
        <f>20*22*0.8</f>
        <v>352</v>
      </c>
    </row>
    <row r="67" spans="1:5" x14ac:dyDescent="0.2">
      <c r="A67" s="32" t="s">
        <v>8</v>
      </c>
      <c r="B67" s="56" t="s">
        <v>115</v>
      </c>
      <c r="C67" s="56"/>
      <c r="D67" s="13">
        <v>280</v>
      </c>
    </row>
    <row r="68" spans="1:5" x14ac:dyDescent="0.2">
      <c r="A68" s="32" t="s">
        <v>10</v>
      </c>
      <c r="B68" s="56" t="s">
        <v>116</v>
      </c>
      <c r="C68" s="56"/>
      <c r="D68" s="13">
        <v>23</v>
      </c>
    </row>
    <row r="69" spans="1:5" x14ac:dyDescent="0.2">
      <c r="A69" s="32" t="s">
        <v>12</v>
      </c>
      <c r="B69" s="56" t="s">
        <v>117</v>
      </c>
      <c r="C69" s="56"/>
      <c r="D69" s="13">
        <v>4.8</v>
      </c>
    </row>
    <row r="70" spans="1:5" x14ac:dyDescent="0.2">
      <c r="A70" s="55" t="s">
        <v>16</v>
      </c>
      <c r="B70" s="55"/>
      <c r="C70" s="55"/>
      <c r="D70" s="19">
        <f>SUM(D65:D69)</f>
        <v>659.8</v>
      </c>
    </row>
    <row r="73" spans="1:5" x14ac:dyDescent="0.2">
      <c r="A73" s="66" t="s">
        <v>43</v>
      </c>
      <c r="B73" s="66"/>
      <c r="C73" s="66"/>
      <c r="D73" s="66"/>
    </row>
    <row r="75" spans="1:5" x14ac:dyDescent="0.2">
      <c r="A75" s="30">
        <v>2</v>
      </c>
      <c r="B75" s="65" t="s">
        <v>44</v>
      </c>
      <c r="C75" s="65"/>
      <c r="D75" s="30" t="s">
        <v>3</v>
      </c>
    </row>
    <row r="76" spans="1:5" x14ac:dyDescent="0.2">
      <c r="A76" s="32" t="s">
        <v>19</v>
      </c>
      <c r="B76" s="56" t="s">
        <v>20</v>
      </c>
      <c r="C76" s="56"/>
      <c r="D76" s="14">
        <f>D45</f>
        <v>1045.75</v>
      </c>
    </row>
    <row r="77" spans="1:5" x14ac:dyDescent="0.2">
      <c r="A77" s="32" t="s">
        <v>24</v>
      </c>
      <c r="B77" s="56" t="s">
        <v>25</v>
      </c>
      <c r="C77" s="56"/>
      <c r="D77" s="14">
        <f>D59</f>
        <v>2364.4499999999998</v>
      </c>
    </row>
    <row r="78" spans="1:5" x14ac:dyDescent="0.2">
      <c r="A78" s="32" t="s">
        <v>39</v>
      </c>
      <c r="B78" s="56" t="s">
        <v>40</v>
      </c>
      <c r="C78" s="56"/>
      <c r="D78" s="14">
        <f>D70</f>
        <v>659.8</v>
      </c>
    </row>
    <row r="79" spans="1:5" x14ac:dyDescent="0.2">
      <c r="A79" s="55" t="s">
        <v>16</v>
      </c>
      <c r="B79" s="55"/>
      <c r="C79" s="55"/>
      <c r="D79" s="19">
        <f>SUM(D76:D78)</f>
        <v>4070</v>
      </c>
    </row>
    <row r="80" spans="1:5" x14ac:dyDescent="0.2">
      <c r="A80" s="4"/>
      <c r="E80" s="18"/>
    </row>
    <row r="82" spans="1:5" x14ac:dyDescent="0.2">
      <c r="A82" s="57" t="s">
        <v>45</v>
      </c>
      <c r="B82" s="57"/>
      <c r="C82" s="57"/>
      <c r="D82" s="57"/>
      <c r="E82" s="17"/>
    </row>
    <row r="83" spans="1:5" ht="12.75" customHeight="1" x14ac:dyDescent="0.2">
      <c r="E83" s="18"/>
    </row>
    <row r="84" spans="1:5" x14ac:dyDescent="0.2">
      <c r="A84" s="30">
        <v>3</v>
      </c>
      <c r="B84" s="65" t="s">
        <v>46</v>
      </c>
      <c r="C84" s="65"/>
      <c r="D84" s="30" t="s">
        <v>3</v>
      </c>
    </row>
    <row r="85" spans="1:5" x14ac:dyDescent="0.2">
      <c r="A85" s="32" t="s">
        <v>4</v>
      </c>
      <c r="B85" s="10" t="s">
        <v>47</v>
      </c>
      <c r="C85" s="9">
        <f>TRUNC(((1/12)*5%),4)</f>
        <v>4.1000000000000003E-3</v>
      </c>
      <c r="D85" s="13">
        <f>TRUNC($D$35*C85,2)</f>
        <v>22.05</v>
      </c>
    </row>
    <row r="86" spans="1:5" x14ac:dyDescent="0.2">
      <c r="A86" s="32" t="s">
        <v>6</v>
      </c>
      <c r="B86" s="10" t="s">
        <v>48</v>
      </c>
      <c r="C86" s="9">
        <v>0.08</v>
      </c>
      <c r="D86" s="13">
        <f>TRUNC(D85*C86,2)</f>
        <v>1.76</v>
      </c>
    </row>
    <row r="87" spans="1:5" x14ac:dyDescent="0.2">
      <c r="A87" s="32" t="s">
        <v>8</v>
      </c>
      <c r="B87" s="10" t="s">
        <v>97</v>
      </c>
      <c r="C87" s="9">
        <f>TRUNC(8%*5%*40%,4)</f>
        <v>1.6000000000000001E-3</v>
      </c>
      <c r="D87" s="13">
        <f>TRUNC($D$35*C87,2)</f>
        <v>8.6</v>
      </c>
    </row>
    <row r="88" spans="1:5" x14ac:dyDescent="0.2">
      <c r="A88" s="32" t="s">
        <v>10</v>
      </c>
      <c r="B88" s="10" t="s">
        <v>49</v>
      </c>
      <c r="C88" s="9">
        <f>TRUNC(((7/30)/12)*95%,4)</f>
        <v>1.84E-2</v>
      </c>
      <c r="D88" s="13">
        <f>TRUNC($D$35*C88,2)</f>
        <v>98.98</v>
      </c>
    </row>
    <row r="89" spans="1:5" ht="25.5" x14ac:dyDescent="0.2">
      <c r="A89" s="32" t="s">
        <v>12</v>
      </c>
      <c r="B89" s="10" t="s">
        <v>92</v>
      </c>
      <c r="C89" s="9">
        <f>C59</f>
        <v>0.36800000000000005</v>
      </c>
      <c r="D89" s="13">
        <f>TRUNC(D88*C89,2)</f>
        <v>36.42</v>
      </c>
    </row>
    <row r="90" spans="1:5" x14ac:dyDescent="0.2">
      <c r="A90" s="32" t="s">
        <v>32</v>
      </c>
      <c r="B90" s="10" t="s">
        <v>98</v>
      </c>
      <c r="C90" s="9">
        <f>TRUNC(8%*95%*40%,4)</f>
        <v>3.04E-2</v>
      </c>
      <c r="D90" s="13">
        <f t="shared" ref="D90" si="1">TRUNC($D$35*C90,2)</f>
        <v>163.53</v>
      </c>
    </row>
    <row r="91" spans="1:5" x14ac:dyDescent="0.2">
      <c r="A91" s="63" t="s">
        <v>16</v>
      </c>
      <c r="B91" s="64"/>
      <c r="C91" s="67"/>
      <c r="D91" s="19">
        <f>SUM(D85:D90)</f>
        <v>331.34000000000003</v>
      </c>
    </row>
    <row r="94" spans="1:5" x14ac:dyDescent="0.2">
      <c r="A94" s="57" t="s">
        <v>50</v>
      </c>
      <c r="B94" s="57"/>
      <c r="C94" s="57"/>
      <c r="D94" s="57"/>
    </row>
    <row r="97" spans="1:6" x14ac:dyDescent="0.2">
      <c r="A97" s="66" t="s">
        <v>76</v>
      </c>
      <c r="B97" s="66"/>
      <c r="C97" s="66"/>
      <c r="D97" s="66"/>
    </row>
    <row r="98" spans="1:6" x14ac:dyDescent="0.2">
      <c r="A98" s="3"/>
    </row>
    <row r="99" spans="1:6" x14ac:dyDescent="0.2">
      <c r="A99" s="30" t="s">
        <v>51</v>
      </c>
      <c r="B99" s="65" t="s">
        <v>77</v>
      </c>
      <c r="C99" s="65"/>
      <c r="D99" s="30" t="s">
        <v>3</v>
      </c>
    </row>
    <row r="100" spans="1:6" x14ac:dyDescent="0.2">
      <c r="A100" s="32" t="s">
        <v>4</v>
      </c>
      <c r="B100" s="29" t="s">
        <v>78</v>
      </c>
      <c r="C100" s="9">
        <f>TRUNC(((1+1/3)/12)/12,4)*0</f>
        <v>0</v>
      </c>
      <c r="D100" s="13">
        <f>TRUNC(($D$35+$D$79+$D$91)*C100,2)</f>
        <v>0</v>
      </c>
    </row>
    <row r="101" spans="1:6" x14ac:dyDescent="0.2">
      <c r="A101" s="32" t="s">
        <v>6</v>
      </c>
      <c r="B101" s="29" t="s">
        <v>79</v>
      </c>
      <c r="C101" s="9">
        <f>TRUNC(((2/30)/12),4)*0</f>
        <v>0</v>
      </c>
      <c r="D101" s="13">
        <f t="shared" ref="D101:D105" si="2">TRUNC(($D$35+$D$79+$D$91)*C101,2)</f>
        <v>0</v>
      </c>
    </row>
    <row r="102" spans="1:6" x14ac:dyDescent="0.2">
      <c r="A102" s="32" t="s">
        <v>8</v>
      </c>
      <c r="B102" s="29" t="s">
        <v>80</v>
      </c>
      <c r="C102" s="9">
        <f>TRUNC(((5/30)/12)*2%,4)*0</f>
        <v>0</v>
      </c>
      <c r="D102" s="13">
        <f t="shared" si="2"/>
        <v>0</v>
      </c>
    </row>
    <row r="103" spans="1:6" x14ac:dyDescent="0.2">
      <c r="A103" s="32" t="s">
        <v>10</v>
      </c>
      <c r="B103" s="29" t="s">
        <v>81</v>
      </c>
      <c r="C103" s="9">
        <f>TRUNC(((15/30)/12)*8%,4)*0</f>
        <v>0</v>
      </c>
      <c r="D103" s="13">
        <f t="shared" si="2"/>
        <v>0</v>
      </c>
    </row>
    <row r="104" spans="1:6" x14ac:dyDescent="0.2">
      <c r="A104" s="32" t="s">
        <v>12</v>
      </c>
      <c r="B104" s="29" t="s">
        <v>82</v>
      </c>
      <c r="C104" s="9">
        <f>((1+1/3)/12)*3%*(4/12)</f>
        <v>1.1111111111111109E-3</v>
      </c>
      <c r="D104" s="13">
        <f t="shared" si="2"/>
        <v>10.86</v>
      </c>
    </row>
    <row r="105" spans="1:6" x14ac:dyDescent="0.2">
      <c r="A105" s="32" t="s">
        <v>32</v>
      </c>
      <c r="B105" s="29" t="s">
        <v>83</v>
      </c>
      <c r="C105" s="9"/>
      <c r="D105" s="13">
        <f t="shared" si="2"/>
        <v>0</v>
      </c>
    </row>
    <row r="106" spans="1:6" x14ac:dyDescent="0.2">
      <c r="A106" s="55" t="s">
        <v>37</v>
      </c>
      <c r="B106" s="55"/>
      <c r="C106" s="55"/>
      <c r="D106" s="19">
        <f>SUM(D100:D105)</f>
        <v>10.86</v>
      </c>
      <c r="E106" s="17"/>
      <c r="F106" s="17"/>
    </row>
    <row r="109" spans="1:6" x14ac:dyDescent="0.2">
      <c r="A109" s="66" t="s">
        <v>84</v>
      </c>
      <c r="B109" s="66"/>
      <c r="C109" s="66"/>
      <c r="D109" s="66"/>
    </row>
    <row r="110" spans="1:6" x14ac:dyDescent="0.2">
      <c r="A110" s="3"/>
    </row>
    <row r="111" spans="1:6" x14ac:dyDescent="0.2">
      <c r="A111" s="30" t="s">
        <v>52</v>
      </c>
      <c r="B111" s="65" t="s">
        <v>85</v>
      </c>
      <c r="C111" s="65"/>
      <c r="D111" s="30" t="s">
        <v>3</v>
      </c>
    </row>
    <row r="112" spans="1:6" x14ac:dyDescent="0.2">
      <c r="A112" s="32" t="s">
        <v>4</v>
      </c>
      <c r="B112" s="60" t="s">
        <v>86</v>
      </c>
      <c r="C112" s="61"/>
      <c r="D112" s="13">
        <f>((D35+D79+D91)/220)*22*0</f>
        <v>0</v>
      </c>
    </row>
    <row r="113" spans="1:4" x14ac:dyDescent="0.2">
      <c r="A113" s="55" t="s">
        <v>16</v>
      </c>
      <c r="B113" s="55"/>
      <c r="C113" s="55"/>
      <c r="D113" s="19">
        <f>SUM(D112)</f>
        <v>0</v>
      </c>
    </row>
    <row r="116" spans="1:4" x14ac:dyDescent="0.2">
      <c r="A116" s="66" t="s">
        <v>53</v>
      </c>
      <c r="B116" s="66"/>
      <c r="C116" s="66"/>
      <c r="D116" s="66"/>
    </row>
    <row r="117" spans="1:4" x14ac:dyDescent="0.2">
      <c r="A117" s="3"/>
    </row>
    <row r="118" spans="1:4" x14ac:dyDescent="0.2">
      <c r="A118" s="30">
        <v>4</v>
      </c>
      <c r="B118" s="55" t="s">
        <v>54</v>
      </c>
      <c r="C118" s="55"/>
      <c r="D118" s="30" t="s">
        <v>3</v>
      </c>
    </row>
    <row r="119" spans="1:4" x14ac:dyDescent="0.2">
      <c r="A119" s="32" t="s">
        <v>51</v>
      </c>
      <c r="B119" s="56" t="s">
        <v>77</v>
      </c>
      <c r="C119" s="56"/>
      <c r="D119" s="14">
        <f>D106</f>
        <v>10.86</v>
      </c>
    </row>
    <row r="120" spans="1:4" x14ac:dyDescent="0.2">
      <c r="A120" s="32" t="s">
        <v>52</v>
      </c>
      <c r="B120" s="56" t="s">
        <v>85</v>
      </c>
      <c r="C120" s="56"/>
      <c r="D120" s="14">
        <f>D113</f>
        <v>0</v>
      </c>
    </row>
    <row r="121" spans="1:4" x14ac:dyDescent="0.2">
      <c r="A121" s="55" t="s">
        <v>16</v>
      </c>
      <c r="B121" s="55"/>
      <c r="C121" s="55"/>
      <c r="D121" s="19">
        <f>SUM(D119:D120)</f>
        <v>10.86</v>
      </c>
    </row>
    <row r="124" spans="1:4" x14ac:dyDescent="0.2">
      <c r="A124" s="57" t="s">
        <v>55</v>
      </c>
      <c r="B124" s="57"/>
      <c r="C124" s="57"/>
      <c r="D124" s="57"/>
    </row>
    <row r="126" spans="1:4" x14ac:dyDescent="0.2">
      <c r="A126" s="30">
        <v>5</v>
      </c>
      <c r="B126" s="62" t="s">
        <v>56</v>
      </c>
      <c r="C126" s="62"/>
      <c r="D126" s="30" t="s">
        <v>3</v>
      </c>
    </row>
    <row r="127" spans="1:4" x14ac:dyDescent="0.2">
      <c r="A127" s="32" t="s">
        <v>4</v>
      </c>
      <c r="B127" s="29" t="s">
        <v>57</v>
      </c>
      <c r="C127" s="29"/>
      <c r="D127" s="13">
        <v>4.8899999999999997</v>
      </c>
    </row>
    <row r="128" spans="1:4" x14ac:dyDescent="0.2">
      <c r="A128" s="32" t="s">
        <v>6</v>
      </c>
      <c r="B128" s="29" t="s">
        <v>58</v>
      </c>
      <c r="C128" s="29"/>
      <c r="D128" s="13">
        <v>76.5</v>
      </c>
    </row>
    <row r="129" spans="1:4" x14ac:dyDescent="0.2">
      <c r="A129" s="32" t="s">
        <v>8</v>
      </c>
      <c r="B129" s="29" t="s">
        <v>59</v>
      </c>
      <c r="C129" s="29"/>
      <c r="D129" s="13">
        <v>11.72</v>
      </c>
    </row>
    <row r="130" spans="1:4" x14ac:dyDescent="0.2">
      <c r="A130" s="38" t="s">
        <v>10</v>
      </c>
      <c r="B130" s="39" t="s">
        <v>128</v>
      </c>
      <c r="C130" s="39"/>
      <c r="D130" s="13">
        <v>0.33</v>
      </c>
    </row>
    <row r="131" spans="1:4" x14ac:dyDescent="0.2">
      <c r="A131" s="32" t="s">
        <v>12</v>
      </c>
      <c r="B131" s="29" t="s">
        <v>130</v>
      </c>
      <c r="C131" s="29"/>
      <c r="D131" s="13">
        <v>150</v>
      </c>
    </row>
    <row r="132" spans="1:4" x14ac:dyDescent="0.2">
      <c r="A132" s="55" t="s">
        <v>37</v>
      </c>
      <c r="B132" s="55"/>
      <c r="C132" s="55"/>
      <c r="D132" s="20">
        <f>SUM(D127:D131)</f>
        <v>243.44</v>
      </c>
    </row>
    <row r="135" spans="1:4" x14ac:dyDescent="0.2">
      <c r="A135" s="57" t="s">
        <v>60</v>
      </c>
      <c r="B135" s="57"/>
      <c r="C135" s="57"/>
      <c r="D135" s="57"/>
    </row>
    <row r="137" spans="1:4" x14ac:dyDescent="0.2">
      <c r="A137" s="30">
        <v>6</v>
      </c>
      <c r="B137" s="31" t="s">
        <v>61</v>
      </c>
      <c r="C137" s="30" t="s">
        <v>26</v>
      </c>
      <c r="D137" s="30" t="s">
        <v>3</v>
      </c>
    </row>
    <row r="138" spans="1:4" x14ac:dyDescent="0.2">
      <c r="A138" s="32" t="s">
        <v>4</v>
      </c>
      <c r="B138" s="29" t="s">
        <v>62</v>
      </c>
      <c r="C138" s="9">
        <v>0.05</v>
      </c>
      <c r="D138" s="14">
        <f>D158*C138</f>
        <v>501.75500000000005</v>
      </c>
    </row>
    <row r="139" spans="1:4" x14ac:dyDescent="0.2">
      <c r="A139" s="32" t="s">
        <v>6</v>
      </c>
      <c r="B139" s="29" t="s">
        <v>63</v>
      </c>
      <c r="C139" s="9">
        <v>0.06</v>
      </c>
      <c r="D139" s="13">
        <f>(D158+D138)*C139</f>
        <v>632.21129999999994</v>
      </c>
    </row>
    <row r="140" spans="1:4" x14ac:dyDescent="0.2">
      <c r="A140" s="32" t="s">
        <v>8</v>
      </c>
      <c r="B140" s="29" t="s">
        <v>64</v>
      </c>
      <c r="C140" s="12">
        <f>SUM(C141:C146)</f>
        <v>8.6499999999999994E-2</v>
      </c>
      <c r="D140" s="13">
        <f>(D158+D138+D139)*C140/(1-C140)</f>
        <v>1057.6072632183907</v>
      </c>
    </row>
    <row r="141" spans="1:4" x14ac:dyDescent="0.2">
      <c r="A141" s="32"/>
      <c r="B141" s="29" t="s">
        <v>65</v>
      </c>
      <c r="C141" s="9"/>
      <c r="D141" s="14">
        <f>$D$160*C141</f>
        <v>0</v>
      </c>
    </row>
    <row r="142" spans="1:4" x14ac:dyDescent="0.2">
      <c r="A142" s="32"/>
      <c r="B142" s="29" t="s">
        <v>94</v>
      </c>
      <c r="C142" s="9">
        <v>6.4999999999999997E-3</v>
      </c>
      <c r="D142" s="14">
        <f t="shared" ref="D142:D146" si="3">$D$160*C142</f>
        <v>79.473354999999998</v>
      </c>
    </row>
    <row r="143" spans="1:4" x14ac:dyDescent="0.2">
      <c r="A143" s="32"/>
      <c r="B143" s="29" t="s">
        <v>95</v>
      </c>
      <c r="C143" s="9">
        <v>0.03</v>
      </c>
      <c r="D143" s="14">
        <f t="shared" si="3"/>
        <v>366.80009999999999</v>
      </c>
    </row>
    <row r="144" spans="1:4" x14ac:dyDescent="0.2">
      <c r="A144" s="32"/>
      <c r="B144" s="29" t="s">
        <v>66</v>
      </c>
      <c r="C144" s="32"/>
      <c r="D144" s="14">
        <f t="shared" si="3"/>
        <v>0</v>
      </c>
    </row>
    <row r="145" spans="1:4" x14ac:dyDescent="0.2">
      <c r="A145" s="32"/>
      <c r="B145" s="29" t="s">
        <v>67</v>
      </c>
      <c r="C145" s="9"/>
      <c r="D145" s="14">
        <f t="shared" si="3"/>
        <v>0</v>
      </c>
    </row>
    <row r="146" spans="1:4" x14ac:dyDescent="0.2">
      <c r="A146" s="32"/>
      <c r="B146" s="29" t="s">
        <v>96</v>
      </c>
      <c r="C146" s="9">
        <v>0.05</v>
      </c>
      <c r="D146" s="14">
        <f t="shared" si="3"/>
        <v>611.33350000000007</v>
      </c>
    </row>
    <row r="147" spans="1:4" ht="13.5" x14ac:dyDescent="0.2">
      <c r="A147" s="63" t="s">
        <v>37</v>
      </c>
      <c r="B147" s="64"/>
      <c r="C147" s="21">
        <f>(1+C139)*(1+C138)/(1-C140)-1</f>
        <v>0.21839080459770144</v>
      </c>
      <c r="D147" s="19">
        <f>SUM(D138:D140)</f>
        <v>2191.5735632183905</v>
      </c>
    </row>
    <row r="150" spans="1:4" x14ac:dyDescent="0.2">
      <c r="A150" s="57" t="s">
        <v>106</v>
      </c>
      <c r="B150" s="57"/>
      <c r="C150" s="57"/>
      <c r="D150" s="57"/>
    </row>
    <row r="152" spans="1:4" x14ac:dyDescent="0.2">
      <c r="A152" s="30"/>
      <c r="B152" s="55" t="s">
        <v>68</v>
      </c>
      <c r="C152" s="55"/>
      <c r="D152" s="30" t="s">
        <v>3</v>
      </c>
    </row>
    <row r="153" spans="1:4" x14ac:dyDescent="0.2">
      <c r="A153" s="30" t="s">
        <v>4</v>
      </c>
      <c r="B153" s="56" t="s">
        <v>1</v>
      </c>
      <c r="C153" s="56"/>
      <c r="D153" s="22">
        <f>D35</f>
        <v>5379.46</v>
      </c>
    </row>
    <row r="154" spans="1:4" x14ac:dyDescent="0.2">
      <c r="A154" s="30" t="s">
        <v>6</v>
      </c>
      <c r="B154" s="56" t="s">
        <v>17</v>
      </c>
      <c r="C154" s="56"/>
      <c r="D154" s="22">
        <f>D79</f>
        <v>4070</v>
      </c>
    </row>
    <row r="155" spans="1:4" x14ac:dyDescent="0.2">
      <c r="A155" s="30" t="s">
        <v>8</v>
      </c>
      <c r="B155" s="56" t="s">
        <v>45</v>
      </c>
      <c r="C155" s="56"/>
      <c r="D155" s="22">
        <f>D91</f>
        <v>331.34000000000003</v>
      </c>
    </row>
    <row r="156" spans="1:4" x14ac:dyDescent="0.2">
      <c r="A156" s="30" t="s">
        <v>10</v>
      </c>
      <c r="B156" s="56" t="s">
        <v>50</v>
      </c>
      <c r="C156" s="56"/>
      <c r="D156" s="22">
        <f>D121</f>
        <v>10.86</v>
      </c>
    </row>
    <row r="157" spans="1:4" x14ac:dyDescent="0.2">
      <c r="A157" s="30" t="s">
        <v>12</v>
      </c>
      <c r="B157" s="56" t="s">
        <v>55</v>
      </c>
      <c r="C157" s="56"/>
      <c r="D157" s="22">
        <f>D132</f>
        <v>243.44</v>
      </c>
    </row>
    <row r="158" spans="1:4" x14ac:dyDescent="0.2">
      <c r="A158" s="55" t="s">
        <v>93</v>
      </c>
      <c r="B158" s="55"/>
      <c r="C158" s="55"/>
      <c r="D158" s="23">
        <f>SUM(D153:D157)</f>
        <v>10035.1</v>
      </c>
    </row>
    <row r="159" spans="1:4" x14ac:dyDescent="0.2">
      <c r="A159" s="30" t="s">
        <v>32</v>
      </c>
      <c r="B159" s="56" t="s">
        <v>69</v>
      </c>
      <c r="C159" s="56"/>
      <c r="D159" s="24">
        <f>D147</f>
        <v>2191.5735632183905</v>
      </c>
    </row>
    <row r="160" spans="1:4" x14ac:dyDescent="0.2">
      <c r="A160" s="55" t="s">
        <v>70</v>
      </c>
      <c r="B160" s="55"/>
      <c r="C160" s="55"/>
      <c r="D160" s="23">
        <f>ROUND(SUM(D158:D159),2)</f>
        <v>12226.67</v>
      </c>
    </row>
  </sheetData>
  <mergeCells count="75">
    <mergeCell ref="A158:C158"/>
    <mergeCell ref="B159:C159"/>
    <mergeCell ref="A160:C160"/>
    <mergeCell ref="B152:C152"/>
    <mergeCell ref="B153:C153"/>
    <mergeCell ref="B154:C154"/>
    <mergeCell ref="B155:C155"/>
    <mergeCell ref="B156:C156"/>
    <mergeCell ref="B157:C157"/>
    <mergeCell ref="A150:D150"/>
    <mergeCell ref="A113:C113"/>
    <mergeCell ref="A116:D116"/>
    <mergeCell ref="B118:C118"/>
    <mergeCell ref="B119:C119"/>
    <mergeCell ref="B120:C120"/>
    <mergeCell ref="A121:C121"/>
    <mergeCell ref="A124:D124"/>
    <mergeCell ref="B126:C126"/>
    <mergeCell ref="A132:C132"/>
    <mergeCell ref="A135:D135"/>
    <mergeCell ref="A147:B147"/>
    <mergeCell ref="B112:C112"/>
    <mergeCell ref="B78:C78"/>
    <mergeCell ref="A79:C79"/>
    <mergeCell ref="A82:D82"/>
    <mergeCell ref="B84:C84"/>
    <mergeCell ref="A91:C91"/>
    <mergeCell ref="A94:D94"/>
    <mergeCell ref="A97:D97"/>
    <mergeCell ref="B99:C99"/>
    <mergeCell ref="A106:C106"/>
    <mergeCell ref="A109:D109"/>
    <mergeCell ref="B111:C111"/>
    <mergeCell ref="B77:C77"/>
    <mergeCell ref="A62:D62"/>
    <mergeCell ref="B64:C64"/>
    <mergeCell ref="B65:C65"/>
    <mergeCell ref="B66:C66"/>
    <mergeCell ref="B67:C67"/>
    <mergeCell ref="B68:C68"/>
    <mergeCell ref="B69:C69"/>
    <mergeCell ref="A70:C70"/>
    <mergeCell ref="A73:D73"/>
    <mergeCell ref="B75:C75"/>
    <mergeCell ref="B76:C76"/>
    <mergeCell ref="A59:B59"/>
    <mergeCell ref="B30:C30"/>
    <mergeCell ref="B31:C31"/>
    <mergeCell ref="B32:C32"/>
    <mergeCell ref="B33:C33"/>
    <mergeCell ref="B34:C34"/>
    <mergeCell ref="A35:C35"/>
    <mergeCell ref="A38:D38"/>
    <mergeCell ref="A40:D40"/>
    <mergeCell ref="B42:C42"/>
    <mergeCell ref="A45:B45"/>
    <mergeCell ref="A48:D48"/>
    <mergeCell ref="B29:C29"/>
    <mergeCell ref="A14:B14"/>
    <mergeCell ref="A15:B15"/>
    <mergeCell ref="A17:D17"/>
    <mergeCell ref="C19:D19"/>
    <mergeCell ref="C20:D20"/>
    <mergeCell ref="C21:D21"/>
    <mergeCell ref="C22:D22"/>
    <mergeCell ref="C23:D23"/>
    <mergeCell ref="A25:D25"/>
    <mergeCell ref="B27:C27"/>
    <mergeCell ref="B28:C28"/>
    <mergeCell ref="A12:D12"/>
    <mergeCell ref="A1:D1"/>
    <mergeCell ref="A3:D3"/>
    <mergeCell ref="A5:D5"/>
    <mergeCell ref="B9:C9"/>
    <mergeCell ref="B10:C10"/>
  </mergeCells>
  <pageMargins left="0.51181102362204722" right="0.51181102362204722" top="0.78740157480314965" bottom="0.78740157480314965" header="0.31496062992125984" footer="0.31496062992125984"/>
  <pageSetup paperSize="9" scale="84" fitToHeight="0" orientation="portrait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0"/>
  <sheetViews>
    <sheetView topLeftCell="A79" zoomScale="115" zoomScaleNormal="115" workbookViewId="0">
      <selection activeCell="D132" sqref="D132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68" t="s">
        <v>0</v>
      </c>
      <c r="B1" s="68"/>
      <c r="C1" s="68"/>
      <c r="D1" s="68"/>
    </row>
    <row r="2" spans="1:4" ht="15.75" x14ac:dyDescent="0.25">
      <c r="A2" s="26"/>
      <c r="B2" s="26"/>
      <c r="C2" s="26"/>
      <c r="D2" s="26"/>
    </row>
    <row r="3" spans="1:4" x14ac:dyDescent="0.2">
      <c r="A3" s="57" t="s">
        <v>104</v>
      </c>
      <c r="B3" s="57"/>
      <c r="C3" s="57"/>
      <c r="D3" s="57"/>
    </row>
    <row r="4" spans="1:4" x14ac:dyDescent="0.2">
      <c r="A4" s="2"/>
      <c r="B4" s="2"/>
      <c r="C4" s="2"/>
      <c r="D4" s="2"/>
    </row>
    <row r="5" spans="1:4" x14ac:dyDescent="0.2">
      <c r="A5" s="48" t="s">
        <v>105</v>
      </c>
      <c r="B5" s="49"/>
      <c r="C5" s="49"/>
      <c r="D5" s="50"/>
    </row>
    <row r="6" spans="1:4" x14ac:dyDescent="0.2">
      <c r="A6" s="33" t="s">
        <v>4</v>
      </c>
      <c r="B6" s="34" t="s">
        <v>99</v>
      </c>
      <c r="C6" s="35"/>
      <c r="D6" s="36" t="s">
        <v>107</v>
      </c>
    </row>
    <row r="7" spans="1:4" x14ac:dyDescent="0.2">
      <c r="A7" s="33" t="s">
        <v>6</v>
      </c>
      <c r="B7" s="34" t="s">
        <v>100</v>
      </c>
      <c r="C7" s="35"/>
      <c r="D7" s="36" t="s">
        <v>108</v>
      </c>
    </row>
    <row r="8" spans="1:4" x14ac:dyDescent="0.2">
      <c r="A8" s="33" t="s">
        <v>8</v>
      </c>
      <c r="B8" s="34" t="s">
        <v>101</v>
      </c>
      <c r="C8" s="35"/>
      <c r="D8" s="37">
        <v>45629</v>
      </c>
    </row>
    <row r="9" spans="1:4" x14ac:dyDescent="0.2">
      <c r="A9" s="33" t="s">
        <v>10</v>
      </c>
      <c r="B9" s="58" t="s">
        <v>109</v>
      </c>
      <c r="C9" s="59"/>
      <c r="D9" s="36" t="s">
        <v>102</v>
      </c>
    </row>
    <row r="10" spans="1:4" x14ac:dyDescent="0.2">
      <c r="A10" s="33" t="s">
        <v>12</v>
      </c>
      <c r="B10" s="58" t="s">
        <v>110</v>
      </c>
      <c r="C10" s="59"/>
      <c r="D10" s="36" t="s">
        <v>103</v>
      </c>
    </row>
    <row r="12" spans="1:4" x14ac:dyDescent="0.2">
      <c r="A12" s="57" t="s">
        <v>87</v>
      </c>
      <c r="B12" s="57"/>
      <c r="C12" s="57"/>
      <c r="D12" s="57"/>
    </row>
    <row r="13" spans="1:4" x14ac:dyDescent="0.2">
      <c r="A13" s="2"/>
      <c r="B13" s="2"/>
      <c r="C13" s="2"/>
      <c r="D13" s="2"/>
    </row>
    <row r="14" spans="1:4" ht="38.25" x14ac:dyDescent="0.2">
      <c r="A14" s="51" t="s">
        <v>88</v>
      </c>
      <c r="B14" s="51"/>
      <c r="C14" s="32" t="s">
        <v>89</v>
      </c>
      <c r="D14" s="27" t="s">
        <v>90</v>
      </c>
    </row>
    <row r="15" spans="1:4" x14ac:dyDescent="0.2">
      <c r="A15" s="52" t="s">
        <v>118</v>
      </c>
      <c r="B15" s="52"/>
      <c r="C15" s="40" t="s">
        <v>112</v>
      </c>
      <c r="D15" s="40">
        <v>2</v>
      </c>
    </row>
    <row r="17" spans="1:4" x14ac:dyDescent="0.2">
      <c r="A17" s="57" t="s">
        <v>71</v>
      </c>
      <c r="B17" s="57"/>
      <c r="C17" s="57"/>
      <c r="D17" s="57"/>
    </row>
    <row r="18" spans="1:4" x14ac:dyDescent="0.2">
      <c r="A18" s="2"/>
      <c r="B18" s="2"/>
      <c r="C18" s="2"/>
      <c r="D18" s="2"/>
    </row>
    <row r="19" spans="1:4" x14ac:dyDescent="0.2">
      <c r="A19" s="5">
        <v>1</v>
      </c>
      <c r="B19" s="5" t="s">
        <v>72</v>
      </c>
      <c r="C19" s="53" t="s">
        <v>118</v>
      </c>
      <c r="D19" s="54"/>
    </row>
    <row r="20" spans="1:4" x14ac:dyDescent="0.2">
      <c r="A20" s="5">
        <v>2</v>
      </c>
      <c r="B20" s="5" t="s">
        <v>91</v>
      </c>
      <c r="C20" s="53" t="s">
        <v>114</v>
      </c>
      <c r="D20" s="54"/>
    </row>
    <row r="21" spans="1:4" x14ac:dyDescent="0.2">
      <c r="A21" s="5">
        <v>3</v>
      </c>
      <c r="B21" s="5" t="s">
        <v>73</v>
      </c>
      <c r="C21" s="53"/>
      <c r="D21" s="54"/>
    </row>
    <row r="22" spans="1:4" x14ac:dyDescent="0.2">
      <c r="A22" s="5">
        <v>4</v>
      </c>
      <c r="B22" s="5" t="s">
        <v>74</v>
      </c>
      <c r="C22" s="53"/>
      <c r="D22" s="54"/>
    </row>
    <row r="23" spans="1:4" x14ac:dyDescent="0.2">
      <c r="A23" s="5">
        <v>5</v>
      </c>
      <c r="B23" s="5" t="s">
        <v>75</v>
      </c>
      <c r="C23" s="53"/>
      <c r="D23" s="54"/>
    </row>
    <row r="25" spans="1:4" x14ac:dyDescent="0.2">
      <c r="A25" s="57" t="s">
        <v>1</v>
      </c>
      <c r="B25" s="57"/>
      <c r="C25" s="57"/>
      <c r="D25" s="57"/>
    </row>
    <row r="27" spans="1:4" x14ac:dyDescent="0.2">
      <c r="A27" s="30">
        <v>1</v>
      </c>
      <c r="B27" s="55" t="s">
        <v>2</v>
      </c>
      <c r="C27" s="55"/>
      <c r="D27" s="30" t="s">
        <v>3</v>
      </c>
    </row>
    <row r="28" spans="1:4" x14ac:dyDescent="0.2">
      <c r="A28" s="32" t="s">
        <v>4</v>
      </c>
      <c r="B28" s="56" t="s">
        <v>5</v>
      </c>
      <c r="C28" s="56"/>
      <c r="D28" s="13">
        <v>2053.34</v>
      </c>
    </row>
    <row r="29" spans="1:4" x14ac:dyDescent="0.2">
      <c r="A29" s="32" t="s">
        <v>6</v>
      </c>
      <c r="B29" s="56" t="s">
        <v>7</v>
      </c>
      <c r="C29" s="56"/>
      <c r="D29" s="13"/>
    </row>
    <row r="30" spans="1:4" x14ac:dyDescent="0.2">
      <c r="A30" s="32" t="s">
        <v>8</v>
      </c>
      <c r="B30" s="56" t="s">
        <v>9</v>
      </c>
      <c r="C30" s="56"/>
      <c r="D30" s="13"/>
    </row>
    <row r="31" spans="1:4" x14ac:dyDescent="0.2">
      <c r="A31" s="32" t="s">
        <v>10</v>
      </c>
      <c r="B31" s="56" t="s">
        <v>11</v>
      </c>
      <c r="C31" s="56"/>
      <c r="D31" s="13"/>
    </row>
    <row r="32" spans="1:4" x14ac:dyDescent="0.2">
      <c r="A32" s="32" t="s">
        <v>12</v>
      </c>
      <c r="B32" s="56" t="s">
        <v>13</v>
      </c>
      <c r="C32" s="56"/>
      <c r="D32" s="13"/>
    </row>
    <row r="33" spans="1:4" x14ac:dyDescent="0.2">
      <c r="A33" s="32"/>
      <c r="B33" s="56"/>
      <c r="C33" s="56"/>
      <c r="D33" s="13"/>
    </row>
    <row r="34" spans="1:4" x14ac:dyDescent="0.2">
      <c r="A34" s="32" t="s">
        <v>14</v>
      </c>
      <c r="B34" s="56" t="s">
        <v>15</v>
      </c>
      <c r="C34" s="56"/>
      <c r="D34" s="13"/>
    </row>
    <row r="35" spans="1:4" x14ac:dyDescent="0.2">
      <c r="A35" s="55" t="s">
        <v>16</v>
      </c>
      <c r="B35" s="55"/>
      <c r="C35" s="55"/>
      <c r="D35" s="20">
        <f>SUM(D28:D34)</f>
        <v>2053.34</v>
      </c>
    </row>
    <row r="38" spans="1:4" x14ac:dyDescent="0.2">
      <c r="A38" s="57" t="s">
        <v>17</v>
      </c>
      <c r="B38" s="57"/>
      <c r="C38" s="57"/>
      <c r="D38" s="57"/>
    </row>
    <row r="39" spans="1:4" x14ac:dyDescent="0.2">
      <c r="A39" s="3"/>
    </row>
    <row r="40" spans="1:4" x14ac:dyDescent="0.2">
      <c r="A40" s="66" t="s">
        <v>18</v>
      </c>
      <c r="B40" s="66"/>
      <c r="C40" s="66"/>
      <c r="D40" s="66"/>
    </row>
    <row r="42" spans="1:4" x14ac:dyDescent="0.2">
      <c r="A42" s="30" t="s">
        <v>19</v>
      </c>
      <c r="B42" s="55" t="s">
        <v>20</v>
      </c>
      <c r="C42" s="55"/>
      <c r="D42" s="30" t="s">
        <v>3</v>
      </c>
    </row>
    <row r="43" spans="1:4" x14ac:dyDescent="0.2">
      <c r="A43" s="32" t="s">
        <v>4</v>
      </c>
      <c r="B43" s="29" t="s">
        <v>21</v>
      </c>
      <c r="C43" s="12">
        <f>TRUNC(1/12,4)</f>
        <v>8.3299999999999999E-2</v>
      </c>
      <c r="D43" s="13">
        <f>TRUNC($D$35*C43,2)</f>
        <v>171.04</v>
      </c>
    </row>
    <row r="44" spans="1:4" x14ac:dyDescent="0.2">
      <c r="A44" s="32" t="s">
        <v>6</v>
      </c>
      <c r="B44" s="29" t="s">
        <v>22</v>
      </c>
      <c r="C44" s="12">
        <f>TRUNC(((1+1/3)/12),4)</f>
        <v>0.1111</v>
      </c>
      <c r="D44" s="13">
        <f>TRUNC($D$35*C44,2)</f>
        <v>228.12</v>
      </c>
    </row>
    <row r="45" spans="1:4" x14ac:dyDescent="0.2">
      <c r="A45" s="55" t="s">
        <v>16</v>
      </c>
      <c r="B45" s="55"/>
      <c r="C45" s="28">
        <f>SUM(C43:C44)</f>
        <v>0.19440000000000002</v>
      </c>
      <c r="D45" s="19">
        <f>SUM(D43:D44)</f>
        <v>399.15999999999997</v>
      </c>
    </row>
    <row r="48" spans="1:4" x14ac:dyDescent="0.2">
      <c r="A48" s="69" t="s">
        <v>23</v>
      </c>
      <c r="B48" s="69"/>
      <c r="C48" s="69"/>
      <c r="D48" s="69"/>
    </row>
    <row r="50" spans="1:4" x14ac:dyDescent="0.2">
      <c r="A50" s="30" t="s">
        <v>24</v>
      </c>
      <c r="B50" s="30" t="s">
        <v>25</v>
      </c>
      <c r="C50" s="30" t="s">
        <v>26</v>
      </c>
      <c r="D50" s="30" t="s">
        <v>3</v>
      </c>
    </row>
    <row r="51" spans="1:4" x14ac:dyDescent="0.2">
      <c r="A51" s="32" t="s">
        <v>4</v>
      </c>
      <c r="B51" s="29" t="s">
        <v>27</v>
      </c>
      <c r="C51" s="9">
        <v>0.2</v>
      </c>
      <c r="D51" s="13">
        <f>TRUNC(($D$35+$D$45)*C51,2)</f>
        <v>490.5</v>
      </c>
    </row>
    <row r="52" spans="1:4" x14ac:dyDescent="0.2">
      <c r="A52" s="32" t="s">
        <v>6</v>
      </c>
      <c r="B52" s="29" t="s">
        <v>28</v>
      </c>
      <c r="C52" s="9">
        <v>2.5000000000000001E-2</v>
      </c>
      <c r="D52" s="13">
        <f t="shared" ref="D52:D58" si="0">TRUNC(($D$35+$D$45)*C52,2)</f>
        <v>61.31</v>
      </c>
    </row>
    <row r="53" spans="1:4" x14ac:dyDescent="0.2">
      <c r="A53" s="32" t="s">
        <v>8</v>
      </c>
      <c r="B53" s="29" t="s">
        <v>29</v>
      </c>
      <c r="C53" s="16">
        <v>0.03</v>
      </c>
      <c r="D53" s="13">
        <f t="shared" si="0"/>
        <v>73.569999999999993</v>
      </c>
    </row>
    <row r="54" spans="1:4" x14ac:dyDescent="0.2">
      <c r="A54" s="32" t="s">
        <v>10</v>
      </c>
      <c r="B54" s="29" t="s">
        <v>30</v>
      </c>
      <c r="C54" s="9">
        <v>1.4999999999999999E-2</v>
      </c>
      <c r="D54" s="13">
        <f t="shared" si="0"/>
        <v>36.78</v>
      </c>
    </row>
    <row r="55" spans="1:4" x14ac:dyDescent="0.2">
      <c r="A55" s="32" t="s">
        <v>12</v>
      </c>
      <c r="B55" s="29" t="s">
        <v>31</v>
      </c>
      <c r="C55" s="9">
        <v>0.01</v>
      </c>
      <c r="D55" s="13">
        <f t="shared" si="0"/>
        <v>24.52</v>
      </c>
    </row>
    <row r="56" spans="1:4" x14ac:dyDescent="0.2">
      <c r="A56" s="32" t="s">
        <v>32</v>
      </c>
      <c r="B56" s="29" t="s">
        <v>33</v>
      </c>
      <c r="C56" s="9">
        <v>6.0000000000000001E-3</v>
      </c>
      <c r="D56" s="13">
        <f t="shared" si="0"/>
        <v>14.71</v>
      </c>
    </row>
    <row r="57" spans="1:4" x14ac:dyDescent="0.2">
      <c r="A57" s="32" t="s">
        <v>14</v>
      </c>
      <c r="B57" s="29" t="s">
        <v>34</v>
      </c>
      <c r="C57" s="9">
        <v>2E-3</v>
      </c>
      <c r="D57" s="13">
        <f t="shared" si="0"/>
        <v>4.9000000000000004</v>
      </c>
    </row>
    <row r="58" spans="1:4" x14ac:dyDescent="0.2">
      <c r="A58" s="32" t="s">
        <v>35</v>
      </c>
      <c r="B58" s="29" t="s">
        <v>36</v>
      </c>
      <c r="C58" s="9">
        <v>0.08</v>
      </c>
      <c r="D58" s="13">
        <f t="shared" si="0"/>
        <v>196.2</v>
      </c>
    </row>
    <row r="59" spans="1:4" x14ac:dyDescent="0.2">
      <c r="A59" s="55" t="s">
        <v>37</v>
      </c>
      <c r="B59" s="55"/>
      <c r="C59" s="15">
        <f>SUM(C51:C58)</f>
        <v>0.36800000000000005</v>
      </c>
      <c r="D59" s="19">
        <f>SUM(D51:D58)</f>
        <v>902.48999999999978</v>
      </c>
    </row>
    <row r="62" spans="1:4" x14ac:dyDescent="0.2">
      <c r="A62" s="66" t="s">
        <v>38</v>
      </c>
      <c r="B62" s="66"/>
      <c r="C62" s="66"/>
      <c r="D62" s="66"/>
    </row>
    <row r="64" spans="1:4" x14ac:dyDescent="0.2">
      <c r="A64" s="30" t="s">
        <v>39</v>
      </c>
      <c r="B64" s="65" t="s">
        <v>40</v>
      </c>
      <c r="C64" s="65"/>
      <c r="D64" s="30" t="s">
        <v>3</v>
      </c>
    </row>
    <row r="65" spans="1:5" x14ac:dyDescent="0.2">
      <c r="A65" s="32" t="s">
        <v>4</v>
      </c>
      <c r="B65" s="56" t="s">
        <v>41</v>
      </c>
      <c r="C65" s="56"/>
      <c r="D65" s="13">
        <f>IF((22*2*5.6)-(D28*0.06)&gt;0,(22*2*5.6)-(D28*0.06),0)</f>
        <v>123.19959999999998</v>
      </c>
    </row>
    <row r="66" spans="1:5" x14ac:dyDescent="0.2">
      <c r="A66" s="32" t="s">
        <v>6</v>
      </c>
      <c r="B66" s="56" t="s">
        <v>42</v>
      </c>
      <c r="C66" s="56"/>
      <c r="D66" s="13">
        <f>20*22*0.8</f>
        <v>352</v>
      </c>
    </row>
    <row r="67" spans="1:5" x14ac:dyDescent="0.2">
      <c r="A67" s="32" t="s">
        <v>8</v>
      </c>
      <c r="B67" s="56" t="s">
        <v>115</v>
      </c>
      <c r="C67" s="56"/>
      <c r="D67" s="13">
        <v>280</v>
      </c>
    </row>
    <row r="68" spans="1:5" x14ac:dyDescent="0.2">
      <c r="A68" s="32" t="s">
        <v>10</v>
      </c>
      <c r="B68" s="56" t="s">
        <v>116</v>
      </c>
      <c r="C68" s="56"/>
      <c r="D68" s="13">
        <v>23</v>
      </c>
    </row>
    <row r="69" spans="1:5" x14ac:dyDescent="0.2">
      <c r="A69" s="32" t="s">
        <v>12</v>
      </c>
      <c r="B69" s="56" t="s">
        <v>117</v>
      </c>
      <c r="C69" s="56"/>
      <c r="D69" s="13">
        <v>4.8</v>
      </c>
    </row>
    <row r="70" spans="1:5" x14ac:dyDescent="0.2">
      <c r="A70" s="55" t="s">
        <v>16</v>
      </c>
      <c r="B70" s="55"/>
      <c r="C70" s="55"/>
      <c r="D70" s="19">
        <f>SUM(D65:D69)</f>
        <v>782.99959999999987</v>
      </c>
    </row>
    <row r="73" spans="1:5" x14ac:dyDescent="0.2">
      <c r="A73" s="66" t="s">
        <v>43</v>
      </c>
      <c r="B73" s="66"/>
      <c r="C73" s="66"/>
      <c r="D73" s="66"/>
    </row>
    <row r="75" spans="1:5" x14ac:dyDescent="0.2">
      <c r="A75" s="30">
        <v>2</v>
      </c>
      <c r="B75" s="65" t="s">
        <v>44</v>
      </c>
      <c r="C75" s="65"/>
      <c r="D75" s="30" t="s">
        <v>3</v>
      </c>
    </row>
    <row r="76" spans="1:5" x14ac:dyDescent="0.2">
      <c r="A76" s="32" t="s">
        <v>19</v>
      </c>
      <c r="B76" s="56" t="s">
        <v>20</v>
      </c>
      <c r="C76" s="56"/>
      <c r="D76" s="14">
        <f>D45</f>
        <v>399.15999999999997</v>
      </c>
    </row>
    <row r="77" spans="1:5" x14ac:dyDescent="0.2">
      <c r="A77" s="32" t="s">
        <v>24</v>
      </c>
      <c r="B77" s="56" t="s">
        <v>25</v>
      </c>
      <c r="C77" s="56"/>
      <c r="D77" s="14">
        <f>D59</f>
        <v>902.48999999999978</v>
      </c>
    </row>
    <row r="78" spans="1:5" x14ac:dyDescent="0.2">
      <c r="A78" s="32" t="s">
        <v>39</v>
      </c>
      <c r="B78" s="56" t="s">
        <v>40</v>
      </c>
      <c r="C78" s="56"/>
      <c r="D78" s="14">
        <f>D70</f>
        <v>782.99959999999987</v>
      </c>
    </row>
    <row r="79" spans="1:5" x14ac:dyDescent="0.2">
      <c r="A79" s="55" t="s">
        <v>16</v>
      </c>
      <c r="B79" s="55"/>
      <c r="C79" s="55"/>
      <c r="D79" s="19">
        <f>SUM(D76:D78)</f>
        <v>2084.6495999999997</v>
      </c>
    </row>
    <row r="80" spans="1:5" x14ac:dyDescent="0.2">
      <c r="A80" s="4"/>
      <c r="E80" s="18"/>
    </row>
    <row r="82" spans="1:5" x14ac:dyDescent="0.2">
      <c r="A82" s="57" t="s">
        <v>45</v>
      </c>
      <c r="B82" s="57"/>
      <c r="C82" s="57"/>
      <c r="D82" s="57"/>
      <c r="E82" s="17"/>
    </row>
    <row r="83" spans="1:5" ht="12.75" customHeight="1" x14ac:dyDescent="0.2">
      <c r="E83" s="18"/>
    </row>
    <row r="84" spans="1:5" x14ac:dyDescent="0.2">
      <c r="A84" s="30">
        <v>3</v>
      </c>
      <c r="B84" s="65" t="s">
        <v>46</v>
      </c>
      <c r="C84" s="65"/>
      <c r="D84" s="30" t="s">
        <v>3</v>
      </c>
    </row>
    <row r="85" spans="1:5" x14ac:dyDescent="0.2">
      <c r="A85" s="32" t="s">
        <v>4</v>
      </c>
      <c r="B85" s="10" t="s">
        <v>47</v>
      </c>
      <c r="C85" s="9">
        <f>TRUNC(((1/12)*5%),4)</f>
        <v>4.1000000000000003E-3</v>
      </c>
      <c r="D85" s="13">
        <f>TRUNC($D$35*C85,2)</f>
        <v>8.41</v>
      </c>
    </row>
    <row r="86" spans="1:5" x14ac:dyDescent="0.2">
      <c r="A86" s="32" t="s">
        <v>6</v>
      </c>
      <c r="B86" s="10" t="s">
        <v>48</v>
      </c>
      <c r="C86" s="9">
        <v>0.08</v>
      </c>
      <c r="D86" s="13">
        <f>TRUNC(D85*C86,2)</f>
        <v>0.67</v>
      </c>
    </row>
    <row r="87" spans="1:5" x14ac:dyDescent="0.2">
      <c r="A87" s="32" t="s">
        <v>8</v>
      </c>
      <c r="B87" s="10" t="s">
        <v>97</v>
      </c>
      <c r="C87" s="9">
        <f>TRUNC(8%*5%*40%,4)</f>
        <v>1.6000000000000001E-3</v>
      </c>
      <c r="D87" s="13">
        <f>TRUNC($D$35*C87,2)</f>
        <v>3.28</v>
      </c>
    </row>
    <row r="88" spans="1:5" x14ac:dyDescent="0.2">
      <c r="A88" s="32" t="s">
        <v>10</v>
      </c>
      <c r="B88" s="10" t="s">
        <v>49</v>
      </c>
      <c r="C88" s="9">
        <f>TRUNC(((7/30)/12)*95%,4)</f>
        <v>1.84E-2</v>
      </c>
      <c r="D88" s="13">
        <f>TRUNC($D$35*C88,2)</f>
        <v>37.78</v>
      </c>
    </row>
    <row r="89" spans="1:5" ht="25.5" x14ac:dyDescent="0.2">
      <c r="A89" s="32" t="s">
        <v>12</v>
      </c>
      <c r="B89" s="10" t="s">
        <v>92</v>
      </c>
      <c r="C89" s="9">
        <f>C59</f>
        <v>0.36800000000000005</v>
      </c>
      <c r="D89" s="13">
        <f>TRUNC(D88*C89,2)</f>
        <v>13.9</v>
      </c>
    </row>
    <row r="90" spans="1:5" x14ac:dyDescent="0.2">
      <c r="A90" s="32" t="s">
        <v>32</v>
      </c>
      <c r="B90" s="10" t="s">
        <v>98</v>
      </c>
      <c r="C90" s="9">
        <f>TRUNC(8%*95%*40%,4)</f>
        <v>3.04E-2</v>
      </c>
      <c r="D90" s="13">
        <f t="shared" ref="D90" si="1">TRUNC($D$35*C90,2)</f>
        <v>62.42</v>
      </c>
    </row>
    <row r="91" spans="1:5" x14ac:dyDescent="0.2">
      <c r="A91" s="63" t="s">
        <v>16</v>
      </c>
      <c r="B91" s="64"/>
      <c r="C91" s="67"/>
      <c r="D91" s="19">
        <f>SUM(D85:D90)</f>
        <v>126.46000000000001</v>
      </c>
    </row>
    <row r="94" spans="1:5" x14ac:dyDescent="0.2">
      <c r="A94" s="57" t="s">
        <v>50</v>
      </c>
      <c r="B94" s="57"/>
      <c r="C94" s="57"/>
      <c r="D94" s="57"/>
    </row>
    <row r="97" spans="1:6" x14ac:dyDescent="0.2">
      <c r="A97" s="66" t="s">
        <v>76</v>
      </c>
      <c r="B97" s="66"/>
      <c r="C97" s="66"/>
      <c r="D97" s="66"/>
    </row>
    <row r="98" spans="1:6" x14ac:dyDescent="0.2">
      <c r="A98" s="3"/>
    </row>
    <row r="99" spans="1:6" x14ac:dyDescent="0.2">
      <c r="A99" s="30" t="s">
        <v>51</v>
      </c>
      <c r="B99" s="65" t="s">
        <v>77</v>
      </c>
      <c r="C99" s="65"/>
      <c r="D99" s="30" t="s">
        <v>3</v>
      </c>
    </row>
    <row r="100" spans="1:6" x14ac:dyDescent="0.2">
      <c r="A100" s="32" t="s">
        <v>4</v>
      </c>
      <c r="B100" s="29" t="s">
        <v>78</v>
      </c>
      <c r="C100" s="9">
        <f>TRUNC(((1+1/3)/12)/12,4)</f>
        <v>9.1999999999999998E-3</v>
      </c>
      <c r="D100" s="13">
        <f>TRUNC(($D$35+$D$79+$D$91)*C100,2)</f>
        <v>39.229999999999997</v>
      </c>
    </row>
    <row r="101" spans="1:6" x14ac:dyDescent="0.2">
      <c r="A101" s="32" t="s">
        <v>6</v>
      </c>
      <c r="B101" s="29" t="s">
        <v>79</v>
      </c>
      <c r="C101" s="9">
        <f>TRUNC(((2/30)/12),4)</f>
        <v>5.4999999999999997E-3</v>
      </c>
      <c r="D101" s="13">
        <f t="shared" ref="D101:D105" si="2">TRUNC(($D$35+$D$79+$D$91)*C101,2)</f>
        <v>23.45</v>
      </c>
    </row>
    <row r="102" spans="1:6" x14ac:dyDescent="0.2">
      <c r="A102" s="32" t="s">
        <v>8</v>
      </c>
      <c r="B102" s="29" t="s">
        <v>80</v>
      </c>
      <c r="C102" s="9">
        <f>TRUNC(((5/30)/12)*2%,4)</f>
        <v>2.0000000000000001E-4</v>
      </c>
      <c r="D102" s="13">
        <f t="shared" si="2"/>
        <v>0.85</v>
      </c>
    </row>
    <row r="103" spans="1:6" x14ac:dyDescent="0.2">
      <c r="A103" s="32" t="s">
        <v>10</v>
      </c>
      <c r="B103" s="29" t="s">
        <v>81</v>
      </c>
      <c r="C103" s="9">
        <f>TRUNC(((15/30)/12)*8%,4)</f>
        <v>3.3E-3</v>
      </c>
      <c r="D103" s="13">
        <f t="shared" si="2"/>
        <v>14.07</v>
      </c>
    </row>
    <row r="104" spans="1:6" x14ac:dyDescent="0.2">
      <c r="A104" s="32" t="s">
        <v>12</v>
      </c>
      <c r="B104" s="29" t="s">
        <v>82</v>
      </c>
      <c r="C104" s="9">
        <f>((1+1/3)/12)*3%*(4/12)</f>
        <v>1.1111111111111109E-3</v>
      </c>
      <c r="D104" s="13">
        <f t="shared" si="2"/>
        <v>4.7300000000000004</v>
      </c>
    </row>
    <row r="105" spans="1:6" x14ac:dyDescent="0.2">
      <c r="A105" s="32" t="s">
        <v>32</v>
      </c>
      <c r="B105" s="29" t="s">
        <v>83</v>
      </c>
      <c r="C105" s="9"/>
      <c r="D105" s="13">
        <f t="shared" si="2"/>
        <v>0</v>
      </c>
    </row>
    <row r="106" spans="1:6" x14ac:dyDescent="0.2">
      <c r="A106" s="55" t="s">
        <v>37</v>
      </c>
      <c r="B106" s="55"/>
      <c r="C106" s="55"/>
      <c r="D106" s="19">
        <f>SUM(D100:D105)</f>
        <v>82.33</v>
      </c>
      <c r="E106" s="17"/>
      <c r="F106" s="17"/>
    </row>
    <row r="109" spans="1:6" x14ac:dyDescent="0.2">
      <c r="A109" s="66" t="s">
        <v>84</v>
      </c>
      <c r="B109" s="66"/>
      <c r="C109" s="66"/>
      <c r="D109" s="66"/>
    </row>
    <row r="110" spans="1:6" x14ac:dyDescent="0.2">
      <c r="A110" s="3"/>
    </row>
    <row r="111" spans="1:6" x14ac:dyDescent="0.2">
      <c r="A111" s="30" t="s">
        <v>52</v>
      </c>
      <c r="B111" s="65" t="s">
        <v>85</v>
      </c>
      <c r="C111" s="65"/>
      <c r="D111" s="30" t="s">
        <v>3</v>
      </c>
    </row>
    <row r="112" spans="1:6" x14ac:dyDescent="0.2">
      <c r="A112" s="32" t="s">
        <v>4</v>
      </c>
      <c r="B112" s="60" t="s">
        <v>86</v>
      </c>
      <c r="C112" s="61"/>
      <c r="D112" s="13">
        <f>((D35+D79+D91)/220)*22*0</f>
        <v>0</v>
      </c>
    </row>
    <row r="113" spans="1:4" x14ac:dyDescent="0.2">
      <c r="A113" s="55" t="s">
        <v>16</v>
      </c>
      <c r="B113" s="55"/>
      <c r="C113" s="55"/>
      <c r="D113" s="19">
        <f>SUM(D112)</f>
        <v>0</v>
      </c>
    </row>
    <row r="116" spans="1:4" x14ac:dyDescent="0.2">
      <c r="A116" s="66" t="s">
        <v>53</v>
      </c>
      <c r="B116" s="66"/>
      <c r="C116" s="66"/>
      <c r="D116" s="66"/>
    </row>
    <row r="117" spans="1:4" x14ac:dyDescent="0.2">
      <c r="A117" s="3"/>
    </row>
    <row r="118" spans="1:4" x14ac:dyDescent="0.2">
      <c r="A118" s="30">
        <v>4</v>
      </c>
      <c r="B118" s="55" t="s">
        <v>54</v>
      </c>
      <c r="C118" s="55"/>
      <c r="D118" s="30" t="s">
        <v>3</v>
      </c>
    </row>
    <row r="119" spans="1:4" x14ac:dyDescent="0.2">
      <c r="A119" s="32" t="s">
        <v>51</v>
      </c>
      <c r="B119" s="56" t="s">
        <v>77</v>
      </c>
      <c r="C119" s="56"/>
      <c r="D119" s="14">
        <f>D106</f>
        <v>82.33</v>
      </c>
    </row>
    <row r="120" spans="1:4" x14ac:dyDescent="0.2">
      <c r="A120" s="32" t="s">
        <v>52</v>
      </c>
      <c r="B120" s="56" t="s">
        <v>85</v>
      </c>
      <c r="C120" s="56"/>
      <c r="D120" s="14">
        <f>D113</f>
        <v>0</v>
      </c>
    </row>
    <row r="121" spans="1:4" x14ac:dyDescent="0.2">
      <c r="A121" s="55" t="s">
        <v>16</v>
      </c>
      <c r="B121" s="55"/>
      <c r="C121" s="55"/>
      <c r="D121" s="19">
        <f>SUM(D119:D120)</f>
        <v>82.33</v>
      </c>
    </row>
    <row r="124" spans="1:4" x14ac:dyDescent="0.2">
      <c r="A124" s="57" t="s">
        <v>55</v>
      </c>
      <c r="B124" s="57"/>
      <c r="C124" s="57"/>
      <c r="D124" s="57"/>
    </row>
    <row r="126" spans="1:4" x14ac:dyDescent="0.2">
      <c r="A126" s="30">
        <v>5</v>
      </c>
      <c r="B126" s="62" t="s">
        <v>56</v>
      </c>
      <c r="C126" s="62"/>
      <c r="D126" s="30" t="s">
        <v>3</v>
      </c>
    </row>
    <row r="127" spans="1:4" x14ac:dyDescent="0.2">
      <c r="A127" s="32" t="s">
        <v>4</v>
      </c>
      <c r="B127" s="29" t="s">
        <v>57</v>
      </c>
      <c r="C127" s="29"/>
      <c r="D127" s="13">
        <v>4.8899999999999997</v>
      </c>
    </row>
    <row r="128" spans="1:4" x14ac:dyDescent="0.2">
      <c r="A128" s="32" t="s">
        <v>6</v>
      </c>
      <c r="B128" s="29" t="s">
        <v>58</v>
      </c>
      <c r="C128" s="29"/>
      <c r="D128" s="13">
        <v>76.5</v>
      </c>
    </row>
    <row r="129" spans="1:4" x14ac:dyDescent="0.2">
      <c r="A129" s="32" t="s">
        <v>8</v>
      </c>
      <c r="B129" s="29" t="s">
        <v>59</v>
      </c>
      <c r="C129" s="29"/>
      <c r="D129" s="13">
        <v>5.86</v>
      </c>
    </row>
    <row r="130" spans="1:4" x14ac:dyDescent="0.2">
      <c r="A130" s="38" t="s">
        <v>10</v>
      </c>
      <c r="B130" s="39" t="s">
        <v>128</v>
      </c>
      <c r="C130" s="39"/>
      <c r="D130" s="13">
        <v>0.33</v>
      </c>
    </row>
    <row r="131" spans="1:4" x14ac:dyDescent="0.2">
      <c r="A131" s="32" t="s">
        <v>10</v>
      </c>
      <c r="B131" s="29" t="s">
        <v>129</v>
      </c>
      <c r="C131" s="29"/>
      <c r="D131" s="13">
        <v>187.5</v>
      </c>
    </row>
    <row r="132" spans="1:4" x14ac:dyDescent="0.2">
      <c r="A132" s="55" t="s">
        <v>37</v>
      </c>
      <c r="B132" s="55"/>
      <c r="C132" s="55"/>
      <c r="D132" s="20">
        <f>SUM(D127:D131)</f>
        <v>275.08</v>
      </c>
    </row>
    <row r="135" spans="1:4" x14ac:dyDescent="0.2">
      <c r="A135" s="57" t="s">
        <v>60</v>
      </c>
      <c r="B135" s="57"/>
      <c r="C135" s="57"/>
      <c r="D135" s="57"/>
    </row>
    <row r="137" spans="1:4" x14ac:dyDescent="0.2">
      <c r="A137" s="30">
        <v>6</v>
      </c>
      <c r="B137" s="31" t="s">
        <v>61</v>
      </c>
      <c r="C137" s="30" t="s">
        <v>26</v>
      </c>
      <c r="D137" s="30" t="s">
        <v>3</v>
      </c>
    </row>
    <row r="138" spans="1:4" x14ac:dyDescent="0.2">
      <c r="A138" s="32" t="s">
        <v>4</v>
      </c>
      <c r="B138" s="29" t="s">
        <v>62</v>
      </c>
      <c r="C138" s="9">
        <v>0.05</v>
      </c>
      <c r="D138" s="14">
        <f>D158*C138</f>
        <v>231.09298000000001</v>
      </c>
    </row>
    <row r="139" spans="1:4" x14ac:dyDescent="0.2">
      <c r="A139" s="32" t="s">
        <v>6</v>
      </c>
      <c r="B139" s="29" t="s">
        <v>63</v>
      </c>
      <c r="C139" s="9">
        <v>0.06</v>
      </c>
      <c r="D139" s="13">
        <f>(D158+D138)*C139</f>
        <v>291.17715479999998</v>
      </c>
    </row>
    <row r="140" spans="1:4" x14ac:dyDescent="0.2">
      <c r="A140" s="32" t="s">
        <v>8</v>
      </c>
      <c r="B140" s="29" t="s">
        <v>64</v>
      </c>
      <c r="C140" s="12">
        <f>SUM(C141:C146)</f>
        <v>8.6499999999999994E-2</v>
      </c>
      <c r="D140" s="13">
        <f>(D158+D138+D139)*C140/(1-C140)</f>
        <v>487.10150198160915</v>
      </c>
    </row>
    <row r="141" spans="1:4" x14ac:dyDescent="0.2">
      <c r="A141" s="32"/>
      <c r="B141" s="29" t="s">
        <v>65</v>
      </c>
      <c r="C141" s="9"/>
      <c r="D141" s="14">
        <f>$D$160*C141</f>
        <v>0</v>
      </c>
    </row>
    <row r="142" spans="1:4" x14ac:dyDescent="0.2">
      <c r="A142" s="32"/>
      <c r="B142" s="29" t="s">
        <v>94</v>
      </c>
      <c r="C142" s="9">
        <v>6.4999999999999997E-3</v>
      </c>
      <c r="D142" s="14">
        <f t="shared" ref="D142:D146" si="3">$D$160*C142</f>
        <v>36.602994999999993</v>
      </c>
    </row>
    <row r="143" spans="1:4" x14ac:dyDescent="0.2">
      <c r="A143" s="32"/>
      <c r="B143" s="29" t="s">
        <v>95</v>
      </c>
      <c r="C143" s="9">
        <v>0.03</v>
      </c>
      <c r="D143" s="14">
        <f t="shared" si="3"/>
        <v>168.93689999999998</v>
      </c>
    </row>
    <row r="144" spans="1:4" x14ac:dyDescent="0.2">
      <c r="A144" s="32"/>
      <c r="B144" s="29" t="s">
        <v>66</v>
      </c>
      <c r="C144" s="32"/>
      <c r="D144" s="14">
        <f t="shared" si="3"/>
        <v>0</v>
      </c>
    </row>
    <row r="145" spans="1:4" x14ac:dyDescent="0.2">
      <c r="A145" s="32"/>
      <c r="B145" s="29" t="s">
        <v>67</v>
      </c>
      <c r="C145" s="9"/>
      <c r="D145" s="14">
        <f t="shared" si="3"/>
        <v>0</v>
      </c>
    </row>
    <row r="146" spans="1:4" x14ac:dyDescent="0.2">
      <c r="A146" s="32"/>
      <c r="B146" s="29" t="s">
        <v>96</v>
      </c>
      <c r="C146" s="9">
        <v>0.05</v>
      </c>
      <c r="D146" s="14">
        <f t="shared" si="3"/>
        <v>281.56149999999997</v>
      </c>
    </row>
    <row r="147" spans="1:4" ht="13.5" x14ac:dyDescent="0.2">
      <c r="A147" s="63" t="s">
        <v>37</v>
      </c>
      <c r="B147" s="64"/>
      <c r="C147" s="21">
        <f>(1+C139)*(1+C138)/(1-C140)-1</f>
        <v>0.21839080459770144</v>
      </c>
      <c r="D147" s="19">
        <f>SUM(D138:D140)</f>
        <v>1009.3716367816091</v>
      </c>
    </row>
    <row r="150" spans="1:4" x14ac:dyDescent="0.2">
      <c r="A150" s="57" t="s">
        <v>106</v>
      </c>
      <c r="B150" s="57"/>
      <c r="C150" s="57"/>
      <c r="D150" s="57"/>
    </row>
    <row r="152" spans="1:4" x14ac:dyDescent="0.2">
      <c r="A152" s="30"/>
      <c r="B152" s="55" t="s">
        <v>68</v>
      </c>
      <c r="C152" s="55"/>
      <c r="D152" s="30" t="s">
        <v>3</v>
      </c>
    </row>
    <row r="153" spans="1:4" x14ac:dyDescent="0.2">
      <c r="A153" s="30" t="s">
        <v>4</v>
      </c>
      <c r="B153" s="56" t="s">
        <v>1</v>
      </c>
      <c r="C153" s="56"/>
      <c r="D153" s="22">
        <f>D35</f>
        <v>2053.34</v>
      </c>
    </row>
    <row r="154" spans="1:4" x14ac:dyDescent="0.2">
      <c r="A154" s="30" t="s">
        <v>6</v>
      </c>
      <c r="B154" s="56" t="s">
        <v>17</v>
      </c>
      <c r="C154" s="56"/>
      <c r="D154" s="22">
        <f>D79</f>
        <v>2084.6495999999997</v>
      </c>
    </row>
    <row r="155" spans="1:4" x14ac:dyDescent="0.2">
      <c r="A155" s="30" t="s">
        <v>8</v>
      </c>
      <c r="B155" s="56" t="s">
        <v>45</v>
      </c>
      <c r="C155" s="56"/>
      <c r="D155" s="22">
        <f>D91</f>
        <v>126.46000000000001</v>
      </c>
    </row>
    <row r="156" spans="1:4" x14ac:dyDescent="0.2">
      <c r="A156" s="30" t="s">
        <v>10</v>
      </c>
      <c r="B156" s="56" t="s">
        <v>50</v>
      </c>
      <c r="C156" s="56"/>
      <c r="D156" s="22">
        <f>D121</f>
        <v>82.33</v>
      </c>
    </row>
    <row r="157" spans="1:4" x14ac:dyDescent="0.2">
      <c r="A157" s="30" t="s">
        <v>12</v>
      </c>
      <c r="B157" s="56" t="s">
        <v>55</v>
      </c>
      <c r="C157" s="56"/>
      <c r="D157" s="22">
        <f>D132</f>
        <v>275.08</v>
      </c>
    </row>
    <row r="158" spans="1:4" x14ac:dyDescent="0.2">
      <c r="A158" s="55" t="s">
        <v>93</v>
      </c>
      <c r="B158" s="55"/>
      <c r="C158" s="55"/>
      <c r="D158" s="23">
        <f>SUM(D153:D157)</f>
        <v>4621.8595999999998</v>
      </c>
    </row>
    <row r="159" spans="1:4" x14ac:dyDescent="0.2">
      <c r="A159" s="30" t="s">
        <v>32</v>
      </c>
      <c r="B159" s="56" t="s">
        <v>69</v>
      </c>
      <c r="C159" s="56"/>
      <c r="D159" s="24">
        <f>D147</f>
        <v>1009.3716367816091</v>
      </c>
    </row>
    <row r="160" spans="1:4" x14ac:dyDescent="0.2">
      <c r="A160" s="55" t="s">
        <v>70</v>
      </c>
      <c r="B160" s="55"/>
      <c r="C160" s="55"/>
      <c r="D160" s="23">
        <f>ROUND(SUM(D158:D159),2)</f>
        <v>5631.23</v>
      </c>
    </row>
  </sheetData>
  <mergeCells count="75">
    <mergeCell ref="A158:C158"/>
    <mergeCell ref="B159:C159"/>
    <mergeCell ref="A160:C160"/>
    <mergeCell ref="B152:C152"/>
    <mergeCell ref="B153:C153"/>
    <mergeCell ref="B154:C154"/>
    <mergeCell ref="B155:C155"/>
    <mergeCell ref="B156:C156"/>
    <mergeCell ref="B157:C157"/>
    <mergeCell ref="A150:D150"/>
    <mergeCell ref="A113:C113"/>
    <mergeCell ref="A116:D116"/>
    <mergeCell ref="B118:C118"/>
    <mergeCell ref="B119:C119"/>
    <mergeCell ref="B120:C120"/>
    <mergeCell ref="A121:C121"/>
    <mergeCell ref="A124:D124"/>
    <mergeCell ref="B126:C126"/>
    <mergeCell ref="A132:C132"/>
    <mergeCell ref="A135:D135"/>
    <mergeCell ref="A147:B147"/>
    <mergeCell ref="B112:C112"/>
    <mergeCell ref="B78:C78"/>
    <mergeCell ref="A79:C79"/>
    <mergeCell ref="A82:D82"/>
    <mergeCell ref="B84:C84"/>
    <mergeCell ref="A91:C91"/>
    <mergeCell ref="A94:D94"/>
    <mergeCell ref="A97:D97"/>
    <mergeCell ref="B99:C99"/>
    <mergeCell ref="A106:C106"/>
    <mergeCell ref="A109:D109"/>
    <mergeCell ref="B111:C111"/>
    <mergeCell ref="B77:C77"/>
    <mergeCell ref="A62:D62"/>
    <mergeCell ref="B64:C64"/>
    <mergeCell ref="B65:C65"/>
    <mergeCell ref="B66:C66"/>
    <mergeCell ref="B67:C67"/>
    <mergeCell ref="B68:C68"/>
    <mergeCell ref="B69:C69"/>
    <mergeCell ref="A70:C70"/>
    <mergeCell ref="A73:D73"/>
    <mergeCell ref="B75:C75"/>
    <mergeCell ref="B76:C76"/>
    <mergeCell ref="A59:B59"/>
    <mergeCell ref="B30:C30"/>
    <mergeCell ref="B31:C31"/>
    <mergeCell ref="B32:C32"/>
    <mergeCell ref="B33:C33"/>
    <mergeCell ref="B34:C34"/>
    <mergeCell ref="A35:C35"/>
    <mergeCell ref="A38:D38"/>
    <mergeCell ref="A40:D40"/>
    <mergeCell ref="B42:C42"/>
    <mergeCell ref="A45:B45"/>
    <mergeCell ref="A48:D48"/>
    <mergeCell ref="B29:C29"/>
    <mergeCell ref="A14:B14"/>
    <mergeCell ref="A15:B15"/>
    <mergeCell ref="A17:D17"/>
    <mergeCell ref="C19:D19"/>
    <mergeCell ref="C20:D20"/>
    <mergeCell ref="C21:D21"/>
    <mergeCell ref="C22:D22"/>
    <mergeCell ref="C23:D23"/>
    <mergeCell ref="A25:D25"/>
    <mergeCell ref="B27:C27"/>
    <mergeCell ref="B28:C28"/>
    <mergeCell ref="A12:D12"/>
    <mergeCell ref="A1:D1"/>
    <mergeCell ref="A3:D3"/>
    <mergeCell ref="A5:D5"/>
    <mergeCell ref="B9:C9"/>
    <mergeCell ref="B10:C10"/>
  </mergeCells>
  <pageMargins left="0.51181102362204722" right="0.51181102362204722" top="0.78740157480314965" bottom="0.78740157480314965" header="0.31496062992125984" footer="0.31496062992125984"/>
  <pageSetup paperSize="9" scale="84" fitToHeight="0" orientation="portrait" r:id="rId1"/>
  <headerFooter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"/>
  <sheetViews>
    <sheetView tabSelected="1" view="pageBreakPreview" zoomScaleNormal="100" zoomScaleSheetLayoutView="100" workbookViewId="0">
      <selection activeCell="H15" sqref="H15"/>
    </sheetView>
  </sheetViews>
  <sheetFormatPr defaultRowHeight="15" x14ac:dyDescent="0.25"/>
  <cols>
    <col min="1" max="1" width="10.7109375" style="41" customWidth="1"/>
    <col min="2" max="2" width="30.7109375" style="41" customWidth="1"/>
    <col min="3" max="3" width="15.7109375" style="41" customWidth="1"/>
    <col min="4" max="4" width="10.7109375" style="41" customWidth="1"/>
    <col min="5" max="7" width="15.7109375" style="41" customWidth="1"/>
    <col min="8" max="16384" width="9.140625" style="41"/>
  </cols>
  <sheetData>
    <row r="1" spans="1:7" x14ac:dyDescent="0.25">
      <c r="A1" s="46" t="s">
        <v>119</v>
      </c>
    </row>
    <row r="3" spans="1:7" x14ac:dyDescent="0.25">
      <c r="A3" s="46" t="s">
        <v>120</v>
      </c>
    </row>
    <row r="4" spans="1:7" s="45" customFormat="1" ht="30" x14ac:dyDescent="0.25">
      <c r="A4" s="44" t="s">
        <v>121</v>
      </c>
      <c r="B4" s="44" t="s">
        <v>122</v>
      </c>
      <c r="C4" s="44" t="s">
        <v>123</v>
      </c>
      <c r="D4" s="44" t="s">
        <v>124</v>
      </c>
      <c r="E4" s="44" t="s">
        <v>125</v>
      </c>
      <c r="F4" s="44" t="s">
        <v>126</v>
      </c>
      <c r="G4" s="44" t="s">
        <v>131</v>
      </c>
    </row>
    <row r="5" spans="1:7" x14ac:dyDescent="0.25">
      <c r="A5" s="42">
        <v>1</v>
      </c>
      <c r="B5" s="42" t="str">
        <f>coordenador!A15</f>
        <v>Arquivista Coordenador</v>
      </c>
      <c r="C5" s="43">
        <f>coordenador!D160</f>
        <v>13280.08</v>
      </c>
      <c r="D5" s="42">
        <f>coordenador!D15</f>
        <v>1</v>
      </c>
      <c r="E5" s="43">
        <f>C5*D5</f>
        <v>13280.08</v>
      </c>
      <c r="F5" s="43">
        <f>E5*12</f>
        <v>159360.95999999999</v>
      </c>
      <c r="G5" s="43">
        <f>F5*5</f>
        <v>796804.79999999993</v>
      </c>
    </row>
    <row r="6" spans="1:7" x14ac:dyDescent="0.25">
      <c r="A6" s="42">
        <v>2</v>
      </c>
      <c r="B6" s="42" t="str">
        <f>arquivista!A15</f>
        <v>Arquivista</v>
      </c>
      <c r="C6" s="43">
        <f>arquivista!D160</f>
        <v>12226.67</v>
      </c>
      <c r="D6" s="42">
        <f>arquivista!D15</f>
        <v>1</v>
      </c>
      <c r="E6" s="43">
        <f t="shared" ref="E6" si="0">C6*D6</f>
        <v>12226.67</v>
      </c>
      <c r="F6" s="43">
        <f t="shared" ref="F6" si="1">E6*12</f>
        <v>146720.04</v>
      </c>
      <c r="G6" s="43">
        <f>F6*5</f>
        <v>733600.20000000007</v>
      </c>
    </row>
    <row r="7" spans="1:7" x14ac:dyDescent="0.25">
      <c r="A7" s="70" t="s">
        <v>127</v>
      </c>
      <c r="B7" s="70"/>
      <c r="C7" s="70"/>
      <c r="D7" s="70"/>
      <c r="E7" s="70"/>
      <c r="F7" s="47">
        <f>SUM(F5:F6)</f>
        <v>306081</v>
      </c>
      <c r="G7" s="47">
        <f>SUM(G5:G6)</f>
        <v>1530405</v>
      </c>
    </row>
  </sheetData>
  <mergeCells count="1">
    <mergeCell ref="A7:E7"/>
  </mergeCells>
  <pageMargins left="0.51181102362204722" right="0.51181102362204722" top="1.1417322834645669" bottom="0.78740157480314965" header="0.31496062992125984" footer="0.31496062992125984"/>
  <pageSetup paperSize="9" scale="80" orientation="portrait" r:id="rId1"/>
  <headerFooter>
    <oddHeader>&amp;C&amp;G</oddHeader>
    <oddFooter>&amp;L&amp;"-,Negrito"Documento elaborado em &amp;D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coordenador</vt:lpstr>
      <vt:lpstr>arquivista</vt:lpstr>
      <vt:lpstr>tecnico</vt:lpstr>
      <vt:lpstr>total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cp:lastPrinted>2025-09-15T17:01:45Z</cp:lastPrinted>
  <dcterms:created xsi:type="dcterms:W3CDTF">2019-01-29T18:54:26Z</dcterms:created>
  <dcterms:modified xsi:type="dcterms:W3CDTF">2025-09-30T12:09:36Z</dcterms:modified>
</cp:coreProperties>
</file>