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tabRatio="740" activeTab="7"/>
  </bookViews>
  <sheets>
    <sheet name="servente" sheetId="1" r:id="rId1"/>
    <sheet name="auxjardinagem" sheetId="2" r:id="rId2"/>
    <sheet name="servente34dd" sheetId="3" r:id="rId3"/>
    <sheet name="servente54dd" sheetId="4" r:id="rId4"/>
    <sheet name="horaextra" sheetId="5" r:id="rId5"/>
    <sheet name="matnaoele" sheetId="6" r:id="rId6"/>
    <sheet name="matele" sheetId="7" r:id="rId7"/>
    <sheet name="total" sheetId="8" r:id="rId8"/>
  </sheets>
  <externalReferences>
    <externalReference r:id="rId9"/>
  </externalReferences>
  <definedNames>
    <definedName name="_xlnm.Print_Area" localSheetId="6">matele!$A$1:$G$53</definedName>
    <definedName name="_xlnm.Print_Area" localSheetId="5">matnaoele!$A$1:$G$53</definedName>
    <definedName name="_xlnm.Print_Titles" localSheetId="6">matele!$1:$2</definedName>
    <definedName name="_xlnm.Print_Titles" localSheetId="5">matnaoele!$1:$2</definedName>
  </definedNames>
  <calcPr calcId="145621" iterateDelta="1E-4"/>
</workbook>
</file>

<file path=xl/calcChain.xml><?xml version="1.0" encoding="utf-8"?>
<calcChain xmlns="http://schemas.openxmlformats.org/spreadsheetml/2006/main">
  <c r="D65" i="2" l="1"/>
  <c r="D65" i="3"/>
  <c r="D65" i="4"/>
  <c r="D65" i="1"/>
  <c r="C146" i="3"/>
  <c r="C146" i="4"/>
  <c r="C146" i="2"/>
  <c r="C146" i="1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F23" i="8" l="1"/>
  <c r="C23" i="8"/>
  <c r="D11" i="8"/>
  <c r="E11" i="8"/>
  <c r="F11" i="8" l="1"/>
  <c r="D17" i="8"/>
  <c r="B17" i="8"/>
  <c r="D16" i="8"/>
  <c r="B16" i="8"/>
  <c r="D6" i="8"/>
  <c r="B6" i="8"/>
  <c r="D5" i="8"/>
  <c r="B5" i="8"/>
  <c r="E49" i="6" l="1"/>
  <c r="E49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G4" i="7"/>
  <c r="G3" i="7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F46" i="6" l="1"/>
  <c r="F46" i="7"/>
  <c r="F49" i="7" l="1"/>
  <c r="F51" i="7" s="1"/>
  <c r="F24" i="8" s="1"/>
  <c r="F49" i="6"/>
  <c r="F51" i="6" s="1"/>
  <c r="C24" i="8" s="1"/>
  <c r="B31" i="5" l="1"/>
  <c r="B30" i="5"/>
  <c r="B27" i="5"/>
  <c r="B26" i="5"/>
  <c r="B21" i="5"/>
  <c r="B19" i="5"/>
  <c r="C16" i="5"/>
  <c r="B17" i="5"/>
  <c r="C15" i="5"/>
  <c r="B14" i="5"/>
  <c r="D156" i="4"/>
  <c r="C139" i="4"/>
  <c r="D131" i="4"/>
  <c r="C104" i="4"/>
  <c r="C103" i="4"/>
  <c r="C102" i="4"/>
  <c r="C101" i="4"/>
  <c r="C100" i="4"/>
  <c r="C90" i="4"/>
  <c r="C88" i="4"/>
  <c r="C87" i="4"/>
  <c r="C85" i="4"/>
  <c r="C59" i="4"/>
  <c r="C89" i="4" s="1"/>
  <c r="C44" i="4"/>
  <c r="C43" i="4"/>
  <c r="C45" i="4" s="1"/>
  <c r="D30" i="4"/>
  <c r="D28" i="4"/>
  <c r="D35" i="4" s="1"/>
  <c r="C104" i="3"/>
  <c r="C103" i="3"/>
  <c r="C102" i="3"/>
  <c r="C100" i="3"/>
  <c r="C90" i="3"/>
  <c r="C88" i="3"/>
  <c r="C87" i="3"/>
  <c r="C85" i="3"/>
  <c r="C139" i="3"/>
  <c r="D131" i="3"/>
  <c r="D156" i="3" s="1"/>
  <c r="C101" i="3"/>
  <c r="C59" i="3"/>
  <c r="C89" i="3" s="1"/>
  <c r="C44" i="3"/>
  <c r="C45" i="3" s="1"/>
  <c r="C43" i="3"/>
  <c r="D30" i="3"/>
  <c r="D28" i="3"/>
  <c r="D70" i="3" s="1"/>
  <c r="D78" i="3" s="1"/>
  <c r="C17" i="5" l="1"/>
  <c r="C18" i="5" s="1"/>
  <c r="D85" i="4"/>
  <c r="D90" i="4"/>
  <c r="D87" i="4"/>
  <c r="D152" i="4"/>
  <c r="D88" i="4"/>
  <c r="D89" i="4" s="1"/>
  <c r="D44" i="4"/>
  <c r="D43" i="4"/>
  <c r="D45" i="4" s="1"/>
  <c r="D76" i="4" s="1"/>
  <c r="D70" i="4"/>
  <c r="D78" i="4" s="1"/>
  <c r="D35" i="3"/>
  <c r="C19" i="5" l="1"/>
  <c r="C20" i="5" s="1"/>
  <c r="D58" i="4"/>
  <c r="D86" i="4"/>
  <c r="D91" i="4" s="1"/>
  <c r="D154" i="4" s="1"/>
  <c r="D51" i="4"/>
  <c r="D56" i="4"/>
  <c r="D57" i="4"/>
  <c r="D53" i="4"/>
  <c r="D54" i="4"/>
  <c r="D52" i="4"/>
  <c r="D55" i="4"/>
  <c r="D88" i="3"/>
  <c r="D89" i="3" s="1"/>
  <c r="D152" i="3"/>
  <c r="D43" i="3"/>
  <c r="D45" i="3" s="1"/>
  <c r="D76" i="3" s="1"/>
  <c r="D87" i="3"/>
  <c r="D85" i="3"/>
  <c r="D44" i="3"/>
  <c r="D90" i="3"/>
  <c r="C139" i="2"/>
  <c r="D131" i="2"/>
  <c r="D156" i="2" s="1"/>
  <c r="C104" i="2"/>
  <c r="C103" i="2"/>
  <c r="C102" i="2"/>
  <c r="C101" i="2"/>
  <c r="C100" i="2"/>
  <c r="C90" i="2"/>
  <c r="C88" i="2"/>
  <c r="C87" i="2"/>
  <c r="C85" i="2"/>
  <c r="D70" i="2"/>
  <c r="D78" i="2" s="1"/>
  <c r="C59" i="2"/>
  <c r="C89" i="2" s="1"/>
  <c r="C44" i="2"/>
  <c r="C45" i="2" s="1"/>
  <c r="C43" i="2"/>
  <c r="D28" i="2"/>
  <c r="D35" i="2" s="1"/>
  <c r="D131" i="1"/>
  <c r="C21" i="5" l="1"/>
  <c r="C22" i="5" s="1"/>
  <c r="D59" i="4"/>
  <c r="D77" i="4" s="1"/>
  <c r="D79" i="4" s="1"/>
  <c r="D53" i="3"/>
  <c r="D52" i="3"/>
  <c r="D55" i="3"/>
  <c r="D51" i="3"/>
  <c r="D59" i="3" s="1"/>
  <c r="D77" i="3" s="1"/>
  <c r="D79" i="3" s="1"/>
  <c r="D58" i="3"/>
  <c r="D54" i="3"/>
  <c r="D57" i="3"/>
  <c r="D56" i="3"/>
  <c r="D86" i="3"/>
  <c r="D91" i="3" s="1"/>
  <c r="D154" i="3" s="1"/>
  <c r="D85" i="2"/>
  <c r="D152" i="2"/>
  <c r="D90" i="2"/>
  <c r="D87" i="2"/>
  <c r="D44" i="2"/>
  <c r="D43" i="2"/>
  <c r="D88" i="2"/>
  <c r="D89" i="2" s="1"/>
  <c r="D30" i="1"/>
  <c r="D28" i="1"/>
  <c r="C24" i="5" l="1"/>
  <c r="C23" i="5"/>
  <c r="D153" i="4"/>
  <c r="D103" i="4"/>
  <c r="D105" i="4"/>
  <c r="D100" i="4"/>
  <c r="D104" i="4"/>
  <c r="D102" i="4"/>
  <c r="D112" i="4"/>
  <c r="D113" i="4" s="1"/>
  <c r="D120" i="4" s="1"/>
  <c r="D101" i="4"/>
  <c r="D153" i="3"/>
  <c r="D105" i="3"/>
  <c r="D102" i="3"/>
  <c r="D104" i="3"/>
  <c r="D101" i="3"/>
  <c r="D112" i="3"/>
  <c r="D113" i="3" s="1"/>
  <c r="D120" i="3" s="1"/>
  <c r="D103" i="3"/>
  <c r="D100" i="3"/>
  <c r="D45" i="2"/>
  <c r="D86" i="2"/>
  <c r="D91" i="2" s="1"/>
  <c r="D154" i="2" s="1"/>
  <c r="C90" i="1"/>
  <c r="C87" i="1"/>
  <c r="C26" i="5" l="1"/>
  <c r="C30" i="5"/>
  <c r="C32" i="5" s="1"/>
  <c r="C27" i="5"/>
  <c r="C31" i="5"/>
  <c r="D106" i="4"/>
  <c r="D119" i="4" s="1"/>
  <c r="D121" i="4" s="1"/>
  <c r="D155" i="4" s="1"/>
  <c r="D157" i="4" s="1"/>
  <c r="D106" i="3"/>
  <c r="D119" i="3" s="1"/>
  <c r="D121" i="3" s="1"/>
  <c r="D155" i="3" s="1"/>
  <c r="D157" i="3"/>
  <c r="D76" i="2"/>
  <c r="D53" i="2"/>
  <c r="D58" i="2"/>
  <c r="D55" i="2"/>
  <c r="D56" i="2"/>
  <c r="D52" i="2"/>
  <c r="D54" i="2"/>
  <c r="D57" i="2"/>
  <c r="D51" i="2"/>
  <c r="C139" i="1"/>
  <c r="C104" i="1"/>
  <c r="C103" i="1"/>
  <c r="C102" i="1"/>
  <c r="C101" i="1"/>
  <c r="C100" i="1"/>
  <c r="C89" i="1"/>
  <c r="C88" i="1"/>
  <c r="C85" i="1"/>
  <c r="C45" i="1"/>
  <c r="C44" i="1"/>
  <c r="C43" i="1"/>
  <c r="C28" i="5" l="1"/>
  <c r="C33" i="5" s="1"/>
  <c r="F26" i="8" s="1"/>
  <c r="D137" i="4"/>
  <c r="D137" i="3"/>
  <c r="D59" i="2"/>
  <c r="D77" i="2" s="1"/>
  <c r="D79" i="2" s="1"/>
  <c r="D156" i="1"/>
  <c r="D70" i="1"/>
  <c r="D78" i="1" s="1"/>
  <c r="C59" i="1"/>
  <c r="D35" i="1"/>
  <c r="D138" i="4" l="1"/>
  <c r="D139" i="4" s="1"/>
  <c r="D138" i="3"/>
  <c r="D139" i="3" s="1"/>
  <c r="D153" i="2"/>
  <c r="D102" i="2"/>
  <c r="D105" i="2"/>
  <c r="D103" i="2"/>
  <c r="D104" i="2"/>
  <c r="D100" i="2"/>
  <c r="D101" i="2"/>
  <c r="D112" i="2"/>
  <c r="D113" i="2" s="1"/>
  <c r="D120" i="2" s="1"/>
  <c r="D85" i="1"/>
  <c r="D86" i="1" s="1"/>
  <c r="D87" i="1"/>
  <c r="D88" i="1"/>
  <c r="D89" i="1" s="1"/>
  <c r="D152" i="1"/>
  <c r="D44" i="1"/>
  <c r="D90" i="1"/>
  <c r="D43" i="1"/>
  <c r="D146" i="4" l="1"/>
  <c r="D158" i="4" s="1"/>
  <c r="D159" i="4" s="1"/>
  <c r="C17" i="8" s="1"/>
  <c r="E17" i="8" s="1"/>
  <c r="F17" i="8" s="1"/>
  <c r="D146" i="3"/>
  <c r="D158" i="3" s="1"/>
  <c r="D159" i="3" s="1"/>
  <c r="C16" i="8" s="1"/>
  <c r="E16" i="8" s="1"/>
  <c r="F16" i="8" s="1"/>
  <c r="F18" i="8" s="1"/>
  <c r="F25" i="8" s="1"/>
  <c r="D106" i="2"/>
  <c r="D119" i="2" s="1"/>
  <c r="D121" i="2" s="1"/>
  <c r="D155" i="2" s="1"/>
  <c r="D157" i="2"/>
  <c r="D45" i="1"/>
  <c r="D91" i="1"/>
  <c r="D143" i="4" l="1"/>
  <c r="D142" i="4"/>
  <c r="D145" i="4"/>
  <c r="D144" i="4"/>
  <c r="D141" i="4"/>
  <c r="D140" i="4"/>
  <c r="D143" i="3"/>
  <c r="D142" i="3"/>
  <c r="D141" i="3"/>
  <c r="D140" i="3"/>
  <c r="D145" i="3"/>
  <c r="D144" i="3"/>
  <c r="D137" i="2"/>
  <c r="D138" i="2" s="1"/>
  <c r="D139" i="2" s="1"/>
  <c r="D76" i="1"/>
  <c r="D56" i="1"/>
  <c r="D52" i="1"/>
  <c r="D57" i="1"/>
  <c r="D51" i="1"/>
  <c r="D54" i="1"/>
  <c r="D53" i="1"/>
  <c r="D55" i="1"/>
  <c r="D58" i="1"/>
  <c r="D154" i="1"/>
  <c r="D146" i="2" l="1"/>
  <c r="D158" i="2" s="1"/>
  <c r="D159" i="2" s="1"/>
  <c r="C6" i="8" s="1"/>
  <c r="E6" i="8" s="1"/>
  <c r="F6" i="8" s="1"/>
  <c r="D59" i="1"/>
  <c r="D77" i="1" s="1"/>
  <c r="D79" i="1" s="1"/>
  <c r="D143" i="2" l="1"/>
  <c r="D142" i="2"/>
  <c r="D141" i="2"/>
  <c r="D140" i="2"/>
  <c r="D145" i="2"/>
  <c r="D144" i="2"/>
  <c r="D103" i="1"/>
  <c r="D112" i="1"/>
  <c r="D113" i="1"/>
  <c r="D120" i="1" s="1"/>
  <c r="D104" i="1"/>
  <c r="D101" i="1"/>
  <c r="D105" i="1"/>
  <c r="D100" i="1"/>
  <c r="D153" i="1"/>
  <c r="D102" i="1"/>
  <c r="D106" i="1" l="1"/>
  <c r="D119" i="1" s="1"/>
  <c r="D121" i="1" s="1"/>
  <c r="D155" i="1" s="1"/>
  <c r="D157" i="1" s="1"/>
  <c r="D137" i="1" s="1"/>
  <c r="D138" i="1" s="1"/>
  <c r="D139" i="1" s="1"/>
  <c r="D146" i="1" l="1"/>
  <c r="D158" i="1" s="1"/>
  <c r="D159" i="1" s="1"/>
  <c r="D145" i="1" l="1"/>
  <c r="C5" i="8"/>
  <c r="E5" i="8" s="1"/>
  <c r="F5" i="8" s="1"/>
  <c r="F7" i="8" s="1"/>
  <c r="D141" i="1"/>
  <c r="D142" i="1"/>
  <c r="D140" i="1"/>
  <c r="D143" i="1"/>
  <c r="D144" i="1"/>
  <c r="F22" i="8" l="1"/>
  <c r="F27" i="8" s="1"/>
  <c r="C22" i="8"/>
  <c r="C27" i="8" s="1"/>
  <c r="F28" i="8" l="1"/>
</calcChain>
</file>

<file path=xl/sharedStrings.xml><?xml version="1.0" encoding="utf-8"?>
<sst xmlns="http://schemas.openxmlformats.org/spreadsheetml/2006/main" count="1136" uniqueCount="239">
  <si>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</si>
  <si>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</si>
  <si>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</si>
  <si>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</si>
  <si>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</si>
  <si>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</si>
  <si>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</si>
  <si>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</si>
  <si>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</si>
  <si>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</si>
  <si>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</si>
  <si>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</si>
  <si>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</si>
  <si>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</si>
  <si>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</si>
  <si>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</si>
  <si>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</si>
  <si>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</si>
  <si>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</si>
  <si>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</si>
  <si>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</si>
  <si>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</si>
  <si>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</si>
  <si>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</si>
  <si>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</si>
  <si>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</si>
  <si>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</si>
  <si>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</si>
  <si>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</si>
  <si>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</si>
  <si>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</si>
  <si>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</si>
  <si>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</si>
  <si>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</si>
  <si>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</si>
  <si>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</si>
  <si>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</si>
  <si>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</si>
  <si>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</si>
  <si>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</si>
  <si>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</si>
  <si>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</si>
  <si>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</si>
  <si>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</si>
  <si>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</si>
  <si>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</si>
  <si>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</si>
  <si>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</si>
  <si>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</si>
  <si>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</si>
  <si>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</si>
  <si>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</si>
  <si>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</si>
  <si>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</si>
  <si>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</si>
  <si>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</si>
  <si>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</si>
  <si>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</si>
  <si>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</si>
  <si>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</si>
  <si>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</si>
  <si>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</si>
  <si>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</si>
  <si>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</si>
  <si>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</si>
  <si>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</si>
  <si>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</si>
  <si>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</si>
  <si>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</si>
  <si>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</si>
  <si>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</si>
  <si>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</si>
  <si>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</si>
  <si>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</si>
  <si>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</si>
  <si>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</si>
  <si>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</si>
  <si>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</si>
  <si>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</si>
  <si>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</si>
  <si>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</si>
  <si>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</si>
  <si>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</si>
  <si>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</si>
  <si>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</si>
  <si>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</si>
  <si>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</si>
  <si>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</si>
  <si>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</si>
  <si>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</si>
  <si>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</si>
  <si>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</si>
  <si>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</si>
  <si>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</si>
  <si>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</si>
  <si>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</si>
  <si>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</si>
  <si>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Multa do FGTS sobre o Aviso Prévio Indenizado</t>
  </si>
  <si>
    <t>Multa do FGTS sobre o Aviso Prévio Trabalhado</t>
  </si>
  <si>
    <t>Convenção Coletiva de Trabalho</t>
  </si>
  <si>
    <t xml:space="preserve">Número de Registro no MTE </t>
  </si>
  <si>
    <t>Data do Registro</t>
  </si>
  <si>
    <t>Informação sobre estimativa da Administração</t>
  </si>
  <si>
    <r>
      <t xml:space="preserve">Informa-se que foi utilizada a seguinte Convenção Coletiva de Trabalho no cálculo do valor pela Administração, a qual </t>
    </r>
    <r>
      <rPr>
        <b/>
        <u/>
        <sz val="10"/>
        <color theme="1"/>
        <rFont val="Times New Roman"/>
        <family val="1"/>
      </rPr>
      <t>não</t>
    </r>
    <r>
      <rPr>
        <b/>
        <sz val="10"/>
        <color theme="1"/>
        <rFont val="Times New Roman"/>
        <family val="1"/>
      </rPr>
      <t xml:space="preserve"> será de uso obrigatório pelas licitantes:</t>
    </r>
  </si>
  <si>
    <t>QUADRO-RESUMO DO CUSTO POR EMPREGADO</t>
  </si>
  <si>
    <t>BA000817/2024</t>
  </si>
  <si>
    <t>2025/2026</t>
  </si>
  <si>
    <t>SINDICATO DAS EMPRESAS DE SERVICOS E LIMPEZA AMBIENTAL DO ESTADO DA BAHIA - SEAC/BA, CNPJ n. 13.713.607/0001-60</t>
  </si>
  <si>
    <t>SINDILIMP-BA SIND.TRAB.LIMPEZA PUBLICA,COML,INDL, HOSPITALAR,ASSEIO, PREST. SERV.EM GERAL, CONSERVACAO, JARDINAGEM E CONTROLE DE PRAGAS INTERMUNICIPAL, CNPJ n. 32.700.148/0001-25</t>
  </si>
  <si>
    <t>Servente de Limpeza</t>
  </si>
  <si>
    <t>posto de serviço</t>
  </si>
  <si>
    <t>5143-20</t>
  </si>
  <si>
    <t>Servente de Limpeza (25 horas semanais)</t>
  </si>
  <si>
    <t>Assistência Médica</t>
  </si>
  <si>
    <t>Assistência Odontológica</t>
  </si>
  <si>
    <t>Seguro de Vida</t>
  </si>
  <si>
    <t>Auxiliar de Jardinagem (25 horas semanais)</t>
  </si>
  <si>
    <t>Auxiliar de Jardinagem</t>
  </si>
  <si>
    <t>9922-25</t>
  </si>
  <si>
    <t>EPIs</t>
  </si>
  <si>
    <t>Servente de Limpeza (25 horas semanais) - acréscimo temporário (34 dias)</t>
  </si>
  <si>
    <t>Servente de Limpeza (25 horas semanais) - acréscimo temporário (54 dias)</t>
  </si>
  <si>
    <t>Horas Extras - tópico 3.3 do Termo de Referência</t>
  </si>
  <si>
    <t>vhe = [ rem × (1+13fa) × (1+es) × (1+i) × (1+ci) × (1+ℓ) ÷ d ] / (1-t)</t>
  </si>
  <si>
    <t>Onde:</t>
  </si>
  <si>
    <t>vhe = valor da hora extra</t>
  </si>
  <si>
    <t>rem = remuneração</t>
  </si>
  <si>
    <t>d = divisor, de acordo com a jornada mensal prevista na CCT ou, na sua falta, na legislação trabalhista</t>
  </si>
  <si>
    <t>13fa = incidência sobre 13º salário, férias e adicional</t>
  </si>
  <si>
    <t>es = encargos sociais relativos ao módulo 2.2 da planilha de custos e formação de preços</t>
  </si>
  <si>
    <t>i = índice referente ao acréscimo legal sobre a hora normal, previsto na respectiva Convenção Coletiva de Trabalho - CCT ou, na sua falta, na legislação trabalhista</t>
  </si>
  <si>
    <t>ci = custos indiretos</t>
  </si>
  <si>
    <t>ℓ = lucro</t>
  </si>
  <si>
    <t>t = tributos incidentes sobre o faturamento</t>
  </si>
  <si>
    <t>Valores Referenciais</t>
  </si>
  <si>
    <t>posto</t>
  </si>
  <si>
    <t>rem</t>
  </si>
  <si>
    <t>rem/hora</t>
  </si>
  <si>
    <t>13fa</t>
  </si>
  <si>
    <t>subtotal 1</t>
  </si>
  <si>
    <t>es</t>
  </si>
  <si>
    <t>subtotal 2</t>
  </si>
  <si>
    <t>ci, ℓ, t</t>
  </si>
  <si>
    <t>custo hora normal</t>
  </si>
  <si>
    <t>he dias úteis</t>
  </si>
  <si>
    <t>he dom-fer</t>
  </si>
  <si>
    <t>Fechamento de Cadastro (total da categoria)</t>
  </si>
  <si>
    <t>dias úteis</t>
  </si>
  <si>
    <t>domingos-feriados</t>
  </si>
  <si>
    <t>total</t>
  </si>
  <si>
    <t>Eleições (total da categoria)</t>
  </si>
  <si>
    <t>Materiais - consumo ano não eleitoral</t>
  </si>
  <si>
    <t>tipo</t>
  </si>
  <si>
    <t>item</t>
  </si>
  <si>
    <t>descrição</t>
  </si>
  <si>
    <t>unidade de fornecimento</t>
  </si>
  <si>
    <t>quantidade</t>
  </si>
  <si>
    <t>valor unitário</t>
  </si>
  <si>
    <t>valor total do item</t>
  </si>
  <si>
    <t>material</t>
  </si>
  <si>
    <t>Água sanitária</t>
  </si>
  <si>
    <t>litro</t>
  </si>
  <si>
    <t>Álcool em gel 70%</t>
  </si>
  <si>
    <t>Álcool líquido</t>
  </si>
  <si>
    <t>Desinfetante concentrado</t>
  </si>
  <si>
    <t>Desodorizante para sanitário (desodor)</t>
  </si>
  <si>
    <t>unidade</t>
  </si>
  <si>
    <t>Detergente líquido para lavar louças</t>
  </si>
  <si>
    <t>Esponja dupla face</t>
  </si>
  <si>
    <t>Limpa vidros</t>
  </si>
  <si>
    <t>Flanela</t>
  </si>
  <si>
    <t>Inseticida spray (sem CFC – uso doméstico)</t>
  </si>
  <si>
    <t>Palha de aço</t>
  </si>
  <si>
    <t>Pano para chão</t>
  </si>
  <si>
    <t>Papel higiênico, rolo de 30m cada, picotado, resistente, branco, folha dupla, absorvente, neutro, sem perfume, 100% fibras celulósicas, não perecíveis</t>
  </si>
  <si>
    <t>rolo</t>
  </si>
  <si>
    <t>Papel toalha de luxo (fardo com 1.250 folhas cintadas de 250, branco, liso, macio, absorvente, dobrado para uso em porta-papel, formato 23x27cm, não perecível</t>
  </si>
  <si>
    <t>fardo</t>
  </si>
  <si>
    <t>Purificador de ar spray (sem CFC)</t>
  </si>
  <si>
    <t>Sabão em pó</t>
  </si>
  <si>
    <t>quilograma</t>
  </si>
  <si>
    <t>Sabonete líquido concentrado</t>
  </si>
  <si>
    <t>Saco plástico preto resistente para lixo de 100 litros</t>
  </si>
  <si>
    <t>Saco plástico preto resistente para lixo de 200 litros</t>
  </si>
  <si>
    <t>Saco plástico preto resistente para lixo de 60 litros</t>
  </si>
  <si>
    <t>Saco plástico preto resistente para lixo de 40 litros</t>
  </si>
  <si>
    <t>Luva de borracha própria para atividades insalubres (Médio/Grande)</t>
  </si>
  <si>
    <t>par</t>
  </si>
  <si>
    <t>Desentupidor de pia</t>
  </si>
  <si>
    <t>Espanador</t>
  </si>
  <si>
    <t>Escova com cerdas de nylon</t>
  </si>
  <si>
    <t>Balde plástico com alça (capacidade de 10 litros)</t>
  </si>
  <si>
    <t>Balde plástico com alça (capacidade de 20 litros)</t>
  </si>
  <si>
    <t>Rodo (cabo e base já fixados) 60 cm</t>
  </si>
  <si>
    <t>Pá para lixo com cabo longo</t>
  </si>
  <si>
    <t>Vassoura de pelo sintético (com o cabo e a base já fixados)</t>
  </si>
  <si>
    <t>Vassoura de piaçava grande (com o cabo e a base já fixados) 60cm</t>
  </si>
  <si>
    <t>Vassoura de piaçava pequena (pia)</t>
  </si>
  <si>
    <t>Vassoura gari</t>
  </si>
  <si>
    <t>Terra vegetal</t>
  </si>
  <si>
    <t>metro cúbico</t>
  </si>
  <si>
    <t>Adubo</t>
  </si>
  <si>
    <t>Pesticida</t>
  </si>
  <si>
    <t>Uréia</t>
  </si>
  <si>
    <t>Formicida granulada</t>
  </si>
  <si>
    <t>Húmus de minhoca</t>
  </si>
  <si>
    <t>Óleo de motor</t>
  </si>
  <si>
    <t>Nylon para roçadeira (3mm)</t>
  </si>
  <si>
    <t>metro</t>
  </si>
  <si>
    <t>Gasolina comum</t>
  </si>
  <si>
    <t>total materiais</t>
  </si>
  <si>
    <t>custos indiretos, lucro e tributos</t>
  </si>
  <si>
    <t>total estimado</t>
  </si>
  <si>
    <t>Materiais - consumo ano eleitoral</t>
  </si>
  <si>
    <t>quadro resumo - valor total estimado</t>
  </si>
  <si>
    <t>postos regulares - valor anual</t>
  </si>
  <si>
    <t>especificação</t>
  </si>
  <si>
    <t>valor mensal unitário</t>
  </si>
  <si>
    <t>valor mensal</t>
  </si>
  <si>
    <t>valor anual</t>
  </si>
  <si>
    <t>acréscimo de postos em ano eleitoral</t>
  </si>
  <si>
    <t>total estimado da contratação</t>
  </si>
  <si>
    <t>ano não eleitoral</t>
  </si>
  <si>
    <t>ano eleitoral</t>
  </si>
  <si>
    <t>postos regulares</t>
  </si>
  <si>
    <t>materiais</t>
  </si>
  <si>
    <t>acréscimo de postos</t>
  </si>
  <si>
    <t>horas extras</t>
  </si>
  <si>
    <t>total [A]</t>
  </si>
  <si>
    <t>total [B]</t>
  </si>
  <si>
    <t>valor total da contratação (para o prazo de 24 meses)</t>
  </si>
  <si>
    <t>[A] + [B] =</t>
  </si>
  <si>
    <t>valor total</t>
  </si>
  <si>
    <t>capinagem</t>
  </si>
  <si>
    <t>Capinagem</t>
  </si>
  <si>
    <t>unidade de medida</t>
  </si>
  <si>
    <t>metro quadrado</t>
  </si>
  <si>
    <t>quantidade anual</t>
  </si>
  <si>
    <t>custo total com horas extras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</si>
</sst>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sz val="10"/>
      <color theme="0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i/>
      <sz val="10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3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6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6" borderId="1" xfId="0" applyFont="1" applyFill="1" applyBorder="1"/>
    <xf numFmtId="0" fontId="4" fillId="6" borderId="2" xfId="0" applyFont="1" applyFill="1" applyBorder="1"/>
    <xf numFmtId="0" fontId="4" fillId="6" borderId="3" xfId="0" applyFont="1" applyFill="1" applyBorder="1" applyAlignment="1"/>
    <xf numFmtId="0" fontId="4" fillId="6" borderId="1" xfId="0" applyFont="1" applyFill="1" applyBorder="1" applyAlignment="1"/>
    <xf numFmtId="14" fontId="4" fillId="6" borderId="1" xfId="0" applyNumberFormat="1" applyFont="1" applyFill="1" applyBorder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14" fontId="11" fillId="0" borderId="0" xfId="0" applyNumberFormat="1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 shrinkToFit="1"/>
    </xf>
    <xf numFmtId="4" fontId="11" fillId="0" borderId="0" xfId="0" applyNumberFormat="1" applyFont="1" applyFill="1" applyBorder="1" applyAlignment="1">
      <alignment horizontal="left" vertical="top"/>
    </xf>
    <xf numFmtId="10" fontId="11" fillId="0" borderId="0" xfId="11" applyNumberFormat="1" applyFont="1" applyFill="1" applyBorder="1" applyAlignment="1">
      <alignment horizontal="left" vertical="top"/>
    </xf>
    <xf numFmtId="43" fontId="11" fillId="0" borderId="0" xfId="0" applyNumberFormat="1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/>
    </xf>
    <xf numFmtId="43" fontId="11" fillId="0" borderId="0" xfId="10" applyFont="1" applyFill="1" applyBorder="1" applyAlignment="1">
      <alignment horizontal="left" vertical="top"/>
    </xf>
    <xf numFmtId="10" fontId="11" fillId="0" borderId="0" xfId="0" applyNumberFormat="1" applyFont="1" applyFill="1" applyBorder="1" applyAlignment="1">
      <alignment horizontal="left" vertical="top"/>
    </xf>
    <xf numFmtId="10" fontId="14" fillId="0" borderId="0" xfId="11" applyNumberFormat="1" applyFont="1" applyFill="1" applyBorder="1" applyAlignment="1">
      <alignment horizontal="left" vertical="top"/>
    </xf>
    <xf numFmtId="0" fontId="16" fillId="0" borderId="0" xfId="0" applyFont="1"/>
    <xf numFmtId="0" fontId="17" fillId="6" borderId="6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/>
    </xf>
    <xf numFmtId="0" fontId="16" fillId="0" borderId="6" xfId="0" applyFont="1" applyBorder="1" applyAlignment="1">
      <alignment horizontal="left" vertical="top" wrapText="1"/>
    </xf>
    <xf numFmtId="44" fontId="16" fillId="0" borderId="6" xfId="12" applyFont="1" applyBorder="1" applyAlignment="1">
      <alignment vertical="top"/>
    </xf>
    <xf numFmtId="0" fontId="16" fillId="0" borderId="0" xfId="0" applyFont="1" applyAlignment="1">
      <alignment wrapText="1"/>
    </xf>
    <xf numFmtId="0" fontId="18" fillId="6" borderId="7" xfId="0" applyFont="1" applyFill="1" applyBorder="1"/>
    <xf numFmtId="0" fontId="18" fillId="6" borderId="8" xfId="0" applyFont="1" applyFill="1" applyBorder="1" applyAlignment="1">
      <alignment horizontal="right"/>
    </xf>
    <xf numFmtId="44" fontId="18" fillId="6" borderId="9" xfId="12" applyFont="1" applyFill="1" applyBorder="1" applyAlignment="1">
      <alignment shrinkToFit="1"/>
    </xf>
    <xf numFmtId="44" fontId="16" fillId="0" borderId="0" xfId="12" applyFont="1"/>
    <xf numFmtId="0" fontId="18" fillId="0" borderId="10" xfId="0" applyFont="1" applyFill="1" applyBorder="1" applyAlignment="1">
      <alignment horizontal="right"/>
    </xf>
    <xf numFmtId="10" fontId="18" fillId="6" borderId="11" xfId="0" applyNumberFormat="1" applyFont="1" applyFill="1" applyBorder="1" applyAlignment="1">
      <alignment horizontal="center"/>
    </xf>
    <xf numFmtId="44" fontId="18" fillId="6" borderId="6" xfId="12" applyFont="1" applyFill="1" applyBorder="1" applyAlignment="1">
      <alignment horizontal="center"/>
    </xf>
    <xf numFmtId="0" fontId="12" fillId="0" borderId="12" xfId="0" applyFont="1" applyFill="1" applyBorder="1" applyAlignment="1">
      <alignment horizontal="left" vertical="top"/>
    </xf>
    <xf numFmtId="0" fontId="19" fillId="0" borderId="12" xfId="0" applyFont="1" applyFill="1" applyBorder="1" applyAlignment="1">
      <alignment horizontal="left" vertical="top"/>
    </xf>
    <xf numFmtId="0" fontId="20" fillId="0" borderId="13" xfId="0" applyFont="1" applyFill="1" applyBorder="1" applyAlignment="1">
      <alignment horizontal="right" vertical="top"/>
    </xf>
    <xf numFmtId="0" fontId="20" fillId="0" borderId="11" xfId="0" applyFont="1" applyFill="1" applyBorder="1" applyAlignment="1">
      <alignment horizontal="left" vertical="top"/>
    </xf>
    <xf numFmtId="0" fontId="20" fillId="0" borderId="6" xfId="0" applyFont="1" applyFill="1" applyBorder="1" applyAlignment="1">
      <alignment horizontal="left" vertical="top"/>
    </xf>
    <xf numFmtId="0" fontId="20" fillId="0" borderId="13" xfId="0" applyFont="1" applyFill="1" applyBorder="1" applyAlignment="1">
      <alignment horizontal="left" vertical="top"/>
    </xf>
    <xf numFmtId="43" fontId="20" fillId="0" borderId="11" xfId="10" applyFont="1" applyFill="1" applyBorder="1" applyAlignment="1">
      <alignment horizontal="left" vertical="top"/>
    </xf>
    <xf numFmtId="10" fontId="20" fillId="0" borderId="13" xfId="0" applyNumberFormat="1" applyFont="1" applyFill="1" applyBorder="1" applyAlignment="1">
      <alignment horizontal="right" vertical="top"/>
    </xf>
    <xf numFmtId="9" fontId="20" fillId="0" borderId="13" xfId="0" applyNumberFormat="1" applyFont="1" applyFill="1" applyBorder="1" applyAlignment="1">
      <alignment horizontal="right" vertical="top"/>
    </xf>
    <xf numFmtId="43" fontId="19" fillId="0" borderId="11" xfId="10" applyFont="1" applyFill="1" applyBorder="1" applyAlignment="1">
      <alignment horizontal="left" vertical="top"/>
    </xf>
    <xf numFmtId="43" fontId="20" fillId="0" borderId="11" xfId="0" applyNumberFormat="1" applyFont="1" applyFill="1" applyBorder="1" applyAlignment="1">
      <alignment horizontal="left" vertical="top"/>
    </xf>
    <xf numFmtId="43" fontId="19" fillId="0" borderId="11" xfId="0" applyNumberFormat="1" applyFont="1" applyFill="1" applyBorder="1" applyAlignment="1">
      <alignment horizontal="left"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6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6" xfId="0" applyFont="1" applyBorder="1" applyAlignment="1">
      <alignment vertical="top"/>
    </xf>
    <xf numFmtId="0" fontId="4" fillId="0" borderId="6" xfId="0" applyFont="1" applyBorder="1" applyAlignment="1">
      <alignment vertical="top" wrapText="1"/>
    </xf>
    <xf numFmtId="43" fontId="4" fillId="0" borderId="6" xfId="0" applyNumberFormat="1" applyFont="1" applyBorder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12" xfId="0" applyFont="1" applyBorder="1" applyAlignment="1">
      <alignment vertical="top"/>
    </xf>
    <xf numFmtId="0" fontId="4" fillId="0" borderId="13" xfId="0" applyFont="1" applyBorder="1" applyAlignment="1">
      <alignment vertical="top"/>
    </xf>
    <xf numFmtId="0" fontId="5" fillId="0" borderId="12" xfId="0" applyFont="1" applyBorder="1" applyAlignment="1">
      <alignment vertical="top"/>
    </xf>
    <xf numFmtId="0" fontId="5" fillId="0" borderId="13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6" xfId="0" applyFont="1" applyBorder="1" applyAlignment="1">
      <alignment horizontal="center" vertical="top"/>
    </xf>
    <xf numFmtId="43" fontId="5" fillId="0" borderId="6" xfId="0" applyNumberFormat="1" applyFont="1" applyBorder="1" applyAlignment="1">
      <alignment vertical="top"/>
    </xf>
    <xf numFmtId="43" fontId="4" fillId="0" borderId="6" xfId="0" applyNumberFormat="1" applyFont="1" applyBorder="1" applyAlignment="1">
      <alignment vertical="top" wrapText="1"/>
    </xf>
    <xf numFmtId="43" fontId="4" fillId="0" borderId="0" xfId="0" applyNumberFormat="1" applyFont="1" applyBorder="1" applyAlignment="1">
      <alignment vertical="top"/>
    </xf>
    <xf numFmtId="43" fontId="4" fillId="0" borderId="6" xfId="0" applyNumberFormat="1" applyFont="1" applyBorder="1" applyAlignment="1">
      <alignment horizontal="center" vertical="top"/>
    </xf>
    <xf numFmtId="0" fontId="19" fillId="0" borderId="13" xfId="0" applyFont="1" applyFill="1" applyBorder="1" applyAlignment="1">
      <alignment horizontal="left" vertical="top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9" fillId="5" borderId="0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6" borderId="2" xfId="0" applyFont="1" applyFill="1" applyBorder="1" applyAlignment="1">
      <alignment horizontal="center" vertical="top" shrinkToFit="1"/>
    </xf>
    <xf numFmtId="0" fontId="5" fillId="6" borderId="4" xfId="0" applyFont="1" applyFill="1" applyBorder="1" applyAlignment="1">
      <alignment horizontal="center" vertical="top" shrinkToFit="1"/>
    </xf>
    <xf numFmtId="0" fontId="5" fillId="6" borderId="3" xfId="0" applyFont="1" applyFill="1" applyBorder="1" applyAlignment="1">
      <alignment horizontal="center" vertical="top" shrinkToFi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0" fontId="4" fillId="6" borderId="2" xfId="0" applyFont="1" applyFill="1" applyBorder="1" applyAlignment="1">
      <alignment shrinkToFit="1"/>
    </xf>
    <xf numFmtId="0" fontId="4" fillId="6" borderId="4" xfId="0" applyFont="1" applyFill="1" applyBorder="1" applyAlignment="1">
      <alignment shrinkToFit="1"/>
    </xf>
    <xf numFmtId="0" fontId="4" fillId="6" borderId="3" xfId="0" applyFont="1" applyFill="1" applyBorder="1" applyAlignment="1">
      <alignment shrinkToFit="1"/>
    </xf>
    <xf numFmtId="0" fontId="20" fillId="0" borderId="13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left" vertical="top" wrapText="1"/>
    </xf>
    <xf numFmtId="0" fontId="15" fillId="0" borderId="5" xfId="0" applyFont="1" applyBorder="1" applyAlignment="1">
      <alignment horizontal="center"/>
    </xf>
  </cellXfs>
  <cellStyles count="13">
    <cellStyle name="Moeda" xfId="12" builtinId="4"/>
    <cellStyle name="Normal" xfId="0" builtinId="0"/>
    <cellStyle name="Normal 2" xfId="1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stimativa82v3ite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uniforme1"/>
      <sheetName val="uniforme2"/>
      <sheetName val="material total"/>
      <sheetName val="matnaoele"/>
      <sheetName val="matele"/>
      <sheetName val="equipservente"/>
      <sheetName val="equipjardinagem"/>
      <sheetName val="episervente"/>
      <sheetName val="epijardinagem"/>
    </sheetNames>
    <sheetDataSet>
      <sheetData sheetId="0"/>
      <sheetData sheetId="1"/>
      <sheetData sheetId="2"/>
      <sheetData sheetId="3">
        <row r="36">
          <cell r="E36">
            <v>20</v>
          </cell>
        </row>
        <row r="37">
          <cell r="E37">
            <v>200</v>
          </cell>
        </row>
        <row r="38">
          <cell r="E38">
            <v>80</v>
          </cell>
        </row>
        <row r="39">
          <cell r="E39">
            <v>200</v>
          </cell>
        </row>
        <row r="40">
          <cell r="E40">
            <v>80</v>
          </cell>
        </row>
        <row r="41">
          <cell r="E41">
            <v>40</v>
          </cell>
        </row>
        <row r="42">
          <cell r="E42">
            <v>48</v>
          </cell>
        </row>
        <row r="43">
          <cell r="E43">
            <v>200</v>
          </cell>
        </row>
        <row r="44">
          <cell r="E44">
            <v>320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9"/>
  <sheetViews>
    <sheetView topLeftCell="A61" zoomScale="115" zoomScaleNormal="115" workbookViewId="0">
      <selection activeCell="D131" sqref="D131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103" t="s">
        <v>0</v>
      </c>
      <c r="B1" s="103"/>
      <c r="C1" s="103"/>
      <c r="D1" s="103"/>
    </row>
    <row r="2" spans="1:4" ht="15.75" x14ac:dyDescent="0.25">
      <c r="A2" s="26"/>
      <c r="B2" s="26"/>
      <c r="C2" s="26"/>
      <c r="D2" s="26"/>
    </row>
    <row r="3" spans="1:4" x14ac:dyDescent="0.2">
      <c r="A3" s="102" t="s">
        <v>102</v>
      </c>
      <c r="B3" s="102"/>
      <c r="C3" s="102"/>
      <c r="D3" s="102"/>
    </row>
    <row r="4" spans="1:4" x14ac:dyDescent="0.2">
      <c r="A4" s="2"/>
      <c r="B4" s="2"/>
      <c r="C4" s="2"/>
      <c r="D4" s="2"/>
    </row>
    <row r="5" spans="1:4" x14ac:dyDescent="0.2">
      <c r="A5" s="111" t="s">
        <v>103</v>
      </c>
      <c r="B5" s="112"/>
      <c r="C5" s="112"/>
      <c r="D5" s="113"/>
    </row>
    <row r="6" spans="1:4" x14ac:dyDescent="0.2">
      <c r="A6" s="33" t="s">
        <v>4</v>
      </c>
      <c r="B6" s="34" t="s">
        <v>99</v>
      </c>
      <c r="C6" s="35"/>
      <c r="D6" s="36" t="s">
        <v>106</v>
      </c>
    </row>
    <row r="7" spans="1:4" x14ac:dyDescent="0.2">
      <c r="A7" s="33" t="s">
        <v>6</v>
      </c>
      <c r="B7" s="34" t="s">
        <v>100</v>
      </c>
      <c r="C7" s="35"/>
      <c r="D7" s="36" t="s">
        <v>105</v>
      </c>
    </row>
    <row r="8" spans="1:4" x14ac:dyDescent="0.2">
      <c r="A8" s="33" t="s">
        <v>8</v>
      </c>
      <c r="B8" s="34" t="s">
        <v>101</v>
      </c>
      <c r="C8" s="35"/>
      <c r="D8" s="37">
        <v>45629</v>
      </c>
    </row>
    <row r="9" spans="1:4" x14ac:dyDescent="0.2">
      <c r="A9" s="33" t="s">
        <v>10</v>
      </c>
      <c r="B9" s="120" t="s">
        <v>107</v>
      </c>
      <c r="C9" s="121"/>
      <c r="D9" s="122"/>
    </row>
    <row r="10" spans="1:4" x14ac:dyDescent="0.2">
      <c r="A10" s="33" t="s">
        <v>12</v>
      </c>
      <c r="B10" s="120" t="s">
        <v>108</v>
      </c>
      <c r="C10" s="121"/>
      <c r="D10" s="122"/>
    </row>
    <row r="12" spans="1:4" x14ac:dyDescent="0.2">
      <c r="A12" s="102" t="s">
        <v>87</v>
      </c>
      <c r="B12" s="102"/>
      <c r="C12" s="102"/>
      <c r="D12" s="102"/>
    </row>
    <row r="13" spans="1:4" x14ac:dyDescent="0.2">
      <c r="A13" s="2"/>
      <c r="B13" s="2"/>
      <c r="C13" s="2"/>
      <c r="D13" s="2"/>
    </row>
    <row r="14" spans="1:4" ht="38.25" x14ac:dyDescent="0.2">
      <c r="A14" s="114" t="s">
        <v>88</v>
      </c>
      <c r="B14" s="114"/>
      <c r="C14" s="7" t="s">
        <v>89</v>
      </c>
      <c r="D14" s="27" t="s">
        <v>90</v>
      </c>
    </row>
    <row r="15" spans="1:4" x14ac:dyDescent="0.2">
      <c r="A15" s="115" t="s">
        <v>112</v>
      </c>
      <c r="B15" s="115"/>
      <c r="C15" s="42" t="s">
        <v>110</v>
      </c>
      <c r="D15" s="42">
        <v>115</v>
      </c>
    </row>
    <row r="17" spans="1:4" x14ac:dyDescent="0.2">
      <c r="A17" s="102" t="s">
        <v>71</v>
      </c>
      <c r="B17" s="102"/>
      <c r="C17" s="102"/>
      <c r="D17" s="102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72</v>
      </c>
      <c r="C19" s="116" t="s">
        <v>109</v>
      </c>
      <c r="D19" s="117"/>
    </row>
    <row r="20" spans="1:4" x14ac:dyDescent="0.2">
      <c r="A20" s="5">
        <v>2</v>
      </c>
      <c r="B20" s="5" t="s">
        <v>91</v>
      </c>
      <c r="C20" s="116" t="s">
        <v>111</v>
      </c>
      <c r="D20" s="117"/>
    </row>
    <row r="21" spans="1:4" x14ac:dyDescent="0.2">
      <c r="A21" s="5">
        <v>3</v>
      </c>
      <c r="B21" s="5" t="s">
        <v>73</v>
      </c>
      <c r="C21" s="118">
        <v>1530</v>
      </c>
      <c r="D21" s="119"/>
    </row>
    <row r="22" spans="1:4" x14ac:dyDescent="0.2">
      <c r="A22" s="5">
        <v>4</v>
      </c>
      <c r="B22" s="5" t="s">
        <v>74</v>
      </c>
      <c r="C22" s="116"/>
      <c r="D22" s="117"/>
    </row>
    <row r="23" spans="1:4" x14ac:dyDescent="0.2">
      <c r="A23" s="5">
        <v>5</v>
      </c>
      <c r="B23" s="5" t="s">
        <v>75</v>
      </c>
      <c r="C23" s="116"/>
      <c r="D23" s="117"/>
    </row>
    <row r="25" spans="1:4" x14ac:dyDescent="0.2">
      <c r="A25" s="102" t="s">
        <v>1</v>
      </c>
      <c r="B25" s="102"/>
      <c r="C25" s="102"/>
      <c r="D25" s="102"/>
    </row>
    <row r="27" spans="1:4" x14ac:dyDescent="0.2">
      <c r="A27" s="6">
        <v>1</v>
      </c>
      <c r="B27" s="99" t="s">
        <v>2</v>
      </c>
      <c r="C27" s="99"/>
      <c r="D27" s="6" t="s">
        <v>3</v>
      </c>
    </row>
    <row r="28" spans="1:4" x14ac:dyDescent="0.2">
      <c r="A28" s="7" t="s">
        <v>4</v>
      </c>
      <c r="B28" s="98" t="s">
        <v>5</v>
      </c>
      <c r="C28" s="98"/>
      <c r="D28" s="13">
        <f>C21*(25/44)</f>
        <v>869.31818181818187</v>
      </c>
    </row>
    <row r="29" spans="1:4" x14ac:dyDescent="0.2">
      <c r="A29" s="7" t="s">
        <v>6</v>
      </c>
      <c r="B29" s="98" t="s">
        <v>7</v>
      </c>
      <c r="C29" s="98"/>
      <c r="D29" s="13"/>
    </row>
    <row r="30" spans="1:4" x14ac:dyDescent="0.2">
      <c r="A30" s="7" t="s">
        <v>8</v>
      </c>
      <c r="B30" s="98" t="s">
        <v>9</v>
      </c>
      <c r="C30" s="98"/>
      <c r="D30" s="13">
        <f>1518*0.2</f>
        <v>303.60000000000002</v>
      </c>
    </row>
    <row r="31" spans="1:4" x14ac:dyDescent="0.2">
      <c r="A31" s="7" t="s">
        <v>10</v>
      </c>
      <c r="B31" s="98" t="s">
        <v>11</v>
      </c>
      <c r="C31" s="98"/>
      <c r="D31" s="13"/>
    </row>
    <row r="32" spans="1:4" x14ac:dyDescent="0.2">
      <c r="A32" s="7" t="s">
        <v>12</v>
      </c>
      <c r="B32" s="98" t="s">
        <v>13</v>
      </c>
      <c r="C32" s="98"/>
      <c r="D32" s="13"/>
    </row>
    <row r="33" spans="1:4" x14ac:dyDescent="0.2">
      <c r="A33" s="7"/>
      <c r="B33" s="98"/>
      <c r="C33" s="98"/>
      <c r="D33" s="13"/>
    </row>
    <row r="34" spans="1:4" x14ac:dyDescent="0.2">
      <c r="A34" s="7" t="s">
        <v>14</v>
      </c>
      <c r="B34" s="98" t="s">
        <v>15</v>
      </c>
      <c r="C34" s="98"/>
      <c r="D34" s="13"/>
    </row>
    <row r="35" spans="1:4" x14ac:dyDescent="0.2">
      <c r="A35" s="99" t="s">
        <v>16</v>
      </c>
      <c r="B35" s="99"/>
      <c r="C35" s="99"/>
      <c r="D35" s="20">
        <f>SUM(D28:D34)</f>
        <v>1172.9181818181819</v>
      </c>
    </row>
    <row r="38" spans="1:4" x14ac:dyDescent="0.2">
      <c r="A38" s="102" t="s">
        <v>17</v>
      </c>
      <c r="B38" s="102"/>
      <c r="C38" s="102"/>
      <c r="D38" s="102"/>
    </row>
    <row r="39" spans="1:4" x14ac:dyDescent="0.2">
      <c r="A39" s="3"/>
    </row>
    <row r="40" spans="1:4" x14ac:dyDescent="0.2">
      <c r="A40" s="100" t="s">
        <v>18</v>
      </c>
      <c r="B40" s="100"/>
      <c r="C40" s="100"/>
      <c r="D40" s="100"/>
    </row>
    <row r="42" spans="1:4" x14ac:dyDescent="0.2">
      <c r="A42" s="6" t="s">
        <v>19</v>
      </c>
      <c r="B42" s="99" t="s">
        <v>20</v>
      </c>
      <c r="C42" s="99"/>
      <c r="D42" s="6" t="s">
        <v>3</v>
      </c>
    </row>
    <row r="43" spans="1:4" x14ac:dyDescent="0.2">
      <c r="A43" s="7" t="s">
        <v>4</v>
      </c>
      <c r="B43" s="8" t="s">
        <v>21</v>
      </c>
      <c r="C43" s="12">
        <f>TRUNC(1/12,4)</f>
        <v>8.3299999999999999E-2</v>
      </c>
      <c r="D43" s="13">
        <f>TRUNC($D$35*C43,2)</f>
        <v>97.7</v>
      </c>
    </row>
    <row r="44" spans="1:4" x14ac:dyDescent="0.2">
      <c r="A44" s="7" t="s">
        <v>6</v>
      </c>
      <c r="B44" s="8" t="s">
        <v>22</v>
      </c>
      <c r="C44" s="12">
        <f>TRUNC(((1+1/3)/12),4)</f>
        <v>0.1111</v>
      </c>
      <c r="D44" s="13">
        <f>TRUNC($D$35*C44,2)</f>
        <v>130.31</v>
      </c>
    </row>
    <row r="45" spans="1:4" x14ac:dyDescent="0.2">
      <c r="A45" s="99" t="s">
        <v>16</v>
      </c>
      <c r="B45" s="99"/>
      <c r="C45" s="28">
        <f>SUM(C43:C44)</f>
        <v>0.19440000000000002</v>
      </c>
      <c r="D45" s="19">
        <f>SUM(D43:D44)</f>
        <v>228.01</v>
      </c>
    </row>
    <row r="48" spans="1:4" x14ac:dyDescent="0.2">
      <c r="A48" s="104" t="s">
        <v>23</v>
      </c>
      <c r="B48" s="104"/>
      <c r="C48" s="104"/>
      <c r="D48" s="104"/>
    </row>
    <row r="50" spans="1:4" x14ac:dyDescent="0.2">
      <c r="A50" s="6" t="s">
        <v>24</v>
      </c>
      <c r="B50" s="6" t="s">
        <v>25</v>
      </c>
      <c r="C50" s="6" t="s">
        <v>26</v>
      </c>
      <c r="D50" s="6" t="s">
        <v>3</v>
      </c>
    </row>
    <row r="51" spans="1:4" x14ac:dyDescent="0.2">
      <c r="A51" s="7" t="s">
        <v>4</v>
      </c>
      <c r="B51" s="8" t="s">
        <v>27</v>
      </c>
      <c r="C51" s="9">
        <v>0.2</v>
      </c>
      <c r="D51" s="13">
        <f>TRUNC(($D$35+$D$45)*C51,2)</f>
        <v>280.18</v>
      </c>
    </row>
    <row r="52" spans="1:4" x14ac:dyDescent="0.2">
      <c r="A52" s="7" t="s">
        <v>6</v>
      </c>
      <c r="B52" s="8" t="s">
        <v>28</v>
      </c>
      <c r="C52" s="9">
        <v>2.5000000000000001E-2</v>
      </c>
      <c r="D52" s="13">
        <f t="shared" ref="D52:D58" si="0">TRUNC(($D$35+$D$45)*C52,2)</f>
        <v>35.020000000000003</v>
      </c>
    </row>
    <row r="53" spans="1:4" x14ac:dyDescent="0.2">
      <c r="A53" s="7" t="s">
        <v>8</v>
      </c>
      <c r="B53" s="8" t="s">
        <v>29</v>
      </c>
      <c r="C53" s="16">
        <v>0.03</v>
      </c>
      <c r="D53" s="13">
        <f t="shared" si="0"/>
        <v>42.02</v>
      </c>
    </row>
    <row r="54" spans="1:4" x14ac:dyDescent="0.2">
      <c r="A54" s="7" t="s">
        <v>10</v>
      </c>
      <c r="B54" s="8" t="s">
        <v>30</v>
      </c>
      <c r="C54" s="9">
        <v>1.4999999999999999E-2</v>
      </c>
      <c r="D54" s="13">
        <f t="shared" si="0"/>
        <v>21.01</v>
      </c>
    </row>
    <row r="55" spans="1:4" x14ac:dyDescent="0.2">
      <c r="A55" s="7" t="s">
        <v>12</v>
      </c>
      <c r="B55" s="8" t="s">
        <v>31</v>
      </c>
      <c r="C55" s="9">
        <v>0.01</v>
      </c>
      <c r="D55" s="13">
        <f t="shared" si="0"/>
        <v>14</v>
      </c>
    </row>
    <row r="56" spans="1:4" x14ac:dyDescent="0.2">
      <c r="A56" s="7" t="s">
        <v>32</v>
      </c>
      <c r="B56" s="8" t="s">
        <v>33</v>
      </c>
      <c r="C56" s="9">
        <v>6.0000000000000001E-3</v>
      </c>
      <c r="D56" s="13">
        <f t="shared" si="0"/>
        <v>8.4</v>
      </c>
    </row>
    <row r="57" spans="1:4" x14ac:dyDescent="0.2">
      <c r="A57" s="7" t="s">
        <v>14</v>
      </c>
      <c r="B57" s="8" t="s">
        <v>34</v>
      </c>
      <c r="C57" s="9">
        <v>2E-3</v>
      </c>
      <c r="D57" s="13">
        <f t="shared" si="0"/>
        <v>2.8</v>
      </c>
    </row>
    <row r="58" spans="1:4" x14ac:dyDescent="0.2">
      <c r="A58" s="7" t="s">
        <v>35</v>
      </c>
      <c r="B58" s="8" t="s">
        <v>36</v>
      </c>
      <c r="C58" s="9">
        <v>0.08</v>
      </c>
      <c r="D58" s="13">
        <f t="shared" si="0"/>
        <v>112.07</v>
      </c>
    </row>
    <row r="59" spans="1:4" x14ac:dyDescent="0.2">
      <c r="A59" s="99" t="s">
        <v>37</v>
      </c>
      <c r="B59" s="99"/>
      <c r="C59" s="15">
        <f>SUM(C51:C58)</f>
        <v>0.36800000000000005</v>
      </c>
      <c r="D59" s="19">
        <f>SUM(D51:D58)</f>
        <v>515.5</v>
      </c>
    </row>
    <row r="62" spans="1:4" x14ac:dyDescent="0.2">
      <c r="A62" s="100" t="s">
        <v>38</v>
      </c>
      <c r="B62" s="100"/>
      <c r="C62" s="100"/>
      <c r="D62" s="100"/>
    </row>
    <row r="64" spans="1:4" x14ac:dyDescent="0.2">
      <c r="A64" s="6" t="s">
        <v>39</v>
      </c>
      <c r="B64" s="101" t="s">
        <v>40</v>
      </c>
      <c r="C64" s="101"/>
      <c r="D64" s="6" t="s">
        <v>3</v>
      </c>
    </row>
    <row r="65" spans="1:5" x14ac:dyDescent="0.2">
      <c r="A65" s="7" t="s">
        <v>4</v>
      </c>
      <c r="B65" s="98" t="s">
        <v>41</v>
      </c>
      <c r="C65" s="98"/>
      <c r="D65" s="13">
        <f>IF((22*2*1.71)-(D28*0.06)&gt;0,(22*2*1.71)-(D28*0.06),0)</f>
        <v>23.080909090909081</v>
      </c>
    </row>
    <row r="66" spans="1:5" x14ac:dyDescent="0.2">
      <c r="A66" s="7" t="s">
        <v>6</v>
      </c>
      <c r="B66" s="98" t="s">
        <v>42</v>
      </c>
      <c r="C66" s="98"/>
      <c r="D66" s="13">
        <v>0</v>
      </c>
    </row>
    <row r="67" spans="1:5" x14ac:dyDescent="0.2">
      <c r="A67" s="7" t="s">
        <v>8</v>
      </c>
      <c r="B67" s="98" t="s">
        <v>113</v>
      </c>
      <c r="C67" s="98"/>
      <c r="D67" s="13">
        <v>280</v>
      </c>
    </row>
    <row r="68" spans="1:5" x14ac:dyDescent="0.2">
      <c r="A68" s="32" t="s">
        <v>10</v>
      </c>
      <c r="B68" s="98" t="s">
        <v>114</v>
      </c>
      <c r="C68" s="98"/>
      <c r="D68" s="13">
        <v>23</v>
      </c>
    </row>
    <row r="69" spans="1:5" x14ac:dyDescent="0.2">
      <c r="A69" s="7" t="s">
        <v>12</v>
      </c>
      <c r="B69" s="98" t="s">
        <v>115</v>
      </c>
      <c r="C69" s="98"/>
      <c r="D69" s="13">
        <v>4.8</v>
      </c>
    </row>
    <row r="70" spans="1:5" x14ac:dyDescent="0.2">
      <c r="A70" s="99" t="s">
        <v>16</v>
      </c>
      <c r="B70" s="99"/>
      <c r="C70" s="99"/>
      <c r="D70" s="19">
        <f>SUM(D65:D69)</f>
        <v>330.88090909090909</v>
      </c>
    </row>
    <row r="73" spans="1:5" x14ac:dyDescent="0.2">
      <c r="A73" s="100" t="s">
        <v>43</v>
      </c>
      <c r="B73" s="100"/>
      <c r="C73" s="100"/>
      <c r="D73" s="100"/>
    </row>
    <row r="75" spans="1:5" x14ac:dyDescent="0.2">
      <c r="A75" s="6">
        <v>2</v>
      </c>
      <c r="B75" s="101" t="s">
        <v>44</v>
      </c>
      <c r="C75" s="101"/>
      <c r="D75" s="6" t="s">
        <v>3</v>
      </c>
    </row>
    <row r="76" spans="1:5" x14ac:dyDescent="0.2">
      <c r="A76" s="7" t="s">
        <v>19</v>
      </c>
      <c r="B76" s="98" t="s">
        <v>20</v>
      </c>
      <c r="C76" s="98"/>
      <c r="D76" s="14">
        <f>D45</f>
        <v>228.01</v>
      </c>
    </row>
    <row r="77" spans="1:5" x14ac:dyDescent="0.2">
      <c r="A77" s="7" t="s">
        <v>24</v>
      </c>
      <c r="B77" s="98" t="s">
        <v>25</v>
      </c>
      <c r="C77" s="98"/>
      <c r="D77" s="14">
        <f>D59</f>
        <v>515.5</v>
      </c>
    </row>
    <row r="78" spans="1:5" x14ac:dyDescent="0.2">
      <c r="A78" s="7" t="s">
        <v>39</v>
      </c>
      <c r="B78" s="98" t="s">
        <v>40</v>
      </c>
      <c r="C78" s="98"/>
      <c r="D78" s="14">
        <f>D70</f>
        <v>330.88090909090909</v>
      </c>
    </row>
    <row r="79" spans="1:5" x14ac:dyDescent="0.2">
      <c r="A79" s="99" t="s">
        <v>16</v>
      </c>
      <c r="B79" s="99"/>
      <c r="C79" s="99"/>
      <c r="D79" s="19">
        <f>SUM(D76:D78)</f>
        <v>1074.3909090909092</v>
      </c>
    </row>
    <row r="80" spans="1:5" x14ac:dyDescent="0.2">
      <c r="A80" s="4"/>
      <c r="E80" s="18"/>
    </row>
    <row r="82" spans="1:5" x14ac:dyDescent="0.2">
      <c r="A82" s="102" t="s">
        <v>45</v>
      </c>
      <c r="B82" s="102"/>
      <c r="C82" s="102"/>
      <c r="D82" s="102"/>
      <c r="E82" s="17"/>
    </row>
    <row r="83" spans="1:5" ht="12.75" customHeight="1" x14ac:dyDescent="0.2">
      <c r="E83" s="18"/>
    </row>
    <row r="84" spans="1:5" x14ac:dyDescent="0.2">
      <c r="A84" s="6">
        <v>3</v>
      </c>
      <c r="B84" s="101" t="s">
        <v>46</v>
      </c>
      <c r="C84" s="101"/>
      <c r="D84" s="6" t="s">
        <v>3</v>
      </c>
    </row>
    <row r="85" spans="1:5" x14ac:dyDescent="0.2">
      <c r="A85" s="7" t="s">
        <v>4</v>
      </c>
      <c r="B85" s="10" t="s">
        <v>47</v>
      </c>
      <c r="C85" s="9">
        <f>TRUNC(((1/12)*5%),4)</f>
        <v>4.1000000000000003E-3</v>
      </c>
      <c r="D85" s="13">
        <f>TRUNC($D$35*C85,2)</f>
        <v>4.8</v>
      </c>
    </row>
    <row r="86" spans="1:5" x14ac:dyDescent="0.2">
      <c r="A86" s="7" t="s">
        <v>6</v>
      </c>
      <c r="B86" s="10" t="s">
        <v>48</v>
      </c>
      <c r="C86" s="9">
        <v>0.08</v>
      </c>
      <c r="D86" s="13">
        <f>TRUNC(D85*C86,2)</f>
        <v>0.38</v>
      </c>
    </row>
    <row r="87" spans="1:5" x14ac:dyDescent="0.2">
      <c r="A87" s="7" t="s">
        <v>8</v>
      </c>
      <c r="B87" s="10" t="s">
        <v>97</v>
      </c>
      <c r="C87" s="9">
        <f>TRUNC(8%*5%*40%,4)</f>
        <v>1.6000000000000001E-3</v>
      </c>
      <c r="D87" s="13">
        <f>TRUNC($D$35*C87,2)</f>
        <v>1.87</v>
      </c>
    </row>
    <row r="88" spans="1:5" x14ac:dyDescent="0.2">
      <c r="A88" s="7" t="s">
        <v>10</v>
      </c>
      <c r="B88" s="10" t="s">
        <v>49</v>
      </c>
      <c r="C88" s="9">
        <f>TRUNC(((7/30)/12)*95%,4)</f>
        <v>1.84E-2</v>
      </c>
      <c r="D88" s="13">
        <f>TRUNC($D$35*C88,2)</f>
        <v>21.58</v>
      </c>
    </row>
    <row r="89" spans="1:5" ht="25.5" x14ac:dyDescent="0.2">
      <c r="A89" s="7" t="s">
        <v>12</v>
      </c>
      <c r="B89" s="10" t="s">
        <v>92</v>
      </c>
      <c r="C89" s="9">
        <f>C59</f>
        <v>0.36800000000000005</v>
      </c>
      <c r="D89" s="13">
        <f>TRUNC(D88*C89,2)</f>
        <v>7.94</v>
      </c>
    </row>
    <row r="90" spans="1:5" x14ac:dyDescent="0.2">
      <c r="A90" s="7" t="s">
        <v>32</v>
      </c>
      <c r="B90" s="10" t="s">
        <v>98</v>
      </c>
      <c r="C90" s="9">
        <f>TRUNC(8%*95%*40%,4)</f>
        <v>3.04E-2</v>
      </c>
      <c r="D90" s="13">
        <f t="shared" ref="D90" si="1">TRUNC($D$35*C90,2)</f>
        <v>35.65</v>
      </c>
    </row>
    <row r="91" spans="1:5" x14ac:dyDescent="0.2">
      <c r="A91" s="105" t="s">
        <v>16</v>
      </c>
      <c r="B91" s="106"/>
      <c r="C91" s="107"/>
      <c r="D91" s="19">
        <f>SUM(D85:D90)</f>
        <v>72.22</v>
      </c>
    </row>
    <row r="94" spans="1:5" x14ac:dyDescent="0.2">
      <c r="A94" s="102" t="s">
        <v>50</v>
      </c>
      <c r="B94" s="102"/>
      <c r="C94" s="102"/>
      <c r="D94" s="102"/>
    </row>
    <row r="97" spans="1:6" x14ac:dyDescent="0.2">
      <c r="A97" s="100" t="s">
        <v>76</v>
      </c>
      <c r="B97" s="100"/>
      <c r="C97" s="100"/>
      <c r="D97" s="100"/>
    </row>
    <row r="98" spans="1:6" x14ac:dyDescent="0.2">
      <c r="A98" s="3"/>
    </row>
    <row r="99" spans="1:6" x14ac:dyDescent="0.2">
      <c r="A99" s="6" t="s">
        <v>51</v>
      </c>
      <c r="B99" s="101" t="s">
        <v>77</v>
      </c>
      <c r="C99" s="101"/>
      <c r="D99" s="6" t="s">
        <v>3</v>
      </c>
    </row>
    <row r="100" spans="1:6" x14ac:dyDescent="0.2">
      <c r="A100" s="7" t="s">
        <v>4</v>
      </c>
      <c r="B100" s="8" t="s">
        <v>78</v>
      </c>
      <c r="C100" s="9">
        <f>TRUNC(((1+1/3)/12)/12,4)</f>
        <v>9.1999999999999998E-3</v>
      </c>
      <c r="D100" s="13">
        <f>TRUNC(($D$35+$D$79+$D$91)*C100,2)</f>
        <v>21.33</v>
      </c>
    </row>
    <row r="101" spans="1:6" x14ac:dyDescent="0.2">
      <c r="A101" s="7" t="s">
        <v>6</v>
      </c>
      <c r="B101" s="8" t="s">
        <v>79</v>
      </c>
      <c r="C101" s="9">
        <f>TRUNC(((2/30)/12),4)</f>
        <v>5.4999999999999997E-3</v>
      </c>
      <c r="D101" s="13">
        <f t="shared" ref="D101:D105" si="2">TRUNC(($D$35+$D$79+$D$91)*C101,2)</f>
        <v>12.75</v>
      </c>
    </row>
    <row r="102" spans="1:6" x14ac:dyDescent="0.2">
      <c r="A102" s="7" t="s">
        <v>8</v>
      </c>
      <c r="B102" s="8" t="s">
        <v>80</v>
      </c>
      <c r="C102" s="9">
        <f>TRUNC(((5/30)/12)*2%,4)</f>
        <v>2.0000000000000001E-4</v>
      </c>
      <c r="D102" s="13">
        <f t="shared" si="2"/>
        <v>0.46</v>
      </c>
    </row>
    <row r="103" spans="1:6" x14ac:dyDescent="0.2">
      <c r="A103" s="7" t="s">
        <v>10</v>
      </c>
      <c r="B103" s="8" t="s">
        <v>81</v>
      </c>
      <c r="C103" s="9">
        <f>TRUNC(((15/30)/12)*8%,4)</f>
        <v>3.3E-3</v>
      </c>
      <c r="D103" s="13">
        <f t="shared" si="2"/>
        <v>7.65</v>
      </c>
    </row>
    <row r="104" spans="1:6" x14ac:dyDescent="0.2">
      <c r="A104" s="7" t="s">
        <v>12</v>
      </c>
      <c r="B104" s="8" t="s">
        <v>82</v>
      </c>
      <c r="C104" s="9">
        <f>((1+1/3)/12)*3%*(4/12)</f>
        <v>1.1111111111111109E-3</v>
      </c>
      <c r="D104" s="13">
        <f t="shared" si="2"/>
        <v>2.57</v>
      </c>
    </row>
    <row r="105" spans="1:6" x14ac:dyDescent="0.2">
      <c r="A105" s="7" t="s">
        <v>32</v>
      </c>
      <c r="B105" s="8" t="s">
        <v>83</v>
      </c>
      <c r="C105" s="9"/>
      <c r="D105" s="13">
        <f t="shared" si="2"/>
        <v>0</v>
      </c>
    </row>
    <row r="106" spans="1:6" x14ac:dyDescent="0.2">
      <c r="A106" s="99" t="s">
        <v>37</v>
      </c>
      <c r="B106" s="99"/>
      <c r="C106" s="99"/>
      <c r="D106" s="19">
        <f>SUM(D100:D105)</f>
        <v>44.76</v>
      </c>
      <c r="E106" s="17"/>
      <c r="F106" s="17"/>
    </row>
    <row r="109" spans="1:6" x14ac:dyDescent="0.2">
      <c r="A109" s="100" t="s">
        <v>84</v>
      </c>
      <c r="B109" s="100"/>
      <c r="C109" s="100"/>
      <c r="D109" s="100"/>
    </row>
    <row r="110" spans="1:6" x14ac:dyDescent="0.2">
      <c r="A110" s="3"/>
    </row>
    <row r="111" spans="1:6" x14ac:dyDescent="0.2">
      <c r="A111" s="6" t="s">
        <v>52</v>
      </c>
      <c r="B111" s="101" t="s">
        <v>85</v>
      </c>
      <c r="C111" s="101"/>
      <c r="D111" s="6" t="s">
        <v>3</v>
      </c>
    </row>
    <row r="112" spans="1:6" x14ac:dyDescent="0.2">
      <c r="A112" s="7" t="s">
        <v>4</v>
      </c>
      <c r="B112" s="108" t="s">
        <v>86</v>
      </c>
      <c r="C112" s="109"/>
      <c r="D112" s="13">
        <f>((D35+D79+D91)/220)*22*0</f>
        <v>0</v>
      </c>
    </row>
    <row r="113" spans="1:4" x14ac:dyDescent="0.2">
      <c r="A113" s="99" t="s">
        <v>16</v>
      </c>
      <c r="B113" s="99"/>
      <c r="C113" s="99"/>
      <c r="D113" s="19">
        <f>SUM(D112)</f>
        <v>0</v>
      </c>
    </row>
    <row r="116" spans="1:4" x14ac:dyDescent="0.2">
      <c r="A116" s="100" t="s">
        <v>53</v>
      </c>
      <c r="B116" s="100"/>
      <c r="C116" s="100"/>
      <c r="D116" s="100"/>
    </row>
    <row r="117" spans="1:4" x14ac:dyDescent="0.2">
      <c r="A117" s="3"/>
    </row>
    <row r="118" spans="1:4" x14ac:dyDescent="0.2">
      <c r="A118" s="6">
        <v>4</v>
      </c>
      <c r="B118" s="99" t="s">
        <v>54</v>
      </c>
      <c r="C118" s="99"/>
      <c r="D118" s="6" t="s">
        <v>3</v>
      </c>
    </row>
    <row r="119" spans="1:4" x14ac:dyDescent="0.2">
      <c r="A119" s="7" t="s">
        <v>51</v>
      </c>
      <c r="B119" s="98" t="s">
        <v>77</v>
      </c>
      <c r="C119" s="98"/>
      <c r="D119" s="14">
        <f>D106</f>
        <v>44.76</v>
      </c>
    </row>
    <row r="120" spans="1:4" x14ac:dyDescent="0.2">
      <c r="A120" s="7" t="s">
        <v>52</v>
      </c>
      <c r="B120" s="98" t="s">
        <v>85</v>
      </c>
      <c r="C120" s="98"/>
      <c r="D120" s="14">
        <f>D113</f>
        <v>0</v>
      </c>
    </row>
    <row r="121" spans="1:4" x14ac:dyDescent="0.2">
      <c r="A121" s="99" t="s">
        <v>16</v>
      </c>
      <c r="B121" s="99"/>
      <c r="C121" s="99"/>
      <c r="D121" s="19">
        <f>SUM(D119:D120)</f>
        <v>44.76</v>
      </c>
    </row>
    <row r="124" spans="1:4" x14ac:dyDescent="0.2">
      <c r="A124" s="102" t="s">
        <v>55</v>
      </c>
      <c r="B124" s="102"/>
      <c r="C124" s="102"/>
      <c r="D124" s="102"/>
    </row>
    <row r="126" spans="1:4" x14ac:dyDescent="0.2">
      <c r="A126" s="6">
        <v>5</v>
      </c>
      <c r="B126" s="110" t="s">
        <v>56</v>
      </c>
      <c r="C126" s="110"/>
      <c r="D126" s="6" t="s">
        <v>3</v>
      </c>
    </row>
    <row r="127" spans="1:4" x14ac:dyDescent="0.2">
      <c r="A127" s="7" t="s">
        <v>4</v>
      </c>
      <c r="B127" s="8" t="s">
        <v>57</v>
      </c>
      <c r="C127" s="8"/>
      <c r="D127" s="13">
        <v>8.76</v>
      </c>
    </row>
    <row r="128" spans="1:4" x14ac:dyDescent="0.2">
      <c r="A128" s="7" t="s">
        <v>6</v>
      </c>
      <c r="B128" s="8" t="s">
        <v>58</v>
      </c>
      <c r="C128" s="8"/>
      <c r="D128" s="13">
        <v>0</v>
      </c>
    </row>
    <row r="129" spans="1:4" x14ac:dyDescent="0.2">
      <c r="A129" s="7" t="s">
        <v>8</v>
      </c>
      <c r="B129" s="8" t="s">
        <v>59</v>
      </c>
      <c r="C129" s="8"/>
      <c r="D129" s="13">
        <v>2.2200000000000002</v>
      </c>
    </row>
    <row r="130" spans="1:4" x14ac:dyDescent="0.2">
      <c r="A130" s="7" t="s">
        <v>10</v>
      </c>
      <c r="B130" s="8" t="s">
        <v>119</v>
      </c>
      <c r="C130" s="8"/>
      <c r="D130" s="13">
        <v>0.86</v>
      </c>
    </row>
    <row r="131" spans="1:4" x14ac:dyDescent="0.2">
      <c r="A131" s="99" t="s">
        <v>37</v>
      </c>
      <c r="B131" s="99"/>
      <c r="C131" s="99"/>
      <c r="D131" s="20">
        <f>SUM(D127:D130)</f>
        <v>11.84</v>
      </c>
    </row>
    <row r="134" spans="1:4" x14ac:dyDescent="0.2">
      <c r="A134" s="102" t="s">
        <v>60</v>
      </c>
      <c r="B134" s="102"/>
      <c r="C134" s="102"/>
      <c r="D134" s="102"/>
    </row>
    <row r="136" spans="1:4" x14ac:dyDescent="0.2">
      <c r="A136" s="6">
        <v>6</v>
      </c>
      <c r="B136" s="11" t="s">
        <v>61</v>
      </c>
      <c r="C136" s="6" t="s">
        <v>26</v>
      </c>
      <c r="D136" s="6" t="s">
        <v>3</v>
      </c>
    </row>
    <row r="137" spans="1:4" x14ac:dyDescent="0.2">
      <c r="A137" s="7" t="s">
        <v>4</v>
      </c>
      <c r="B137" s="8" t="s">
        <v>62</v>
      </c>
      <c r="C137" s="9">
        <v>0.05</v>
      </c>
      <c r="D137" s="14">
        <f>D157*C137</f>
        <v>118.80645454545457</v>
      </c>
    </row>
    <row r="138" spans="1:4" x14ac:dyDescent="0.2">
      <c r="A138" s="7" t="s">
        <v>6</v>
      </c>
      <c r="B138" s="8" t="s">
        <v>63</v>
      </c>
      <c r="C138" s="9">
        <v>0.06</v>
      </c>
      <c r="D138" s="13">
        <f>(D157+D137)*C138</f>
        <v>149.69613272727273</v>
      </c>
    </row>
    <row r="139" spans="1:4" x14ac:dyDescent="0.2">
      <c r="A139" s="7" t="s">
        <v>8</v>
      </c>
      <c r="B139" s="8" t="s">
        <v>64</v>
      </c>
      <c r="C139" s="12">
        <f>SUM(C140:C145)</f>
        <v>8.6499999999999994E-2</v>
      </c>
      <c r="D139" s="13">
        <f>(D157+D137+D138)*C139/(1-C139)</f>
        <v>250.4221567189133</v>
      </c>
    </row>
    <row r="140" spans="1:4" x14ac:dyDescent="0.2">
      <c r="A140" s="7"/>
      <c r="B140" s="8" t="s">
        <v>65</v>
      </c>
      <c r="C140" s="9"/>
      <c r="D140" s="14">
        <f>$D$159*C140</f>
        <v>0</v>
      </c>
    </row>
    <row r="141" spans="1:4" x14ac:dyDescent="0.2">
      <c r="A141" s="7"/>
      <c r="B141" s="25" t="s">
        <v>94</v>
      </c>
      <c r="C141" s="9">
        <v>6.4999999999999997E-3</v>
      </c>
      <c r="D141" s="14">
        <f t="shared" ref="D141:D142" si="3">$D$159*C141</f>
        <v>18.817849926854755</v>
      </c>
    </row>
    <row r="142" spans="1:4" x14ac:dyDescent="0.2">
      <c r="A142" s="7"/>
      <c r="B142" s="25" t="s">
        <v>95</v>
      </c>
      <c r="C142" s="9">
        <v>0.03</v>
      </c>
      <c r="D142" s="14">
        <f t="shared" si="3"/>
        <v>86.851615047021951</v>
      </c>
    </row>
    <row r="143" spans="1:4" x14ac:dyDescent="0.2">
      <c r="A143" s="7"/>
      <c r="B143" s="8" t="s">
        <v>66</v>
      </c>
      <c r="C143" s="7"/>
      <c r="D143" s="14">
        <f t="shared" ref="D143:D144" si="4">$D$159*C143</f>
        <v>0</v>
      </c>
    </row>
    <row r="144" spans="1:4" x14ac:dyDescent="0.2">
      <c r="A144" s="7"/>
      <c r="B144" s="8" t="s">
        <v>67</v>
      </c>
      <c r="C144" s="9"/>
      <c r="D144" s="14">
        <f t="shared" si="4"/>
        <v>0</v>
      </c>
    </row>
    <row r="145" spans="1:4" x14ac:dyDescent="0.2">
      <c r="A145" s="7"/>
      <c r="B145" s="25" t="s">
        <v>96</v>
      </c>
      <c r="C145" s="9">
        <v>0.05</v>
      </c>
      <c r="D145" s="14">
        <f t="shared" ref="D145" si="5">$D$159*C145</f>
        <v>144.7526917450366</v>
      </c>
    </row>
    <row r="146" spans="1:4" ht="13.5" x14ac:dyDescent="0.2">
      <c r="A146" s="105" t="s">
        <v>37</v>
      </c>
      <c r="B146" s="106"/>
      <c r="C146" s="21">
        <f>ROUND((1+C138)*(1+C137)/(1-C139)-1,4)</f>
        <v>0.21840000000000001</v>
      </c>
      <c r="D146" s="19">
        <f>SUM(D137:D139)</f>
        <v>518.92474399164053</v>
      </c>
    </row>
    <row r="149" spans="1:4" x14ac:dyDescent="0.2">
      <c r="A149" s="102" t="s">
        <v>104</v>
      </c>
      <c r="B149" s="102"/>
      <c r="C149" s="102"/>
      <c r="D149" s="102"/>
    </row>
    <row r="151" spans="1:4" x14ac:dyDescent="0.2">
      <c r="A151" s="6"/>
      <c r="B151" s="99" t="s">
        <v>68</v>
      </c>
      <c r="C151" s="99"/>
      <c r="D151" s="6" t="s">
        <v>3</v>
      </c>
    </row>
    <row r="152" spans="1:4" x14ac:dyDescent="0.2">
      <c r="A152" s="6" t="s">
        <v>4</v>
      </c>
      <c r="B152" s="98" t="s">
        <v>1</v>
      </c>
      <c r="C152" s="98"/>
      <c r="D152" s="22">
        <f>D35</f>
        <v>1172.9181818181819</v>
      </c>
    </row>
    <row r="153" spans="1:4" x14ac:dyDescent="0.2">
      <c r="A153" s="6" t="s">
        <v>6</v>
      </c>
      <c r="B153" s="98" t="s">
        <v>17</v>
      </c>
      <c r="C153" s="98"/>
      <c r="D153" s="22">
        <f>D79</f>
        <v>1074.3909090909092</v>
      </c>
    </row>
    <row r="154" spans="1:4" x14ac:dyDescent="0.2">
      <c r="A154" s="6" t="s">
        <v>8</v>
      </c>
      <c r="B154" s="98" t="s">
        <v>45</v>
      </c>
      <c r="C154" s="98"/>
      <c r="D154" s="22">
        <f>D91</f>
        <v>72.22</v>
      </c>
    </row>
    <row r="155" spans="1:4" x14ac:dyDescent="0.2">
      <c r="A155" s="6" t="s">
        <v>10</v>
      </c>
      <c r="B155" s="98" t="s">
        <v>50</v>
      </c>
      <c r="C155" s="98"/>
      <c r="D155" s="22">
        <f>D121</f>
        <v>44.76</v>
      </c>
    </row>
    <row r="156" spans="1:4" x14ac:dyDescent="0.2">
      <c r="A156" s="6" t="s">
        <v>12</v>
      </c>
      <c r="B156" s="98" t="s">
        <v>55</v>
      </c>
      <c r="C156" s="98"/>
      <c r="D156" s="22">
        <f>D131</f>
        <v>11.84</v>
      </c>
    </row>
    <row r="157" spans="1:4" x14ac:dyDescent="0.2">
      <c r="A157" s="99" t="s">
        <v>93</v>
      </c>
      <c r="B157" s="99"/>
      <c r="C157" s="99"/>
      <c r="D157" s="23">
        <f>SUM(D152:D156)</f>
        <v>2376.1290909090912</v>
      </c>
    </row>
    <row r="158" spans="1:4" x14ac:dyDescent="0.2">
      <c r="A158" s="6" t="s">
        <v>32</v>
      </c>
      <c r="B158" s="98" t="s">
        <v>69</v>
      </c>
      <c r="C158" s="98"/>
      <c r="D158" s="24">
        <f>D146</f>
        <v>518.92474399164053</v>
      </c>
    </row>
    <row r="159" spans="1:4" x14ac:dyDescent="0.2">
      <c r="A159" s="99" t="s">
        <v>70</v>
      </c>
      <c r="B159" s="99"/>
      <c r="C159" s="99"/>
      <c r="D159" s="23">
        <f>SUM(D157:D158)</f>
        <v>2895.053834900732</v>
      </c>
    </row>
  </sheetData>
  <mergeCells count="75">
    <mergeCell ref="A5:D5"/>
    <mergeCell ref="A14:B14"/>
    <mergeCell ref="A15:B15"/>
    <mergeCell ref="C20:D20"/>
    <mergeCell ref="A45:B45"/>
    <mergeCell ref="B30:C30"/>
    <mergeCell ref="C19:D19"/>
    <mergeCell ref="C21:D21"/>
    <mergeCell ref="C22:D22"/>
    <mergeCell ref="C23:D23"/>
    <mergeCell ref="A25:D25"/>
    <mergeCell ref="A38:D38"/>
    <mergeCell ref="B9:D9"/>
    <mergeCell ref="B10:D10"/>
    <mergeCell ref="B158:C158"/>
    <mergeCell ref="A159:C159"/>
    <mergeCell ref="A134:D134"/>
    <mergeCell ref="B112:C112"/>
    <mergeCell ref="B120:C120"/>
    <mergeCell ref="A121:C121"/>
    <mergeCell ref="A124:D124"/>
    <mergeCell ref="B126:C126"/>
    <mergeCell ref="A131:C131"/>
    <mergeCell ref="A146:B146"/>
    <mergeCell ref="A149:D149"/>
    <mergeCell ref="B151:C151"/>
    <mergeCell ref="B152:C152"/>
    <mergeCell ref="B153:C153"/>
    <mergeCell ref="B154:C154"/>
    <mergeCell ref="B155:C155"/>
    <mergeCell ref="B111:C111"/>
    <mergeCell ref="A113:C113"/>
    <mergeCell ref="A116:D116"/>
    <mergeCell ref="B118:C118"/>
    <mergeCell ref="B119:C119"/>
    <mergeCell ref="A97:D97"/>
    <mergeCell ref="B99:C99"/>
    <mergeCell ref="B67:C67"/>
    <mergeCell ref="B69:C69"/>
    <mergeCell ref="A70:C70"/>
    <mergeCell ref="A94:D94"/>
    <mergeCell ref="A91:C91"/>
    <mergeCell ref="B68:C68"/>
    <mergeCell ref="A1:D1"/>
    <mergeCell ref="A48:D48"/>
    <mergeCell ref="A59:B59"/>
    <mergeCell ref="A40:D40"/>
    <mergeCell ref="B42:C42"/>
    <mergeCell ref="B31:C31"/>
    <mergeCell ref="B32:C32"/>
    <mergeCell ref="B34:C34"/>
    <mergeCell ref="B33:C33"/>
    <mergeCell ref="A35:C35"/>
    <mergeCell ref="A17:D17"/>
    <mergeCell ref="B27:C27"/>
    <mergeCell ref="B28:C28"/>
    <mergeCell ref="B29:C29"/>
    <mergeCell ref="A3:D3"/>
    <mergeCell ref="A12:D12"/>
    <mergeCell ref="B156:C156"/>
    <mergeCell ref="A157:C157"/>
    <mergeCell ref="A62:D62"/>
    <mergeCell ref="B64:C64"/>
    <mergeCell ref="B65:C65"/>
    <mergeCell ref="B66:C66"/>
    <mergeCell ref="A73:D73"/>
    <mergeCell ref="B75:C75"/>
    <mergeCell ref="B76:C76"/>
    <mergeCell ref="B77:C77"/>
    <mergeCell ref="B78:C78"/>
    <mergeCell ref="A79:C79"/>
    <mergeCell ref="A82:D82"/>
    <mergeCell ref="B84:C84"/>
    <mergeCell ref="A106:C106"/>
    <mergeCell ref="A109:D109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9"/>
  <sheetViews>
    <sheetView topLeftCell="A64" zoomScale="115" zoomScaleNormal="115" workbookViewId="0">
      <selection activeCell="D131" sqref="D131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103" t="s">
        <v>0</v>
      </c>
      <c r="B1" s="103"/>
      <c r="C1" s="103"/>
      <c r="D1" s="103"/>
    </row>
    <row r="2" spans="1:4" ht="15.75" x14ac:dyDescent="0.25">
      <c r="A2" s="26"/>
      <c r="B2" s="26"/>
      <c r="C2" s="26"/>
      <c r="D2" s="26"/>
    </row>
    <row r="3" spans="1:4" x14ac:dyDescent="0.2">
      <c r="A3" s="102" t="s">
        <v>102</v>
      </c>
      <c r="B3" s="102"/>
      <c r="C3" s="102"/>
      <c r="D3" s="102"/>
    </row>
    <row r="4" spans="1:4" x14ac:dyDescent="0.2">
      <c r="A4" s="2"/>
      <c r="B4" s="2"/>
      <c r="C4" s="2"/>
      <c r="D4" s="2"/>
    </row>
    <row r="5" spans="1:4" x14ac:dyDescent="0.2">
      <c r="A5" s="111" t="s">
        <v>103</v>
      </c>
      <c r="B5" s="112"/>
      <c r="C5" s="112"/>
      <c r="D5" s="113"/>
    </row>
    <row r="6" spans="1:4" x14ac:dyDescent="0.2">
      <c r="A6" s="33" t="s">
        <v>4</v>
      </c>
      <c r="B6" s="34" t="s">
        <v>99</v>
      </c>
      <c r="C6" s="35"/>
      <c r="D6" s="36" t="s">
        <v>106</v>
      </c>
    </row>
    <row r="7" spans="1:4" x14ac:dyDescent="0.2">
      <c r="A7" s="33" t="s">
        <v>6</v>
      </c>
      <c r="B7" s="34" t="s">
        <v>100</v>
      </c>
      <c r="C7" s="35"/>
      <c r="D7" s="36" t="s">
        <v>105</v>
      </c>
    </row>
    <row r="8" spans="1:4" x14ac:dyDescent="0.2">
      <c r="A8" s="33" t="s">
        <v>8</v>
      </c>
      <c r="B8" s="34" t="s">
        <v>101</v>
      </c>
      <c r="C8" s="35"/>
      <c r="D8" s="37">
        <v>45629</v>
      </c>
    </row>
    <row r="9" spans="1:4" x14ac:dyDescent="0.2">
      <c r="A9" s="33" t="s">
        <v>10</v>
      </c>
      <c r="B9" s="120" t="s">
        <v>107</v>
      </c>
      <c r="C9" s="121"/>
      <c r="D9" s="122"/>
    </row>
    <row r="10" spans="1:4" x14ac:dyDescent="0.2">
      <c r="A10" s="33" t="s">
        <v>12</v>
      </c>
      <c r="B10" s="120" t="s">
        <v>108</v>
      </c>
      <c r="C10" s="121"/>
      <c r="D10" s="122"/>
    </row>
    <row r="12" spans="1:4" x14ac:dyDescent="0.2">
      <c r="A12" s="102" t="s">
        <v>87</v>
      </c>
      <c r="B12" s="102"/>
      <c r="C12" s="102"/>
      <c r="D12" s="102"/>
    </row>
    <row r="13" spans="1:4" x14ac:dyDescent="0.2">
      <c r="A13" s="2"/>
      <c r="B13" s="2"/>
      <c r="C13" s="2"/>
      <c r="D13" s="2"/>
    </row>
    <row r="14" spans="1:4" ht="38.25" x14ac:dyDescent="0.2">
      <c r="A14" s="114" t="s">
        <v>88</v>
      </c>
      <c r="B14" s="114"/>
      <c r="C14" s="32" t="s">
        <v>89</v>
      </c>
      <c r="D14" s="27" t="s">
        <v>90</v>
      </c>
    </row>
    <row r="15" spans="1:4" x14ac:dyDescent="0.2">
      <c r="A15" s="115" t="s">
        <v>116</v>
      </c>
      <c r="B15" s="115"/>
      <c r="C15" s="42" t="s">
        <v>110</v>
      </c>
      <c r="D15" s="42">
        <v>2</v>
      </c>
    </row>
    <row r="17" spans="1:4" x14ac:dyDescent="0.2">
      <c r="A17" s="102" t="s">
        <v>71</v>
      </c>
      <c r="B17" s="102"/>
      <c r="C17" s="102"/>
      <c r="D17" s="102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72</v>
      </c>
      <c r="C19" s="116" t="s">
        <v>117</v>
      </c>
      <c r="D19" s="117"/>
    </row>
    <row r="20" spans="1:4" x14ac:dyDescent="0.2">
      <c r="A20" s="5">
        <v>2</v>
      </c>
      <c r="B20" s="5" t="s">
        <v>91</v>
      </c>
      <c r="C20" s="116" t="s">
        <v>118</v>
      </c>
      <c r="D20" s="117"/>
    </row>
    <row r="21" spans="1:4" x14ac:dyDescent="0.2">
      <c r="A21" s="5">
        <v>3</v>
      </c>
      <c r="B21" s="5" t="s">
        <v>73</v>
      </c>
      <c r="C21" s="118">
        <v>1530</v>
      </c>
      <c r="D21" s="119"/>
    </row>
    <row r="22" spans="1:4" x14ac:dyDescent="0.2">
      <c r="A22" s="5">
        <v>4</v>
      </c>
      <c r="B22" s="5" t="s">
        <v>74</v>
      </c>
      <c r="C22" s="116"/>
      <c r="D22" s="117"/>
    </row>
    <row r="23" spans="1:4" x14ac:dyDescent="0.2">
      <c r="A23" s="5">
        <v>5</v>
      </c>
      <c r="B23" s="5" t="s">
        <v>75</v>
      </c>
      <c r="C23" s="116"/>
      <c r="D23" s="117"/>
    </row>
    <row r="25" spans="1:4" x14ac:dyDescent="0.2">
      <c r="A25" s="102" t="s">
        <v>1</v>
      </c>
      <c r="B25" s="102"/>
      <c r="C25" s="102"/>
      <c r="D25" s="102"/>
    </row>
    <row r="27" spans="1:4" x14ac:dyDescent="0.2">
      <c r="A27" s="30">
        <v>1</v>
      </c>
      <c r="B27" s="99" t="s">
        <v>2</v>
      </c>
      <c r="C27" s="99"/>
      <c r="D27" s="30" t="s">
        <v>3</v>
      </c>
    </row>
    <row r="28" spans="1:4" x14ac:dyDescent="0.2">
      <c r="A28" s="32" t="s">
        <v>4</v>
      </c>
      <c r="B28" s="98" t="s">
        <v>5</v>
      </c>
      <c r="C28" s="98"/>
      <c r="D28" s="13">
        <f>C21*(25/44)</f>
        <v>869.31818181818187</v>
      </c>
    </row>
    <row r="29" spans="1:4" x14ac:dyDescent="0.2">
      <c r="A29" s="32" t="s">
        <v>6</v>
      </c>
      <c r="B29" s="98" t="s">
        <v>7</v>
      </c>
      <c r="C29" s="98"/>
      <c r="D29" s="13"/>
    </row>
    <row r="30" spans="1:4" x14ac:dyDescent="0.2">
      <c r="A30" s="32" t="s">
        <v>8</v>
      </c>
      <c r="B30" s="98" t="s">
        <v>9</v>
      </c>
      <c r="C30" s="98"/>
      <c r="D30" s="13"/>
    </row>
    <row r="31" spans="1:4" x14ac:dyDescent="0.2">
      <c r="A31" s="32" t="s">
        <v>10</v>
      </c>
      <c r="B31" s="98" t="s">
        <v>11</v>
      </c>
      <c r="C31" s="98"/>
      <c r="D31" s="13"/>
    </row>
    <row r="32" spans="1:4" x14ac:dyDescent="0.2">
      <c r="A32" s="32" t="s">
        <v>12</v>
      </c>
      <c r="B32" s="98" t="s">
        <v>13</v>
      </c>
      <c r="C32" s="98"/>
      <c r="D32" s="13"/>
    </row>
    <row r="33" spans="1:4" x14ac:dyDescent="0.2">
      <c r="A33" s="32"/>
      <c r="B33" s="98"/>
      <c r="C33" s="98"/>
      <c r="D33" s="13"/>
    </row>
    <row r="34" spans="1:4" x14ac:dyDescent="0.2">
      <c r="A34" s="32" t="s">
        <v>14</v>
      </c>
      <c r="B34" s="98" t="s">
        <v>15</v>
      </c>
      <c r="C34" s="98"/>
      <c r="D34" s="13"/>
    </row>
    <row r="35" spans="1:4" x14ac:dyDescent="0.2">
      <c r="A35" s="99" t="s">
        <v>16</v>
      </c>
      <c r="B35" s="99"/>
      <c r="C35" s="99"/>
      <c r="D35" s="20">
        <f>SUM(D28:D34)</f>
        <v>869.31818181818187</v>
      </c>
    </row>
    <row r="38" spans="1:4" x14ac:dyDescent="0.2">
      <c r="A38" s="102" t="s">
        <v>17</v>
      </c>
      <c r="B38" s="102"/>
      <c r="C38" s="102"/>
      <c r="D38" s="102"/>
    </row>
    <row r="39" spans="1:4" x14ac:dyDescent="0.2">
      <c r="A39" s="3"/>
    </row>
    <row r="40" spans="1:4" x14ac:dyDescent="0.2">
      <c r="A40" s="100" t="s">
        <v>18</v>
      </c>
      <c r="B40" s="100"/>
      <c r="C40" s="100"/>
      <c r="D40" s="100"/>
    </row>
    <row r="42" spans="1:4" x14ac:dyDescent="0.2">
      <c r="A42" s="30" t="s">
        <v>19</v>
      </c>
      <c r="B42" s="99" t="s">
        <v>20</v>
      </c>
      <c r="C42" s="99"/>
      <c r="D42" s="30" t="s">
        <v>3</v>
      </c>
    </row>
    <row r="43" spans="1:4" x14ac:dyDescent="0.2">
      <c r="A43" s="32" t="s">
        <v>4</v>
      </c>
      <c r="B43" s="29" t="s">
        <v>21</v>
      </c>
      <c r="C43" s="12">
        <f>TRUNC(1/12,4)</f>
        <v>8.3299999999999999E-2</v>
      </c>
      <c r="D43" s="13">
        <f>TRUNC($D$35*C43,2)</f>
        <v>72.41</v>
      </c>
    </row>
    <row r="44" spans="1:4" x14ac:dyDescent="0.2">
      <c r="A44" s="32" t="s">
        <v>6</v>
      </c>
      <c r="B44" s="29" t="s">
        <v>22</v>
      </c>
      <c r="C44" s="12">
        <f>TRUNC(((1+1/3)/12),4)</f>
        <v>0.1111</v>
      </c>
      <c r="D44" s="13">
        <f>TRUNC($D$35*C44,2)</f>
        <v>96.58</v>
      </c>
    </row>
    <row r="45" spans="1:4" x14ac:dyDescent="0.2">
      <c r="A45" s="99" t="s">
        <v>16</v>
      </c>
      <c r="B45" s="99"/>
      <c r="C45" s="28">
        <f>SUM(C43:C44)</f>
        <v>0.19440000000000002</v>
      </c>
      <c r="D45" s="19">
        <f>SUM(D43:D44)</f>
        <v>168.99</v>
      </c>
    </row>
    <row r="48" spans="1:4" x14ac:dyDescent="0.2">
      <c r="A48" s="104" t="s">
        <v>23</v>
      </c>
      <c r="B48" s="104"/>
      <c r="C48" s="104"/>
      <c r="D48" s="104"/>
    </row>
    <row r="50" spans="1:4" x14ac:dyDescent="0.2">
      <c r="A50" s="30" t="s">
        <v>24</v>
      </c>
      <c r="B50" s="30" t="s">
        <v>25</v>
      </c>
      <c r="C50" s="30" t="s">
        <v>26</v>
      </c>
      <c r="D50" s="30" t="s">
        <v>3</v>
      </c>
    </row>
    <row r="51" spans="1:4" x14ac:dyDescent="0.2">
      <c r="A51" s="32" t="s">
        <v>4</v>
      </c>
      <c r="B51" s="29" t="s">
        <v>27</v>
      </c>
      <c r="C51" s="9">
        <v>0.2</v>
      </c>
      <c r="D51" s="13">
        <f>TRUNC(($D$35+$D$45)*C51,2)</f>
        <v>207.66</v>
      </c>
    </row>
    <row r="52" spans="1:4" x14ac:dyDescent="0.2">
      <c r="A52" s="32" t="s">
        <v>6</v>
      </c>
      <c r="B52" s="29" t="s">
        <v>28</v>
      </c>
      <c r="C52" s="9">
        <v>2.5000000000000001E-2</v>
      </c>
      <c r="D52" s="13">
        <f t="shared" ref="D52:D58" si="0">TRUNC(($D$35+$D$45)*C52,2)</f>
        <v>25.95</v>
      </c>
    </row>
    <row r="53" spans="1:4" x14ac:dyDescent="0.2">
      <c r="A53" s="32" t="s">
        <v>8</v>
      </c>
      <c r="B53" s="29" t="s">
        <v>29</v>
      </c>
      <c r="C53" s="16">
        <v>0.03</v>
      </c>
      <c r="D53" s="13">
        <f t="shared" si="0"/>
        <v>31.14</v>
      </c>
    </row>
    <row r="54" spans="1:4" x14ac:dyDescent="0.2">
      <c r="A54" s="32" t="s">
        <v>10</v>
      </c>
      <c r="B54" s="29" t="s">
        <v>30</v>
      </c>
      <c r="C54" s="9">
        <v>1.4999999999999999E-2</v>
      </c>
      <c r="D54" s="13">
        <f t="shared" si="0"/>
        <v>15.57</v>
      </c>
    </row>
    <row r="55" spans="1:4" x14ac:dyDescent="0.2">
      <c r="A55" s="32" t="s">
        <v>12</v>
      </c>
      <c r="B55" s="29" t="s">
        <v>31</v>
      </c>
      <c r="C55" s="9">
        <v>0.01</v>
      </c>
      <c r="D55" s="13">
        <f t="shared" si="0"/>
        <v>10.38</v>
      </c>
    </row>
    <row r="56" spans="1:4" x14ac:dyDescent="0.2">
      <c r="A56" s="32" t="s">
        <v>32</v>
      </c>
      <c r="B56" s="29" t="s">
        <v>33</v>
      </c>
      <c r="C56" s="9">
        <v>6.0000000000000001E-3</v>
      </c>
      <c r="D56" s="13">
        <f t="shared" si="0"/>
        <v>6.22</v>
      </c>
    </row>
    <row r="57" spans="1:4" x14ac:dyDescent="0.2">
      <c r="A57" s="32" t="s">
        <v>14</v>
      </c>
      <c r="B57" s="29" t="s">
        <v>34</v>
      </c>
      <c r="C57" s="9">
        <v>2E-3</v>
      </c>
      <c r="D57" s="13">
        <f t="shared" si="0"/>
        <v>2.0699999999999998</v>
      </c>
    </row>
    <row r="58" spans="1:4" x14ac:dyDescent="0.2">
      <c r="A58" s="32" t="s">
        <v>35</v>
      </c>
      <c r="B58" s="29" t="s">
        <v>36</v>
      </c>
      <c r="C58" s="9">
        <v>0.08</v>
      </c>
      <c r="D58" s="13">
        <f t="shared" si="0"/>
        <v>83.06</v>
      </c>
    </row>
    <row r="59" spans="1:4" x14ac:dyDescent="0.2">
      <c r="A59" s="99" t="s">
        <v>37</v>
      </c>
      <c r="B59" s="99"/>
      <c r="C59" s="15">
        <f>SUM(C51:C58)</f>
        <v>0.36800000000000005</v>
      </c>
      <c r="D59" s="19">
        <f>SUM(D51:D58)</f>
        <v>382.05</v>
      </c>
    </row>
    <row r="62" spans="1:4" x14ac:dyDescent="0.2">
      <c r="A62" s="100" t="s">
        <v>38</v>
      </c>
      <c r="B62" s="100"/>
      <c r="C62" s="100"/>
      <c r="D62" s="100"/>
    </row>
    <row r="64" spans="1:4" x14ac:dyDescent="0.2">
      <c r="A64" s="30" t="s">
        <v>39</v>
      </c>
      <c r="B64" s="101" t="s">
        <v>40</v>
      </c>
      <c r="C64" s="101"/>
      <c r="D64" s="30" t="s">
        <v>3</v>
      </c>
    </row>
    <row r="65" spans="1:5" x14ac:dyDescent="0.2">
      <c r="A65" s="32" t="s">
        <v>4</v>
      </c>
      <c r="B65" s="98" t="s">
        <v>41</v>
      </c>
      <c r="C65" s="98"/>
      <c r="D65" s="13">
        <f>IF((22*2*5)-(D28*0.06)&gt;0,(22*2*5)-(D28*0.06),0)</f>
        <v>167.84090909090909</v>
      </c>
    </row>
    <row r="66" spans="1:5" x14ac:dyDescent="0.2">
      <c r="A66" s="32" t="s">
        <v>6</v>
      </c>
      <c r="B66" s="98" t="s">
        <v>42</v>
      </c>
      <c r="C66" s="98"/>
      <c r="D66" s="13">
        <v>0</v>
      </c>
    </row>
    <row r="67" spans="1:5" x14ac:dyDescent="0.2">
      <c r="A67" s="32" t="s">
        <v>8</v>
      </c>
      <c r="B67" s="98" t="s">
        <v>113</v>
      </c>
      <c r="C67" s="98"/>
      <c r="D67" s="13">
        <v>280</v>
      </c>
    </row>
    <row r="68" spans="1:5" x14ac:dyDescent="0.2">
      <c r="A68" s="32" t="s">
        <v>10</v>
      </c>
      <c r="B68" s="98" t="s">
        <v>114</v>
      </c>
      <c r="C68" s="98"/>
      <c r="D68" s="13">
        <v>23</v>
      </c>
    </row>
    <row r="69" spans="1:5" x14ac:dyDescent="0.2">
      <c r="A69" s="32" t="s">
        <v>12</v>
      </c>
      <c r="B69" s="98" t="s">
        <v>115</v>
      </c>
      <c r="C69" s="98"/>
      <c r="D69" s="13">
        <v>4.8</v>
      </c>
    </row>
    <row r="70" spans="1:5" x14ac:dyDescent="0.2">
      <c r="A70" s="99" t="s">
        <v>16</v>
      </c>
      <c r="B70" s="99"/>
      <c r="C70" s="99"/>
      <c r="D70" s="19">
        <f>SUM(D65:D69)</f>
        <v>475.64090909090913</v>
      </c>
    </row>
    <row r="73" spans="1:5" x14ac:dyDescent="0.2">
      <c r="A73" s="100" t="s">
        <v>43</v>
      </c>
      <c r="B73" s="100"/>
      <c r="C73" s="100"/>
      <c r="D73" s="100"/>
    </row>
    <row r="75" spans="1:5" x14ac:dyDescent="0.2">
      <c r="A75" s="30">
        <v>2</v>
      </c>
      <c r="B75" s="101" t="s">
        <v>44</v>
      </c>
      <c r="C75" s="101"/>
      <c r="D75" s="30" t="s">
        <v>3</v>
      </c>
    </row>
    <row r="76" spans="1:5" x14ac:dyDescent="0.2">
      <c r="A76" s="32" t="s">
        <v>19</v>
      </c>
      <c r="B76" s="98" t="s">
        <v>20</v>
      </c>
      <c r="C76" s="98"/>
      <c r="D76" s="14">
        <f>D45</f>
        <v>168.99</v>
      </c>
    </row>
    <row r="77" spans="1:5" x14ac:dyDescent="0.2">
      <c r="A77" s="32" t="s">
        <v>24</v>
      </c>
      <c r="B77" s="98" t="s">
        <v>25</v>
      </c>
      <c r="C77" s="98"/>
      <c r="D77" s="14">
        <f>D59</f>
        <v>382.05</v>
      </c>
    </row>
    <row r="78" spans="1:5" x14ac:dyDescent="0.2">
      <c r="A78" s="32" t="s">
        <v>39</v>
      </c>
      <c r="B78" s="98" t="s">
        <v>40</v>
      </c>
      <c r="C78" s="98"/>
      <c r="D78" s="14">
        <f>D70</f>
        <v>475.64090909090913</v>
      </c>
    </row>
    <row r="79" spans="1:5" x14ac:dyDescent="0.2">
      <c r="A79" s="99" t="s">
        <v>16</v>
      </c>
      <c r="B79" s="99"/>
      <c r="C79" s="99"/>
      <c r="D79" s="19">
        <f>SUM(D76:D78)</f>
        <v>1026.6809090909092</v>
      </c>
    </row>
    <row r="80" spans="1:5" x14ac:dyDescent="0.2">
      <c r="A80" s="4"/>
      <c r="E80" s="18"/>
    </row>
    <row r="82" spans="1:5" x14ac:dyDescent="0.2">
      <c r="A82" s="102" t="s">
        <v>45</v>
      </c>
      <c r="B82" s="102"/>
      <c r="C82" s="102"/>
      <c r="D82" s="102"/>
      <c r="E82" s="17"/>
    </row>
    <row r="83" spans="1:5" ht="12.75" customHeight="1" x14ac:dyDescent="0.2">
      <c r="E83" s="18"/>
    </row>
    <row r="84" spans="1:5" x14ac:dyDescent="0.2">
      <c r="A84" s="30">
        <v>3</v>
      </c>
      <c r="B84" s="101" t="s">
        <v>46</v>
      </c>
      <c r="C84" s="101"/>
      <c r="D84" s="30" t="s">
        <v>3</v>
      </c>
    </row>
    <row r="85" spans="1:5" x14ac:dyDescent="0.2">
      <c r="A85" s="32" t="s">
        <v>4</v>
      </c>
      <c r="B85" s="10" t="s">
        <v>47</v>
      </c>
      <c r="C85" s="9">
        <f>TRUNC(((1/12)*5%),4)</f>
        <v>4.1000000000000003E-3</v>
      </c>
      <c r="D85" s="13">
        <f>TRUNC($D$35*C85,2)</f>
        <v>3.56</v>
      </c>
    </row>
    <row r="86" spans="1:5" x14ac:dyDescent="0.2">
      <c r="A86" s="32" t="s">
        <v>6</v>
      </c>
      <c r="B86" s="10" t="s">
        <v>48</v>
      </c>
      <c r="C86" s="9">
        <v>0.08</v>
      </c>
      <c r="D86" s="13">
        <f>TRUNC(D85*C86,2)</f>
        <v>0.28000000000000003</v>
      </c>
    </row>
    <row r="87" spans="1:5" x14ac:dyDescent="0.2">
      <c r="A87" s="32" t="s">
        <v>8</v>
      </c>
      <c r="B87" s="10" t="s">
        <v>97</v>
      </c>
      <c r="C87" s="9">
        <f>TRUNC(8%*5%*40%,4)</f>
        <v>1.6000000000000001E-3</v>
      </c>
      <c r="D87" s="13">
        <f>TRUNC($D$35*C87,2)</f>
        <v>1.39</v>
      </c>
    </row>
    <row r="88" spans="1:5" x14ac:dyDescent="0.2">
      <c r="A88" s="32" t="s">
        <v>10</v>
      </c>
      <c r="B88" s="10" t="s">
        <v>49</v>
      </c>
      <c r="C88" s="9">
        <f>TRUNC(((7/30)/12)*95%,4)</f>
        <v>1.84E-2</v>
      </c>
      <c r="D88" s="13">
        <f>TRUNC($D$35*C88,2)</f>
        <v>15.99</v>
      </c>
    </row>
    <row r="89" spans="1:5" ht="25.5" x14ac:dyDescent="0.2">
      <c r="A89" s="32" t="s">
        <v>12</v>
      </c>
      <c r="B89" s="10" t="s">
        <v>92</v>
      </c>
      <c r="C89" s="9">
        <f>C59</f>
        <v>0.36800000000000005</v>
      </c>
      <c r="D89" s="13">
        <f>TRUNC(D88*C89,2)</f>
        <v>5.88</v>
      </c>
    </row>
    <row r="90" spans="1:5" x14ac:dyDescent="0.2">
      <c r="A90" s="32" t="s">
        <v>32</v>
      </c>
      <c r="B90" s="10" t="s">
        <v>98</v>
      </c>
      <c r="C90" s="9">
        <f>TRUNC(8%*95%*40%,4)</f>
        <v>3.04E-2</v>
      </c>
      <c r="D90" s="13">
        <f t="shared" ref="D90" si="1">TRUNC($D$35*C90,2)</f>
        <v>26.42</v>
      </c>
    </row>
    <row r="91" spans="1:5" x14ac:dyDescent="0.2">
      <c r="A91" s="105" t="s">
        <v>16</v>
      </c>
      <c r="B91" s="106"/>
      <c r="C91" s="107"/>
      <c r="D91" s="19">
        <f>SUM(D85:D90)</f>
        <v>53.519999999999996</v>
      </c>
    </row>
    <row r="94" spans="1:5" x14ac:dyDescent="0.2">
      <c r="A94" s="102" t="s">
        <v>50</v>
      </c>
      <c r="B94" s="102"/>
      <c r="C94" s="102"/>
      <c r="D94" s="102"/>
    </row>
    <row r="97" spans="1:6" x14ac:dyDescent="0.2">
      <c r="A97" s="100" t="s">
        <v>76</v>
      </c>
      <c r="B97" s="100"/>
      <c r="C97" s="100"/>
      <c r="D97" s="100"/>
    </row>
    <row r="98" spans="1:6" x14ac:dyDescent="0.2">
      <c r="A98" s="3"/>
    </row>
    <row r="99" spans="1:6" x14ac:dyDescent="0.2">
      <c r="A99" s="30" t="s">
        <v>51</v>
      </c>
      <c r="B99" s="101" t="s">
        <v>77</v>
      </c>
      <c r="C99" s="101"/>
      <c r="D99" s="30" t="s">
        <v>3</v>
      </c>
    </row>
    <row r="100" spans="1:6" x14ac:dyDescent="0.2">
      <c r="A100" s="32" t="s">
        <v>4</v>
      </c>
      <c r="B100" s="29" t="s">
        <v>78</v>
      </c>
      <c r="C100" s="9">
        <f>TRUNC(((1+1/3)/12)/12,4)</f>
        <v>9.1999999999999998E-3</v>
      </c>
      <c r="D100" s="13">
        <f>TRUNC(($D$35+$D$79+$D$91)*C100,2)</f>
        <v>17.93</v>
      </c>
    </row>
    <row r="101" spans="1:6" x14ac:dyDescent="0.2">
      <c r="A101" s="32" t="s">
        <v>6</v>
      </c>
      <c r="B101" s="29" t="s">
        <v>79</v>
      </c>
      <c r="C101" s="9">
        <f>TRUNC(((2/30)/12),4)</f>
        <v>5.4999999999999997E-3</v>
      </c>
      <c r="D101" s="13">
        <f t="shared" ref="D101:D105" si="2">TRUNC(($D$35+$D$79+$D$91)*C101,2)</f>
        <v>10.72</v>
      </c>
    </row>
    <row r="102" spans="1:6" x14ac:dyDescent="0.2">
      <c r="A102" s="32" t="s">
        <v>8</v>
      </c>
      <c r="B102" s="29" t="s">
        <v>80</v>
      </c>
      <c r="C102" s="9">
        <f>TRUNC(((5/30)/12)*2%,4)</f>
        <v>2.0000000000000001E-4</v>
      </c>
      <c r="D102" s="13">
        <f t="shared" si="2"/>
        <v>0.38</v>
      </c>
    </row>
    <row r="103" spans="1:6" x14ac:dyDescent="0.2">
      <c r="A103" s="32" t="s">
        <v>10</v>
      </c>
      <c r="B103" s="29" t="s">
        <v>81</v>
      </c>
      <c r="C103" s="9">
        <f>TRUNC(((15/30)/12)*8%,4)</f>
        <v>3.3E-3</v>
      </c>
      <c r="D103" s="13">
        <f t="shared" si="2"/>
        <v>6.43</v>
      </c>
    </row>
    <row r="104" spans="1:6" x14ac:dyDescent="0.2">
      <c r="A104" s="32" t="s">
        <v>12</v>
      </c>
      <c r="B104" s="29" t="s">
        <v>82</v>
      </c>
      <c r="C104" s="9">
        <f>((1+1/3)/12)*3%*(4/12)</f>
        <v>1.1111111111111109E-3</v>
      </c>
      <c r="D104" s="13">
        <f t="shared" si="2"/>
        <v>2.16</v>
      </c>
    </row>
    <row r="105" spans="1:6" x14ac:dyDescent="0.2">
      <c r="A105" s="32" t="s">
        <v>32</v>
      </c>
      <c r="B105" s="29" t="s">
        <v>83</v>
      </c>
      <c r="C105" s="9"/>
      <c r="D105" s="13">
        <f t="shared" si="2"/>
        <v>0</v>
      </c>
    </row>
    <row r="106" spans="1:6" x14ac:dyDescent="0.2">
      <c r="A106" s="99" t="s">
        <v>37</v>
      </c>
      <c r="B106" s="99"/>
      <c r="C106" s="99"/>
      <c r="D106" s="19">
        <f>SUM(D100:D105)</f>
        <v>37.61999999999999</v>
      </c>
      <c r="E106" s="17"/>
      <c r="F106" s="17"/>
    </row>
    <row r="109" spans="1:6" x14ac:dyDescent="0.2">
      <c r="A109" s="100" t="s">
        <v>84</v>
      </c>
      <c r="B109" s="100"/>
      <c r="C109" s="100"/>
      <c r="D109" s="100"/>
    </row>
    <row r="110" spans="1:6" x14ac:dyDescent="0.2">
      <c r="A110" s="3"/>
    </row>
    <row r="111" spans="1:6" x14ac:dyDescent="0.2">
      <c r="A111" s="30" t="s">
        <v>52</v>
      </c>
      <c r="B111" s="101" t="s">
        <v>85</v>
      </c>
      <c r="C111" s="101"/>
      <c r="D111" s="30" t="s">
        <v>3</v>
      </c>
    </row>
    <row r="112" spans="1:6" x14ac:dyDescent="0.2">
      <c r="A112" s="32" t="s">
        <v>4</v>
      </c>
      <c r="B112" s="108" t="s">
        <v>86</v>
      </c>
      <c r="C112" s="109"/>
      <c r="D112" s="13">
        <f>((D35+D79+D91)/220)*22*0</f>
        <v>0</v>
      </c>
    </row>
    <row r="113" spans="1:4" x14ac:dyDescent="0.2">
      <c r="A113" s="99" t="s">
        <v>16</v>
      </c>
      <c r="B113" s="99"/>
      <c r="C113" s="99"/>
      <c r="D113" s="19">
        <f>SUM(D112)</f>
        <v>0</v>
      </c>
    </row>
    <row r="116" spans="1:4" x14ac:dyDescent="0.2">
      <c r="A116" s="100" t="s">
        <v>53</v>
      </c>
      <c r="B116" s="100"/>
      <c r="C116" s="100"/>
      <c r="D116" s="100"/>
    </row>
    <row r="117" spans="1:4" x14ac:dyDescent="0.2">
      <c r="A117" s="3"/>
    </row>
    <row r="118" spans="1:4" x14ac:dyDescent="0.2">
      <c r="A118" s="30">
        <v>4</v>
      </c>
      <c r="B118" s="99" t="s">
        <v>54</v>
      </c>
      <c r="C118" s="99"/>
      <c r="D118" s="30" t="s">
        <v>3</v>
      </c>
    </row>
    <row r="119" spans="1:4" x14ac:dyDescent="0.2">
      <c r="A119" s="32" t="s">
        <v>51</v>
      </c>
      <c r="B119" s="98" t="s">
        <v>77</v>
      </c>
      <c r="C119" s="98"/>
      <c r="D119" s="14">
        <f>D106</f>
        <v>37.61999999999999</v>
      </c>
    </row>
    <row r="120" spans="1:4" x14ac:dyDescent="0.2">
      <c r="A120" s="32" t="s">
        <v>52</v>
      </c>
      <c r="B120" s="98" t="s">
        <v>85</v>
      </c>
      <c r="C120" s="98"/>
      <c r="D120" s="14">
        <f>D113</f>
        <v>0</v>
      </c>
    </row>
    <row r="121" spans="1:4" x14ac:dyDescent="0.2">
      <c r="A121" s="99" t="s">
        <v>16</v>
      </c>
      <c r="B121" s="99"/>
      <c r="C121" s="99"/>
      <c r="D121" s="19">
        <f>SUM(D119:D120)</f>
        <v>37.61999999999999</v>
      </c>
    </row>
    <row r="124" spans="1:4" x14ac:dyDescent="0.2">
      <c r="A124" s="102" t="s">
        <v>55</v>
      </c>
      <c r="B124" s="102"/>
      <c r="C124" s="102"/>
      <c r="D124" s="102"/>
    </row>
    <row r="126" spans="1:4" x14ac:dyDescent="0.2">
      <c r="A126" s="30">
        <v>5</v>
      </c>
      <c r="B126" s="110" t="s">
        <v>56</v>
      </c>
      <c r="C126" s="110"/>
      <c r="D126" s="30" t="s">
        <v>3</v>
      </c>
    </row>
    <row r="127" spans="1:4" x14ac:dyDescent="0.2">
      <c r="A127" s="32" t="s">
        <v>4</v>
      </c>
      <c r="B127" s="29" t="s">
        <v>57</v>
      </c>
      <c r="C127" s="29"/>
      <c r="D127" s="13">
        <v>7.9</v>
      </c>
    </row>
    <row r="128" spans="1:4" x14ac:dyDescent="0.2">
      <c r="A128" s="32" t="s">
        <v>6</v>
      </c>
      <c r="B128" s="29" t="s">
        <v>58</v>
      </c>
      <c r="C128" s="29"/>
      <c r="D128" s="13">
        <v>0</v>
      </c>
    </row>
    <row r="129" spans="1:4" x14ac:dyDescent="0.2">
      <c r="A129" s="32" t="s">
        <v>8</v>
      </c>
      <c r="B129" s="29" t="s">
        <v>59</v>
      </c>
      <c r="C129" s="29"/>
      <c r="D129" s="13">
        <v>32.1</v>
      </c>
    </row>
    <row r="130" spans="1:4" x14ac:dyDescent="0.2">
      <c r="A130" s="32" t="s">
        <v>10</v>
      </c>
      <c r="B130" s="29" t="s">
        <v>119</v>
      </c>
      <c r="C130" s="29"/>
      <c r="D130" s="13">
        <v>30.99</v>
      </c>
    </row>
    <row r="131" spans="1:4" x14ac:dyDescent="0.2">
      <c r="A131" s="99" t="s">
        <v>37</v>
      </c>
      <c r="B131" s="99"/>
      <c r="C131" s="99"/>
      <c r="D131" s="20">
        <f>SUM(D127:D130)</f>
        <v>70.989999999999995</v>
      </c>
    </row>
    <row r="134" spans="1:4" x14ac:dyDescent="0.2">
      <c r="A134" s="102" t="s">
        <v>60</v>
      </c>
      <c r="B134" s="102"/>
      <c r="C134" s="102"/>
      <c r="D134" s="102"/>
    </row>
    <row r="136" spans="1:4" x14ac:dyDescent="0.2">
      <c r="A136" s="30">
        <v>6</v>
      </c>
      <c r="B136" s="31" t="s">
        <v>61</v>
      </c>
      <c r="C136" s="30" t="s">
        <v>26</v>
      </c>
      <c r="D136" s="30" t="s">
        <v>3</v>
      </c>
    </row>
    <row r="137" spans="1:4" x14ac:dyDescent="0.2">
      <c r="A137" s="32" t="s">
        <v>4</v>
      </c>
      <c r="B137" s="29" t="s">
        <v>62</v>
      </c>
      <c r="C137" s="9">
        <v>0.05</v>
      </c>
      <c r="D137" s="14">
        <f>D157*C137</f>
        <v>102.90645454545455</v>
      </c>
    </row>
    <row r="138" spans="1:4" x14ac:dyDescent="0.2">
      <c r="A138" s="32" t="s">
        <v>6</v>
      </c>
      <c r="B138" s="29" t="s">
        <v>63</v>
      </c>
      <c r="C138" s="9">
        <v>0.06</v>
      </c>
      <c r="D138" s="13">
        <f>(D157+D137)*C138</f>
        <v>129.66213272727271</v>
      </c>
    </row>
    <row r="139" spans="1:4" x14ac:dyDescent="0.2">
      <c r="A139" s="32" t="s">
        <v>8</v>
      </c>
      <c r="B139" s="29" t="s">
        <v>64</v>
      </c>
      <c r="C139" s="12">
        <f>SUM(C140:C145)</f>
        <v>8.6499999999999994E-2</v>
      </c>
      <c r="D139" s="13">
        <f>(D157+D137+D138)*C139/(1-C139)</f>
        <v>216.90788085684426</v>
      </c>
    </row>
    <row r="140" spans="1:4" x14ac:dyDescent="0.2">
      <c r="A140" s="32"/>
      <c r="B140" s="29" t="s">
        <v>65</v>
      </c>
      <c r="C140" s="9"/>
      <c r="D140" s="14">
        <f>$D$159*C140</f>
        <v>0</v>
      </c>
    </row>
    <row r="141" spans="1:4" x14ac:dyDescent="0.2">
      <c r="A141" s="32"/>
      <c r="B141" s="29" t="s">
        <v>94</v>
      </c>
      <c r="C141" s="9">
        <v>6.4999999999999997E-3</v>
      </c>
      <c r="D141" s="14">
        <f t="shared" ref="D141:D145" si="3">$D$159*C141</f>
        <v>16.299436133751303</v>
      </c>
    </row>
    <row r="142" spans="1:4" x14ac:dyDescent="0.2">
      <c r="A142" s="32"/>
      <c r="B142" s="29" t="s">
        <v>95</v>
      </c>
      <c r="C142" s="9">
        <v>0.03</v>
      </c>
      <c r="D142" s="14">
        <f t="shared" si="3"/>
        <v>75.228166771159863</v>
      </c>
    </row>
    <row r="143" spans="1:4" x14ac:dyDescent="0.2">
      <c r="A143" s="32"/>
      <c r="B143" s="29" t="s">
        <v>66</v>
      </c>
      <c r="C143" s="32"/>
      <c r="D143" s="14">
        <f t="shared" si="3"/>
        <v>0</v>
      </c>
    </row>
    <row r="144" spans="1:4" x14ac:dyDescent="0.2">
      <c r="A144" s="32"/>
      <c r="B144" s="29" t="s">
        <v>67</v>
      </c>
      <c r="C144" s="9"/>
      <c r="D144" s="14">
        <f t="shared" si="3"/>
        <v>0</v>
      </c>
    </row>
    <row r="145" spans="1:4" x14ac:dyDescent="0.2">
      <c r="A145" s="32"/>
      <c r="B145" s="29" t="s">
        <v>96</v>
      </c>
      <c r="C145" s="9">
        <v>0.05</v>
      </c>
      <c r="D145" s="14">
        <f t="shared" si="3"/>
        <v>125.38027795193312</v>
      </c>
    </row>
    <row r="146" spans="1:4" ht="13.5" x14ac:dyDescent="0.2">
      <c r="A146" s="105" t="s">
        <v>37</v>
      </c>
      <c r="B146" s="106"/>
      <c r="C146" s="21">
        <f>ROUND((1+C138)*(1+C137)/(1-C139)-1,4)</f>
        <v>0.21840000000000001</v>
      </c>
      <c r="D146" s="19">
        <f>SUM(D137:D139)</f>
        <v>449.47646812957151</v>
      </c>
    </row>
    <row r="149" spans="1:4" x14ac:dyDescent="0.2">
      <c r="A149" s="102" t="s">
        <v>104</v>
      </c>
      <c r="B149" s="102"/>
      <c r="C149" s="102"/>
      <c r="D149" s="102"/>
    </row>
    <row r="151" spans="1:4" x14ac:dyDescent="0.2">
      <c r="A151" s="30"/>
      <c r="B151" s="99" t="s">
        <v>68</v>
      </c>
      <c r="C151" s="99"/>
      <c r="D151" s="30" t="s">
        <v>3</v>
      </c>
    </row>
    <row r="152" spans="1:4" x14ac:dyDescent="0.2">
      <c r="A152" s="30" t="s">
        <v>4</v>
      </c>
      <c r="B152" s="98" t="s">
        <v>1</v>
      </c>
      <c r="C152" s="98"/>
      <c r="D152" s="22">
        <f>D35</f>
        <v>869.31818181818187</v>
      </c>
    </row>
    <row r="153" spans="1:4" x14ac:dyDescent="0.2">
      <c r="A153" s="30" t="s">
        <v>6</v>
      </c>
      <c r="B153" s="98" t="s">
        <v>17</v>
      </c>
      <c r="C153" s="98"/>
      <c r="D153" s="22">
        <f>D79</f>
        <v>1026.6809090909092</v>
      </c>
    </row>
    <row r="154" spans="1:4" x14ac:dyDescent="0.2">
      <c r="A154" s="30" t="s">
        <v>8</v>
      </c>
      <c r="B154" s="98" t="s">
        <v>45</v>
      </c>
      <c r="C154" s="98"/>
      <c r="D154" s="22">
        <f>D91</f>
        <v>53.519999999999996</v>
      </c>
    </row>
    <row r="155" spans="1:4" x14ac:dyDescent="0.2">
      <c r="A155" s="30" t="s">
        <v>10</v>
      </c>
      <c r="B155" s="98" t="s">
        <v>50</v>
      </c>
      <c r="C155" s="98"/>
      <c r="D155" s="22">
        <f>D121</f>
        <v>37.61999999999999</v>
      </c>
    </row>
    <row r="156" spans="1:4" x14ac:dyDescent="0.2">
      <c r="A156" s="30" t="s">
        <v>12</v>
      </c>
      <c r="B156" s="98" t="s">
        <v>55</v>
      </c>
      <c r="C156" s="98"/>
      <c r="D156" s="22">
        <f>D131</f>
        <v>70.989999999999995</v>
      </c>
    </row>
    <row r="157" spans="1:4" x14ac:dyDescent="0.2">
      <c r="A157" s="99" t="s">
        <v>93</v>
      </c>
      <c r="B157" s="99"/>
      <c r="C157" s="99"/>
      <c r="D157" s="23">
        <f>SUM(D152:D156)</f>
        <v>2058.1290909090908</v>
      </c>
    </row>
    <row r="158" spans="1:4" x14ac:dyDescent="0.2">
      <c r="A158" s="30" t="s">
        <v>32</v>
      </c>
      <c r="B158" s="98" t="s">
        <v>69</v>
      </c>
      <c r="C158" s="98"/>
      <c r="D158" s="24">
        <f>D146</f>
        <v>449.47646812957151</v>
      </c>
    </row>
    <row r="159" spans="1:4" x14ac:dyDescent="0.2">
      <c r="A159" s="99" t="s">
        <v>70</v>
      </c>
      <c r="B159" s="99"/>
      <c r="C159" s="99"/>
      <c r="D159" s="23">
        <f>SUM(D157:D158)</f>
        <v>2507.6055590386622</v>
      </c>
    </row>
  </sheetData>
  <mergeCells count="75">
    <mergeCell ref="A12:D12"/>
    <mergeCell ref="A1:D1"/>
    <mergeCell ref="A3:D3"/>
    <mergeCell ref="A5:D5"/>
    <mergeCell ref="B9:D9"/>
    <mergeCell ref="B10:D10"/>
    <mergeCell ref="B29:C29"/>
    <mergeCell ref="A14:B14"/>
    <mergeCell ref="A15:B15"/>
    <mergeCell ref="A17:D17"/>
    <mergeCell ref="C19:D19"/>
    <mergeCell ref="C20:D20"/>
    <mergeCell ref="C21:D21"/>
    <mergeCell ref="C22:D22"/>
    <mergeCell ref="C23:D23"/>
    <mergeCell ref="A25:D25"/>
    <mergeCell ref="B27:C27"/>
    <mergeCell ref="B28:C28"/>
    <mergeCell ref="A59:B59"/>
    <mergeCell ref="B30:C30"/>
    <mergeCell ref="B31:C31"/>
    <mergeCell ref="B32:C32"/>
    <mergeCell ref="B33:C33"/>
    <mergeCell ref="B34:C34"/>
    <mergeCell ref="A35:C35"/>
    <mergeCell ref="A38:D38"/>
    <mergeCell ref="A40:D40"/>
    <mergeCell ref="B42:C42"/>
    <mergeCell ref="A45:B45"/>
    <mergeCell ref="A48:D48"/>
    <mergeCell ref="B77:C77"/>
    <mergeCell ref="A62:D62"/>
    <mergeCell ref="B64:C64"/>
    <mergeCell ref="B65:C65"/>
    <mergeCell ref="B66:C66"/>
    <mergeCell ref="B67:C67"/>
    <mergeCell ref="B68:C68"/>
    <mergeCell ref="B69:C69"/>
    <mergeCell ref="A70:C70"/>
    <mergeCell ref="A73:D73"/>
    <mergeCell ref="B75:C75"/>
    <mergeCell ref="B76:C76"/>
    <mergeCell ref="B112:C112"/>
    <mergeCell ref="B78:C78"/>
    <mergeCell ref="A79:C79"/>
    <mergeCell ref="A82:D82"/>
    <mergeCell ref="B84:C84"/>
    <mergeCell ref="A91:C91"/>
    <mergeCell ref="A94:D94"/>
    <mergeCell ref="A97:D97"/>
    <mergeCell ref="B99:C99"/>
    <mergeCell ref="A106:C106"/>
    <mergeCell ref="A109:D109"/>
    <mergeCell ref="B111:C111"/>
    <mergeCell ref="A149:D149"/>
    <mergeCell ref="A113:C113"/>
    <mergeCell ref="A116:D116"/>
    <mergeCell ref="B118:C118"/>
    <mergeCell ref="B119:C119"/>
    <mergeCell ref="B120:C120"/>
    <mergeCell ref="A121:C121"/>
    <mergeCell ref="A124:D124"/>
    <mergeCell ref="B126:C126"/>
    <mergeCell ref="A131:C131"/>
    <mergeCell ref="A134:D134"/>
    <mergeCell ref="A146:B146"/>
    <mergeCell ref="A157:C157"/>
    <mergeCell ref="B158:C158"/>
    <mergeCell ref="A159:C159"/>
    <mergeCell ref="B151:C151"/>
    <mergeCell ref="B152:C152"/>
    <mergeCell ref="B153:C153"/>
    <mergeCell ref="B154:C154"/>
    <mergeCell ref="B155:C155"/>
    <mergeCell ref="B156:C156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9"/>
  <sheetViews>
    <sheetView topLeftCell="A69" zoomScale="115" zoomScaleNormal="115" workbookViewId="0">
      <selection activeCell="D65" sqref="D65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103" t="s">
        <v>0</v>
      </c>
      <c r="B1" s="103"/>
      <c r="C1" s="103"/>
      <c r="D1" s="103"/>
    </row>
    <row r="2" spans="1:4" ht="15.75" x14ac:dyDescent="0.25">
      <c r="A2" s="26"/>
      <c r="B2" s="26"/>
      <c r="C2" s="26"/>
      <c r="D2" s="26"/>
    </row>
    <row r="3" spans="1:4" x14ac:dyDescent="0.2">
      <c r="A3" s="102" t="s">
        <v>102</v>
      </c>
      <c r="B3" s="102"/>
      <c r="C3" s="102"/>
      <c r="D3" s="102"/>
    </row>
    <row r="4" spans="1:4" x14ac:dyDescent="0.2">
      <c r="A4" s="2"/>
      <c r="B4" s="2"/>
      <c r="C4" s="2"/>
      <c r="D4" s="2"/>
    </row>
    <row r="5" spans="1:4" x14ac:dyDescent="0.2">
      <c r="A5" s="111" t="s">
        <v>103</v>
      </c>
      <c r="B5" s="112"/>
      <c r="C5" s="112"/>
      <c r="D5" s="113"/>
    </row>
    <row r="6" spans="1:4" x14ac:dyDescent="0.2">
      <c r="A6" s="33" t="s">
        <v>4</v>
      </c>
      <c r="B6" s="34" t="s">
        <v>99</v>
      </c>
      <c r="C6" s="35"/>
      <c r="D6" s="36" t="s">
        <v>106</v>
      </c>
    </row>
    <row r="7" spans="1:4" x14ac:dyDescent="0.2">
      <c r="A7" s="33" t="s">
        <v>6</v>
      </c>
      <c r="B7" s="34" t="s">
        <v>100</v>
      </c>
      <c r="C7" s="35"/>
      <c r="D7" s="36" t="s">
        <v>105</v>
      </c>
    </row>
    <row r="8" spans="1:4" x14ac:dyDescent="0.2">
      <c r="A8" s="33" t="s">
        <v>8</v>
      </c>
      <c r="B8" s="34" t="s">
        <v>101</v>
      </c>
      <c r="C8" s="35"/>
      <c r="D8" s="37">
        <v>45629</v>
      </c>
    </row>
    <row r="9" spans="1:4" x14ac:dyDescent="0.2">
      <c r="A9" s="33" t="s">
        <v>10</v>
      </c>
      <c r="B9" s="120" t="s">
        <v>107</v>
      </c>
      <c r="C9" s="121"/>
      <c r="D9" s="122"/>
    </row>
    <row r="10" spans="1:4" x14ac:dyDescent="0.2">
      <c r="A10" s="33" t="s">
        <v>12</v>
      </c>
      <c r="B10" s="120" t="s">
        <v>108</v>
      </c>
      <c r="C10" s="121"/>
      <c r="D10" s="122"/>
    </row>
    <row r="12" spans="1:4" x14ac:dyDescent="0.2">
      <c r="A12" s="102" t="s">
        <v>87</v>
      </c>
      <c r="B12" s="102"/>
      <c r="C12" s="102"/>
      <c r="D12" s="102"/>
    </row>
    <row r="13" spans="1:4" x14ac:dyDescent="0.2">
      <c r="A13" s="2"/>
      <c r="B13" s="2"/>
      <c r="C13" s="2"/>
      <c r="D13" s="2"/>
    </row>
    <row r="14" spans="1:4" ht="38.25" x14ac:dyDescent="0.2">
      <c r="A14" s="114" t="s">
        <v>88</v>
      </c>
      <c r="B14" s="114"/>
      <c r="C14" s="38" t="s">
        <v>89</v>
      </c>
      <c r="D14" s="27" t="s">
        <v>90</v>
      </c>
    </row>
    <row r="15" spans="1:4" x14ac:dyDescent="0.2">
      <c r="A15" s="115" t="s">
        <v>120</v>
      </c>
      <c r="B15" s="115"/>
      <c r="C15" s="42" t="s">
        <v>110</v>
      </c>
      <c r="D15" s="42">
        <v>99</v>
      </c>
    </row>
    <row r="17" spans="1:4" x14ac:dyDescent="0.2">
      <c r="A17" s="102" t="s">
        <v>71</v>
      </c>
      <c r="B17" s="102"/>
      <c r="C17" s="102"/>
      <c r="D17" s="102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72</v>
      </c>
      <c r="C19" s="116" t="s">
        <v>109</v>
      </c>
      <c r="D19" s="117"/>
    </row>
    <row r="20" spans="1:4" x14ac:dyDescent="0.2">
      <c r="A20" s="5">
        <v>2</v>
      </c>
      <c r="B20" s="5" t="s">
        <v>91</v>
      </c>
      <c r="C20" s="116" t="s">
        <v>111</v>
      </c>
      <c r="D20" s="117"/>
    </row>
    <row r="21" spans="1:4" x14ac:dyDescent="0.2">
      <c r="A21" s="5">
        <v>3</v>
      </c>
      <c r="B21" s="5" t="s">
        <v>73</v>
      </c>
      <c r="C21" s="118">
        <v>1530</v>
      </c>
      <c r="D21" s="119"/>
    </row>
    <row r="22" spans="1:4" x14ac:dyDescent="0.2">
      <c r="A22" s="5">
        <v>4</v>
      </c>
      <c r="B22" s="5" t="s">
        <v>74</v>
      </c>
      <c r="C22" s="116"/>
      <c r="D22" s="117"/>
    </row>
    <row r="23" spans="1:4" x14ac:dyDescent="0.2">
      <c r="A23" s="5">
        <v>5</v>
      </c>
      <c r="B23" s="5" t="s">
        <v>75</v>
      </c>
      <c r="C23" s="116"/>
      <c r="D23" s="117"/>
    </row>
    <row r="25" spans="1:4" x14ac:dyDescent="0.2">
      <c r="A25" s="102" t="s">
        <v>1</v>
      </c>
      <c r="B25" s="102"/>
      <c r="C25" s="102"/>
      <c r="D25" s="102"/>
    </row>
    <row r="27" spans="1:4" x14ac:dyDescent="0.2">
      <c r="A27" s="39">
        <v>1</v>
      </c>
      <c r="B27" s="99" t="s">
        <v>2</v>
      </c>
      <c r="C27" s="99"/>
      <c r="D27" s="39" t="s">
        <v>3</v>
      </c>
    </row>
    <row r="28" spans="1:4" x14ac:dyDescent="0.2">
      <c r="A28" s="38" t="s">
        <v>4</v>
      </c>
      <c r="B28" s="98" t="s">
        <v>5</v>
      </c>
      <c r="C28" s="98"/>
      <c r="D28" s="13">
        <f>C21*(25/44)</f>
        <v>869.31818181818187</v>
      </c>
    </row>
    <row r="29" spans="1:4" x14ac:dyDescent="0.2">
      <c r="A29" s="38" t="s">
        <v>6</v>
      </c>
      <c r="B29" s="98" t="s">
        <v>7</v>
      </c>
      <c r="C29" s="98"/>
      <c r="D29" s="13"/>
    </row>
    <row r="30" spans="1:4" x14ac:dyDescent="0.2">
      <c r="A30" s="38" t="s">
        <v>8</v>
      </c>
      <c r="B30" s="98" t="s">
        <v>9</v>
      </c>
      <c r="C30" s="98"/>
      <c r="D30" s="13">
        <f>1518*0.2</f>
        <v>303.60000000000002</v>
      </c>
    </row>
    <row r="31" spans="1:4" x14ac:dyDescent="0.2">
      <c r="A31" s="38" t="s">
        <v>10</v>
      </c>
      <c r="B31" s="98" t="s">
        <v>11</v>
      </c>
      <c r="C31" s="98"/>
      <c r="D31" s="13"/>
    </row>
    <row r="32" spans="1:4" x14ac:dyDescent="0.2">
      <c r="A32" s="38" t="s">
        <v>12</v>
      </c>
      <c r="B32" s="98" t="s">
        <v>13</v>
      </c>
      <c r="C32" s="98"/>
      <c r="D32" s="13"/>
    </row>
    <row r="33" spans="1:4" x14ac:dyDescent="0.2">
      <c r="A33" s="38"/>
      <c r="B33" s="98"/>
      <c r="C33" s="98"/>
      <c r="D33" s="13"/>
    </row>
    <row r="34" spans="1:4" x14ac:dyDescent="0.2">
      <c r="A34" s="38" t="s">
        <v>14</v>
      </c>
      <c r="B34" s="98" t="s">
        <v>15</v>
      </c>
      <c r="C34" s="98"/>
      <c r="D34" s="13"/>
    </row>
    <row r="35" spans="1:4" x14ac:dyDescent="0.2">
      <c r="A35" s="99" t="s">
        <v>16</v>
      </c>
      <c r="B35" s="99"/>
      <c r="C35" s="99"/>
      <c r="D35" s="20">
        <f>SUM(D28:D34)</f>
        <v>1172.9181818181819</v>
      </c>
    </row>
    <row r="38" spans="1:4" x14ac:dyDescent="0.2">
      <c r="A38" s="102" t="s">
        <v>17</v>
      </c>
      <c r="B38" s="102"/>
      <c r="C38" s="102"/>
      <c r="D38" s="102"/>
    </row>
    <row r="39" spans="1:4" x14ac:dyDescent="0.2">
      <c r="A39" s="3"/>
    </row>
    <row r="40" spans="1:4" x14ac:dyDescent="0.2">
      <c r="A40" s="100" t="s">
        <v>18</v>
      </c>
      <c r="B40" s="100"/>
      <c r="C40" s="100"/>
      <c r="D40" s="100"/>
    </row>
    <row r="42" spans="1:4" x14ac:dyDescent="0.2">
      <c r="A42" s="39" t="s">
        <v>19</v>
      </c>
      <c r="B42" s="99" t="s">
        <v>20</v>
      </c>
      <c r="C42" s="99"/>
      <c r="D42" s="39" t="s">
        <v>3</v>
      </c>
    </row>
    <row r="43" spans="1:4" x14ac:dyDescent="0.2">
      <c r="A43" s="38" t="s">
        <v>4</v>
      </c>
      <c r="B43" s="40" t="s">
        <v>21</v>
      </c>
      <c r="C43" s="12">
        <f>TRUNC(1/12,4)</f>
        <v>8.3299999999999999E-2</v>
      </c>
      <c r="D43" s="13">
        <f>TRUNC($D$35*C43,2)</f>
        <v>97.7</v>
      </c>
    </row>
    <row r="44" spans="1:4" x14ac:dyDescent="0.2">
      <c r="A44" s="38" t="s">
        <v>6</v>
      </c>
      <c r="B44" s="40" t="s">
        <v>22</v>
      </c>
      <c r="C44" s="12">
        <f>TRUNC(((1+1/3)/12),4)</f>
        <v>0.1111</v>
      </c>
      <c r="D44" s="13">
        <f>TRUNC($D$35*C44,2)</f>
        <v>130.31</v>
      </c>
    </row>
    <row r="45" spans="1:4" x14ac:dyDescent="0.2">
      <c r="A45" s="99" t="s">
        <v>16</v>
      </c>
      <c r="B45" s="99"/>
      <c r="C45" s="28">
        <f>SUM(C43:C44)</f>
        <v>0.19440000000000002</v>
      </c>
      <c r="D45" s="19">
        <f>SUM(D43:D44)</f>
        <v>228.01</v>
      </c>
    </row>
    <row r="48" spans="1:4" x14ac:dyDescent="0.2">
      <c r="A48" s="104" t="s">
        <v>23</v>
      </c>
      <c r="B48" s="104"/>
      <c r="C48" s="104"/>
      <c r="D48" s="104"/>
    </row>
    <row r="50" spans="1:4" x14ac:dyDescent="0.2">
      <c r="A50" s="39" t="s">
        <v>24</v>
      </c>
      <c r="B50" s="39" t="s">
        <v>25</v>
      </c>
      <c r="C50" s="39" t="s">
        <v>26</v>
      </c>
      <c r="D50" s="39" t="s">
        <v>3</v>
      </c>
    </row>
    <row r="51" spans="1:4" x14ac:dyDescent="0.2">
      <c r="A51" s="38" t="s">
        <v>4</v>
      </c>
      <c r="B51" s="40" t="s">
        <v>27</v>
      </c>
      <c r="C51" s="9">
        <v>0.2</v>
      </c>
      <c r="D51" s="13">
        <f>TRUNC(($D$35+$D$45)*C51,2)</f>
        <v>280.18</v>
      </c>
    </row>
    <row r="52" spans="1:4" x14ac:dyDescent="0.2">
      <c r="A52" s="38" t="s">
        <v>6</v>
      </c>
      <c r="B52" s="40" t="s">
        <v>28</v>
      </c>
      <c r="C52" s="9">
        <v>2.5000000000000001E-2</v>
      </c>
      <c r="D52" s="13">
        <f t="shared" ref="D52:D58" si="0">TRUNC(($D$35+$D$45)*C52,2)</f>
        <v>35.020000000000003</v>
      </c>
    </row>
    <row r="53" spans="1:4" x14ac:dyDescent="0.2">
      <c r="A53" s="38" t="s">
        <v>8</v>
      </c>
      <c r="B53" s="40" t="s">
        <v>29</v>
      </c>
      <c r="C53" s="16">
        <v>0.03</v>
      </c>
      <c r="D53" s="13">
        <f t="shared" si="0"/>
        <v>42.02</v>
      </c>
    </row>
    <row r="54" spans="1:4" x14ac:dyDescent="0.2">
      <c r="A54" s="38" t="s">
        <v>10</v>
      </c>
      <c r="B54" s="40" t="s">
        <v>30</v>
      </c>
      <c r="C54" s="9">
        <v>1.4999999999999999E-2</v>
      </c>
      <c r="D54" s="13">
        <f t="shared" si="0"/>
        <v>21.01</v>
      </c>
    </row>
    <row r="55" spans="1:4" x14ac:dyDescent="0.2">
      <c r="A55" s="38" t="s">
        <v>12</v>
      </c>
      <c r="B55" s="40" t="s">
        <v>31</v>
      </c>
      <c r="C55" s="9">
        <v>0.01</v>
      </c>
      <c r="D55" s="13">
        <f t="shared" si="0"/>
        <v>14</v>
      </c>
    </row>
    <row r="56" spans="1:4" x14ac:dyDescent="0.2">
      <c r="A56" s="38" t="s">
        <v>32</v>
      </c>
      <c r="B56" s="40" t="s">
        <v>33</v>
      </c>
      <c r="C56" s="9">
        <v>6.0000000000000001E-3</v>
      </c>
      <c r="D56" s="13">
        <f t="shared" si="0"/>
        <v>8.4</v>
      </c>
    </row>
    <row r="57" spans="1:4" x14ac:dyDescent="0.2">
      <c r="A57" s="38" t="s">
        <v>14</v>
      </c>
      <c r="B57" s="40" t="s">
        <v>34</v>
      </c>
      <c r="C57" s="9">
        <v>2E-3</v>
      </c>
      <c r="D57" s="13">
        <f t="shared" si="0"/>
        <v>2.8</v>
      </c>
    </row>
    <row r="58" spans="1:4" x14ac:dyDescent="0.2">
      <c r="A58" s="38" t="s">
        <v>35</v>
      </c>
      <c r="B58" s="40" t="s">
        <v>36</v>
      </c>
      <c r="C58" s="9">
        <v>0.08</v>
      </c>
      <c r="D58" s="13">
        <f t="shared" si="0"/>
        <v>112.07</v>
      </c>
    </row>
    <row r="59" spans="1:4" x14ac:dyDescent="0.2">
      <c r="A59" s="99" t="s">
        <v>37</v>
      </c>
      <c r="B59" s="99"/>
      <c r="C59" s="15">
        <f>SUM(C51:C58)</f>
        <v>0.36800000000000005</v>
      </c>
      <c r="D59" s="19">
        <f>SUM(D51:D58)</f>
        <v>515.5</v>
      </c>
    </row>
    <row r="62" spans="1:4" x14ac:dyDescent="0.2">
      <c r="A62" s="100" t="s">
        <v>38</v>
      </c>
      <c r="B62" s="100"/>
      <c r="C62" s="100"/>
      <c r="D62" s="100"/>
    </row>
    <row r="64" spans="1:4" x14ac:dyDescent="0.2">
      <c r="A64" s="39" t="s">
        <v>39</v>
      </c>
      <c r="B64" s="101" t="s">
        <v>40</v>
      </c>
      <c r="C64" s="101"/>
      <c r="D64" s="39" t="s">
        <v>3</v>
      </c>
    </row>
    <row r="65" spans="1:5" x14ac:dyDescent="0.2">
      <c r="A65" s="38" t="s">
        <v>4</v>
      </c>
      <c r="B65" s="98" t="s">
        <v>41</v>
      </c>
      <c r="C65" s="98"/>
      <c r="D65" s="13">
        <f>IF((22*2*1.71)-(D28*0.06)&gt;0,(22*2*1.71)-(D28*0.06),0)</f>
        <v>23.080909090909081</v>
      </c>
    </row>
    <row r="66" spans="1:5" x14ac:dyDescent="0.2">
      <c r="A66" s="38" t="s">
        <v>6</v>
      </c>
      <c r="B66" s="98" t="s">
        <v>42</v>
      </c>
      <c r="C66" s="98"/>
      <c r="D66" s="13">
        <v>0</v>
      </c>
    </row>
    <row r="67" spans="1:5" x14ac:dyDescent="0.2">
      <c r="A67" s="38" t="s">
        <v>8</v>
      </c>
      <c r="B67" s="98" t="s">
        <v>113</v>
      </c>
      <c r="C67" s="98"/>
      <c r="D67" s="13">
        <v>280</v>
      </c>
    </row>
    <row r="68" spans="1:5" x14ac:dyDescent="0.2">
      <c r="A68" s="38" t="s">
        <v>10</v>
      </c>
      <c r="B68" s="98" t="s">
        <v>114</v>
      </c>
      <c r="C68" s="98"/>
      <c r="D68" s="13">
        <v>23</v>
      </c>
    </row>
    <row r="69" spans="1:5" x14ac:dyDescent="0.2">
      <c r="A69" s="38" t="s">
        <v>12</v>
      </c>
      <c r="B69" s="98" t="s">
        <v>115</v>
      </c>
      <c r="C69" s="98"/>
      <c r="D69" s="13">
        <v>4.8</v>
      </c>
    </row>
    <row r="70" spans="1:5" x14ac:dyDescent="0.2">
      <c r="A70" s="99" t="s">
        <v>16</v>
      </c>
      <c r="B70" s="99"/>
      <c r="C70" s="99"/>
      <c r="D70" s="19">
        <f>SUM(D65:D69)</f>
        <v>330.88090909090909</v>
      </c>
    </row>
    <row r="73" spans="1:5" x14ac:dyDescent="0.2">
      <c r="A73" s="100" t="s">
        <v>43</v>
      </c>
      <c r="B73" s="100"/>
      <c r="C73" s="100"/>
      <c r="D73" s="100"/>
    </row>
    <row r="75" spans="1:5" x14ac:dyDescent="0.2">
      <c r="A75" s="39">
        <v>2</v>
      </c>
      <c r="B75" s="101" t="s">
        <v>44</v>
      </c>
      <c r="C75" s="101"/>
      <c r="D75" s="39" t="s">
        <v>3</v>
      </c>
    </row>
    <row r="76" spans="1:5" x14ac:dyDescent="0.2">
      <c r="A76" s="38" t="s">
        <v>19</v>
      </c>
      <c r="B76" s="98" t="s">
        <v>20</v>
      </c>
      <c r="C76" s="98"/>
      <c r="D76" s="14">
        <f>D45</f>
        <v>228.01</v>
      </c>
    </row>
    <row r="77" spans="1:5" x14ac:dyDescent="0.2">
      <c r="A77" s="38" t="s">
        <v>24</v>
      </c>
      <c r="B77" s="98" t="s">
        <v>25</v>
      </c>
      <c r="C77" s="98"/>
      <c r="D77" s="14">
        <f>D59</f>
        <v>515.5</v>
      </c>
    </row>
    <row r="78" spans="1:5" x14ac:dyDescent="0.2">
      <c r="A78" s="38" t="s">
        <v>39</v>
      </c>
      <c r="B78" s="98" t="s">
        <v>40</v>
      </c>
      <c r="C78" s="98"/>
      <c r="D78" s="14">
        <f>D70</f>
        <v>330.88090909090909</v>
      </c>
    </row>
    <row r="79" spans="1:5" x14ac:dyDescent="0.2">
      <c r="A79" s="99" t="s">
        <v>16</v>
      </c>
      <c r="B79" s="99"/>
      <c r="C79" s="99"/>
      <c r="D79" s="19">
        <f>SUM(D76:D78)</f>
        <v>1074.3909090909092</v>
      </c>
    </row>
    <row r="80" spans="1:5" x14ac:dyDescent="0.2">
      <c r="A80" s="4"/>
      <c r="E80" s="18"/>
    </row>
    <row r="82" spans="1:5" x14ac:dyDescent="0.2">
      <c r="A82" s="102" t="s">
        <v>45</v>
      </c>
      <c r="B82" s="102"/>
      <c r="C82" s="102"/>
      <c r="D82" s="102"/>
      <c r="E82" s="17"/>
    </row>
    <row r="83" spans="1:5" ht="12.75" customHeight="1" x14ac:dyDescent="0.2">
      <c r="E83" s="18"/>
    </row>
    <row r="84" spans="1:5" x14ac:dyDescent="0.2">
      <c r="A84" s="39">
        <v>3</v>
      </c>
      <c r="B84" s="101" t="s">
        <v>46</v>
      </c>
      <c r="C84" s="101"/>
      <c r="D84" s="39" t="s">
        <v>3</v>
      </c>
    </row>
    <row r="85" spans="1:5" x14ac:dyDescent="0.2">
      <c r="A85" s="38" t="s">
        <v>4</v>
      </c>
      <c r="B85" s="10" t="s">
        <v>47</v>
      </c>
      <c r="C85" s="9">
        <f>TRUNC(((1/12)*0%),4)</f>
        <v>0</v>
      </c>
      <c r="D85" s="13">
        <f>TRUNC($D$35*C85,2)</f>
        <v>0</v>
      </c>
    </row>
    <row r="86" spans="1:5" x14ac:dyDescent="0.2">
      <c r="A86" s="38" t="s">
        <v>6</v>
      </c>
      <c r="B86" s="10" t="s">
        <v>48</v>
      </c>
      <c r="C86" s="9">
        <v>0.08</v>
      </c>
      <c r="D86" s="13">
        <f>TRUNC(D85*C86,2)</f>
        <v>0</v>
      </c>
    </row>
    <row r="87" spans="1:5" x14ac:dyDescent="0.2">
      <c r="A87" s="38" t="s">
        <v>8</v>
      </c>
      <c r="B87" s="10" t="s">
        <v>97</v>
      </c>
      <c r="C87" s="9">
        <f>TRUNC(8%*0%*40%,4)</f>
        <v>0</v>
      </c>
      <c r="D87" s="13">
        <f>TRUNC($D$35*C87,2)</f>
        <v>0</v>
      </c>
    </row>
    <row r="88" spans="1:5" x14ac:dyDescent="0.2">
      <c r="A88" s="38" t="s">
        <v>10</v>
      </c>
      <c r="B88" s="10" t="s">
        <v>49</v>
      </c>
      <c r="C88" s="9">
        <f>TRUNC(((7/30)/12)*0%,4)</f>
        <v>0</v>
      </c>
      <c r="D88" s="13">
        <f>TRUNC($D$35*C88,2)</f>
        <v>0</v>
      </c>
    </row>
    <row r="89" spans="1:5" ht="25.5" x14ac:dyDescent="0.2">
      <c r="A89" s="38" t="s">
        <v>12</v>
      </c>
      <c r="B89" s="10" t="s">
        <v>92</v>
      </c>
      <c r="C89" s="9">
        <f>C59</f>
        <v>0.36800000000000005</v>
      </c>
      <c r="D89" s="13">
        <f>TRUNC(D88*C89,2)</f>
        <v>0</v>
      </c>
    </row>
    <row r="90" spans="1:5" x14ac:dyDescent="0.2">
      <c r="A90" s="38" t="s">
        <v>32</v>
      </c>
      <c r="B90" s="10" t="s">
        <v>98</v>
      </c>
      <c r="C90" s="9">
        <f>TRUNC(8%*0%*40%,4)</f>
        <v>0</v>
      </c>
      <c r="D90" s="13">
        <f t="shared" ref="D90" si="1">TRUNC($D$35*C90,2)</f>
        <v>0</v>
      </c>
    </row>
    <row r="91" spans="1:5" x14ac:dyDescent="0.2">
      <c r="A91" s="105" t="s">
        <v>16</v>
      </c>
      <c r="B91" s="106"/>
      <c r="C91" s="107"/>
      <c r="D91" s="19">
        <f>SUM(D85:D90)</f>
        <v>0</v>
      </c>
    </row>
    <row r="94" spans="1:5" x14ac:dyDescent="0.2">
      <c r="A94" s="102" t="s">
        <v>50</v>
      </c>
      <c r="B94" s="102"/>
      <c r="C94" s="102"/>
      <c r="D94" s="102"/>
    </row>
    <row r="97" spans="1:6" x14ac:dyDescent="0.2">
      <c r="A97" s="100" t="s">
        <v>76</v>
      </c>
      <c r="B97" s="100"/>
      <c r="C97" s="100"/>
      <c r="D97" s="100"/>
    </row>
    <row r="98" spans="1:6" x14ac:dyDescent="0.2">
      <c r="A98" s="3"/>
    </row>
    <row r="99" spans="1:6" x14ac:dyDescent="0.2">
      <c r="A99" s="39" t="s">
        <v>51</v>
      </c>
      <c r="B99" s="101" t="s">
        <v>77</v>
      </c>
      <c r="C99" s="101"/>
      <c r="D99" s="39" t="s">
        <v>3</v>
      </c>
    </row>
    <row r="100" spans="1:6" x14ac:dyDescent="0.2">
      <c r="A100" s="38" t="s">
        <v>4</v>
      </c>
      <c r="B100" s="40" t="s">
        <v>78</v>
      </c>
      <c r="C100" s="9">
        <f>TRUNC(((1+1/3)/12)/12,4)*0</f>
        <v>0</v>
      </c>
      <c r="D100" s="13">
        <f>TRUNC(($D$35+$D$79+$D$91)*C100,2)</f>
        <v>0</v>
      </c>
    </row>
    <row r="101" spans="1:6" x14ac:dyDescent="0.2">
      <c r="A101" s="38" t="s">
        <v>6</v>
      </c>
      <c r="B101" s="40" t="s">
        <v>79</v>
      </c>
      <c r="C101" s="9">
        <f>TRUNC(((2/30)/12),4)</f>
        <v>5.4999999999999997E-3</v>
      </c>
      <c r="D101" s="13">
        <f t="shared" ref="D101:D105" si="2">TRUNC(($D$35+$D$79+$D$91)*C101,2)</f>
        <v>12.36</v>
      </c>
    </row>
    <row r="102" spans="1:6" x14ac:dyDescent="0.2">
      <c r="A102" s="38" t="s">
        <v>8</v>
      </c>
      <c r="B102" s="40" t="s">
        <v>80</v>
      </c>
      <c r="C102" s="9">
        <f>TRUNC(((5/30)/12)*2%,4)*0</f>
        <v>0</v>
      </c>
      <c r="D102" s="13">
        <f t="shared" si="2"/>
        <v>0</v>
      </c>
    </row>
    <row r="103" spans="1:6" x14ac:dyDescent="0.2">
      <c r="A103" s="38" t="s">
        <v>10</v>
      </c>
      <c r="B103" s="40" t="s">
        <v>81</v>
      </c>
      <c r="C103" s="9">
        <f>TRUNC(((15/30)/12)*8%,4)*0</f>
        <v>0</v>
      </c>
      <c r="D103" s="13">
        <f t="shared" si="2"/>
        <v>0</v>
      </c>
    </row>
    <row r="104" spans="1:6" x14ac:dyDescent="0.2">
      <c r="A104" s="38" t="s">
        <v>12</v>
      </c>
      <c r="B104" s="40" t="s">
        <v>82</v>
      </c>
      <c r="C104" s="9">
        <f>((1+1/3)/12)*3%*(4/12)*0</f>
        <v>0</v>
      </c>
      <c r="D104" s="13">
        <f t="shared" si="2"/>
        <v>0</v>
      </c>
    </row>
    <row r="105" spans="1:6" x14ac:dyDescent="0.2">
      <c r="A105" s="38" t="s">
        <v>32</v>
      </c>
      <c r="B105" s="40" t="s">
        <v>83</v>
      </c>
      <c r="C105" s="9"/>
      <c r="D105" s="13">
        <f t="shared" si="2"/>
        <v>0</v>
      </c>
    </row>
    <row r="106" spans="1:6" x14ac:dyDescent="0.2">
      <c r="A106" s="99" t="s">
        <v>37</v>
      </c>
      <c r="B106" s="99"/>
      <c r="C106" s="99"/>
      <c r="D106" s="19">
        <f>SUM(D100:D105)</f>
        <v>12.36</v>
      </c>
      <c r="E106" s="17"/>
      <c r="F106" s="17"/>
    </row>
    <row r="109" spans="1:6" x14ac:dyDescent="0.2">
      <c r="A109" s="100" t="s">
        <v>84</v>
      </c>
      <c r="B109" s="100"/>
      <c r="C109" s="100"/>
      <c r="D109" s="100"/>
    </row>
    <row r="110" spans="1:6" x14ac:dyDescent="0.2">
      <c r="A110" s="3"/>
    </row>
    <row r="111" spans="1:6" x14ac:dyDescent="0.2">
      <c r="A111" s="39" t="s">
        <v>52</v>
      </c>
      <c r="B111" s="101" t="s">
        <v>85</v>
      </c>
      <c r="C111" s="101"/>
      <c r="D111" s="39" t="s">
        <v>3</v>
      </c>
    </row>
    <row r="112" spans="1:6" x14ac:dyDescent="0.2">
      <c r="A112" s="38" t="s">
        <v>4</v>
      </c>
      <c r="B112" s="108" t="s">
        <v>86</v>
      </c>
      <c r="C112" s="109"/>
      <c r="D112" s="13">
        <f>((D35+D79+D91)/220)*22*0</f>
        <v>0</v>
      </c>
    </row>
    <row r="113" spans="1:4" x14ac:dyDescent="0.2">
      <c r="A113" s="99" t="s">
        <v>16</v>
      </c>
      <c r="B113" s="99"/>
      <c r="C113" s="99"/>
      <c r="D113" s="19">
        <f>SUM(D112)</f>
        <v>0</v>
      </c>
    </row>
    <row r="116" spans="1:4" x14ac:dyDescent="0.2">
      <c r="A116" s="100" t="s">
        <v>53</v>
      </c>
      <c r="B116" s="100"/>
      <c r="C116" s="100"/>
      <c r="D116" s="100"/>
    </row>
    <row r="117" spans="1:4" x14ac:dyDescent="0.2">
      <c r="A117" s="3"/>
    </row>
    <row r="118" spans="1:4" x14ac:dyDescent="0.2">
      <c r="A118" s="39">
        <v>4</v>
      </c>
      <c r="B118" s="99" t="s">
        <v>54</v>
      </c>
      <c r="C118" s="99"/>
      <c r="D118" s="39" t="s">
        <v>3</v>
      </c>
    </row>
    <row r="119" spans="1:4" x14ac:dyDescent="0.2">
      <c r="A119" s="38" t="s">
        <v>51</v>
      </c>
      <c r="B119" s="98" t="s">
        <v>77</v>
      </c>
      <c r="C119" s="98"/>
      <c r="D119" s="14">
        <f>D106</f>
        <v>12.36</v>
      </c>
    </row>
    <row r="120" spans="1:4" x14ac:dyDescent="0.2">
      <c r="A120" s="38" t="s">
        <v>52</v>
      </c>
      <c r="B120" s="98" t="s">
        <v>85</v>
      </c>
      <c r="C120" s="98"/>
      <c r="D120" s="14">
        <f>D113</f>
        <v>0</v>
      </c>
    </row>
    <row r="121" spans="1:4" x14ac:dyDescent="0.2">
      <c r="A121" s="99" t="s">
        <v>16</v>
      </c>
      <c r="B121" s="99"/>
      <c r="C121" s="99"/>
      <c r="D121" s="19">
        <f>SUM(D119:D120)</f>
        <v>12.36</v>
      </c>
    </row>
    <row r="124" spans="1:4" x14ac:dyDescent="0.2">
      <c r="A124" s="102" t="s">
        <v>55</v>
      </c>
      <c r="B124" s="102"/>
      <c r="C124" s="102"/>
      <c r="D124" s="102"/>
    </row>
    <row r="126" spans="1:4" x14ac:dyDescent="0.2">
      <c r="A126" s="39">
        <v>5</v>
      </c>
      <c r="B126" s="110" t="s">
        <v>56</v>
      </c>
      <c r="C126" s="110"/>
      <c r="D126" s="39" t="s">
        <v>3</v>
      </c>
    </row>
    <row r="127" spans="1:4" x14ac:dyDescent="0.2">
      <c r="A127" s="38" t="s">
        <v>4</v>
      </c>
      <c r="B127" s="40" t="s">
        <v>57</v>
      </c>
      <c r="C127" s="40"/>
      <c r="D127" s="13">
        <v>188.06</v>
      </c>
    </row>
    <row r="128" spans="1:4" x14ac:dyDescent="0.2">
      <c r="A128" s="38" t="s">
        <v>6</v>
      </c>
      <c r="B128" s="40" t="s">
        <v>58</v>
      </c>
      <c r="C128" s="40"/>
      <c r="D128" s="13">
        <v>0</v>
      </c>
    </row>
    <row r="129" spans="1:4" x14ac:dyDescent="0.2">
      <c r="A129" s="38" t="s">
        <v>8</v>
      </c>
      <c r="B129" s="40" t="s">
        <v>59</v>
      </c>
      <c r="C129" s="40"/>
      <c r="D129" s="13">
        <v>0</v>
      </c>
    </row>
    <row r="130" spans="1:4" x14ac:dyDescent="0.2">
      <c r="A130" s="38" t="s">
        <v>10</v>
      </c>
      <c r="B130" s="40" t="s">
        <v>119</v>
      </c>
      <c r="C130" s="40"/>
      <c r="D130" s="13">
        <v>0</v>
      </c>
    </row>
    <row r="131" spans="1:4" x14ac:dyDescent="0.2">
      <c r="A131" s="99" t="s">
        <v>37</v>
      </c>
      <c r="B131" s="99"/>
      <c r="C131" s="99"/>
      <c r="D131" s="20">
        <f>SUM(D127:D130)</f>
        <v>188.06</v>
      </c>
    </row>
    <row r="134" spans="1:4" x14ac:dyDescent="0.2">
      <c r="A134" s="102" t="s">
        <v>60</v>
      </c>
      <c r="B134" s="102"/>
      <c r="C134" s="102"/>
      <c r="D134" s="102"/>
    </row>
    <row r="136" spans="1:4" x14ac:dyDescent="0.2">
      <c r="A136" s="39">
        <v>6</v>
      </c>
      <c r="B136" s="41" t="s">
        <v>61</v>
      </c>
      <c r="C136" s="39" t="s">
        <v>26</v>
      </c>
      <c r="D136" s="39" t="s">
        <v>3</v>
      </c>
    </row>
    <row r="137" spans="1:4" x14ac:dyDescent="0.2">
      <c r="A137" s="38" t="s">
        <v>4</v>
      </c>
      <c r="B137" s="40" t="s">
        <v>62</v>
      </c>
      <c r="C137" s="9">
        <v>0.05</v>
      </c>
      <c r="D137" s="14">
        <f>D157*C137</f>
        <v>122.38645454545457</v>
      </c>
    </row>
    <row r="138" spans="1:4" x14ac:dyDescent="0.2">
      <c r="A138" s="38" t="s">
        <v>6</v>
      </c>
      <c r="B138" s="40" t="s">
        <v>63</v>
      </c>
      <c r="C138" s="9">
        <v>0.06</v>
      </c>
      <c r="D138" s="13">
        <f>(D157+D137)*C138</f>
        <v>154.20693272727272</v>
      </c>
    </row>
    <row r="139" spans="1:4" x14ac:dyDescent="0.2">
      <c r="A139" s="38" t="s">
        <v>8</v>
      </c>
      <c r="B139" s="40" t="s">
        <v>64</v>
      </c>
      <c r="C139" s="12">
        <f>SUM(C140:C145)</f>
        <v>8.6499999999999994E-2</v>
      </c>
      <c r="D139" s="13">
        <f>(D157+D137+D138)*C139/(1-C139)</f>
        <v>257.96813832810864</v>
      </c>
    </row>
    <row r="140" spans="1:4" x14ac:dyDescent="0.2">
      <c r="A140" s="38"/>
      <c r="B140" s="40" t="s">
        <v>65</v>
      </c>
      <c r="C140" s="9"/>
      <c r="D140" s="14">
        <f>$D$159*C140</f>
        <v>0</v>
      </c>
    </row>
    <row r="141" spans="1:4" x14ac:dyDescent="0.2">
      <c r="A141" s="38"/>
      <c r="B141" s="40" t="s">
        <v>94</v>
      </c>
      <c r="C141" s="9">
        <v>6.4999999999999997E-3</v>
      </c>
      <c r="D141" s="14">
        <f t="shared" ref="D141:D145" si="3">$D$159*C141</f>
        <v>19.384889007314523</v>
      </c>
    </row>
    <row r="142" spans="1:4" x14ac:dyDescent="0.2">
      <c r="A142" s="38"/>
      <c r="B142" s="40" t="s">
        <v>95</v>
      </c>
      <c r="C142" s="9">
        <v>0.03</v>
      </c>
      <c r="D142" s="14">
        <f t="shared" si="3"/>
        <v>89.468718495297807</v>
      </c>
    </row>
    <row r="143" spans="1:4" x14ac:dyDescent="0.2">
      <c r="A143" s="38"/>
      <c r="B143" s="40" t="s">
        <v>66</v>
      </c>
      <c r="C143" s="38"/>
      <c r="D143" s="14">
        <f t="shared" si="3"/>
        <v>0</v>
      </c>
    </row>
    <row r="144" spans="1:4" x14ac:dyDescent="0.2">
      <c r="A144" s="38"/>
      <c r="B144" s="40" t="s">
        <v>67</v>
      </c>
      <c r="C144" s="9"/>
      <c r="D144" s="14">
        <f t="shared" si="3"/>
        <v>0</v>
      </c>
    </row>
    <row r="145" spans="1:4" x14ac:dyDescent="0.2">
      <c r="A145" s="38"/>
      <c r="B145" s="40" t="s">
        <v>96</v>
      </c>
      <c r="C145" s="9">
        <v>0.05</v>
      </c>
      <c r="D145" s="14">
        <f t="shared" si="3"/>
        <v>149.11453082549636</v>
      </c>
    </row>
    <row r="146" spans="1:4" ht="13.5" x14ac:dyDescent="0.2">
      <c r="A146" s="105" t="s">
        <v>37</v>
      </c>
      <c r="B146" s="106"/>
      <c r="C146" s="21">
        <f>ROUND((1+C138)*(1+C137)/(1-C139)-1,4)</f>
        <v>0.21840000000000001</v>
      </c>
      <c r="D146" s="19">
        <f>SUM(D137:D139)</f>
        <v>534.56152560083592</v>
      </c>
    </row>
    <row r="149" spans="1:4" x14ac:dyDescent="0.2">
      <c r="A149" s="102" t="s">
        <v>104</v>
      </c>
      <c r="B149" s="102"/>
      <c r="C149" s="102"/>
      <c r="D149" s="102"/>
    </row>
    <row r="151" spans="1:4" x14ac:dyDescent="0.2">
      <c r="A151" s="39"/>
      <c r="B151" s="99" t="s">
        <v>68</v>
      </c>
      <c r="C151" s="99"/>
      <c r="D151" s="39" t="s">
        <v>3</v>
      </c>
    </row>
    <row r="152" spans="1:4" x14ac:dyDescent="0.2">
      <c r="A152" s="39" t="s">
        <v>4</v>
      </c>
      <c r="B152" s="98" t="s">
        <v>1</v>
      </c>
      <c r="C152" s="98"/>
      <c r="D152" s="22">
        <f>D35</f>
        <v>1172.9181818181819</v>
      </c>
    </row>
    <row r="153" spans="1:4" x14ac:dyDescent="0.2">
      <c r="A153" s="39" t="s">
        <v>6</v>
      </c>
      <c r="B153" s="98" t="s">
        <v>17</v>
      </c>
      <c r="C153" s="98"/>
      <c r="D153" s="22">
        <f>D79</f>
        <v>1074.3909090909092</v>
      </c>
    </row>
    <row r="154" spans="1:4" x14ac:dyDescent="0.2">
      <c r="A154" s="39" t="s">
        <v>8</v>
      </c>
      <c r="B154" s="98" t="s">
        <v>45</v>
      </c>
      <c r="C154" s="98"/>
      <c r="D154" s="22">
        <f>D91</f>
        <v>0</v>
      </c>
    </row>
    <row r="155" spans="1:4" x14ac:dyDescent="0.2">
      <c r="A155" s="39" t="s">
        <v>10</v>
      </c>
      <c r="B155" s="98" t="s">
        <v>50</v>
      </c>
      <c r="C155" s="98"/>
      <c r="D155" s="22">
        <f>D121</f>
        <v>12.36</v>
      </c>
    </row>
    <row r="156" spans="1:4" x14ac:dyDescent="0.2">
      <c r="A156" s="39" t="s">
        <v>12</v>
      </c>
      <c r="B156" s="98" t="s">
        <v>55</v>
      </c>
      <c r="C156" s="98"/>
      <c r="D156" s="22">
        <f>D131</f>
        <v>188.06</v>
      </c>
    </row>
    <row r="157" spans="1:4" x14ac:dyDescent="0.2">
      <c r="A157" s="99" t="s">
        <v>93</v>
      </c>
      <c r="B157" s="99"/>
      <c r="C157" s="99"/>
      <c r="D157" s="23">
        <f>SUM(D152:D156)</f>
        <v>2447.7290909090912</v>
      </c>
    </row>
    <row r="158" spans="1:4" x14ac:dyDescent="0.2">
      <c r="A158" s="39" t="s">
        <v>32</v>
      </c>
      <c r="B158" s="98" t="s">
        <v>69</v>
      </c>
      <c r="C158" s="98"/>
      <c r="D158" s="24">
        <f>D146</f>
        <v>534.56152560083592</v>
      </c>
    </row>
    <row r="159" spans="1:4" x14ac:dyDescent="0.2">
      <c r="A159" s="99" t="s">
        <v>70</v>
      </c>
      <c r="B159" s="99"/>
      <c r="C159" s="99"/>
      <c r="D159" s="23">
        <f>SUM(D157:D158)</f>
        <v>2982.2906165099271</v>
      </c>
    </row>
  </sheetData>
  <mergeCells count="75">
    <mergeCell ref="A157:C157"/>
    <mergeCell ref="B158:C158"/>
    <mergeCell ref="A159:C159"/>
    <mergeCell ref="B151:C151"/>
    <mergeCell ref="B152:C152"/>
    <mergeCell ref="B153:C153"/>
    <mergeCell ref="B154:C154"/>
    <mergeCell ref="B155:C155"/>
    <mergeCell ref="B156:C156"/>
    <mergeCell ref="A149:D149"/>
    <mergeCell ref="A113:C113"/>
    <mergeCell ref="A116:D116"/>
    <mergeCell ref="B118:C118"/>
    <mergeCell ref="B119:C119"/>
    <mergeCell ref="B120:C120"/>
    <mergeCell ref="A121:C121"/>
    <mergeCell ref="A124:D124"/>
    <mergeCell ref="B126:C126"/>
    <mergeCell ref="A131:C131"/>
    <mergeCell ref="A134:D134"/>
    <mergeCell ref="A146:B146"/>
    <mergeCell ref="B112:C112"/>
    <mergeCell ref="B78:C78"/>
    <mergeCell ref="A79:C79"/>
    <mergeCell ref="A82:D82"/>
    <mergeCell ref="B84:C84"/>
    <mergeCell ref="A91:C91"/>
    <mergeCell ref="A94:D94"/>
    <mergeCell ref="A97:D97"/>
    <mergeCell ref="B99:C99"/>
    <mergeCell ref="A106:C106"/>
    <mergeCell ref="A109:D109"/>
    <mergeCell ref="B111:C111"/>
    <mergeCell ref="B77:C77"/>
    <mergeCell ref="A62:D62"/>
    <mergeCell ref="B64:C64"/>
    <mergeCell ref="B65:C65"/>
    <mergeCell ref="B66:C66"/>
    <mergeCell ref="B67:C67"/>
    <mergeCell ref="B68:C68"/>
    <mergeCell ref="B69:C69"/>
    <mergeCell ref="A70:C70"/>
    <mergeCell ref="A73:D73"/>
    <mergeCell ref="B75:C75"/>
    <mergeCell ref="B76:C76"/>
    <mergeCell ref="A59:B59"/>
    <mergeCell ref="B30:C30"/>
    <mergeCell ref="B31:C31"/>
    <mergeCell ref="B32:C32"/>
    <mergeCell ref="B33:C33"/>
    <mergeCell ref="B34:C34"/>
    <mergeCell ref="A35:C35"/>
    <mergeCell ref="A38:D38"/>
    <mergeCell ref="A40:D40"/>
    <mergeCell ref="B42:C42"/>
    <mergeCell ref="A45:B45"/>
    <mergeCell ref="A48:D48"/>
    <mergeCell ref="B29:C29"/>
    <mergeCell ref="A14:B14"/>
    <mergeCell ref="A15:B15"/>
    <mergeCell ref="A17:D17"/>
    <mergeCell ref="C19:D19"/>
    <mergeCell ref="C20:D20"/>
    <mergeCell ref="C21:D21"/>
    <mergeCell ref="C22:D22"/>
    <mergeCell ref="C23:D23"/>
    <mergeCell ref="A25:D25"/>
    <mergeCell ref="B27:C27"/>
    <mergeCell ref="B28:C28"/>
    <mergeCell ref="A12:D12"/>
    <mergeCell ref="A1:D1"/>
    <mergeCell ref="A3:D3"/>
    <mergeCell ref="A5:D5"/>
    <mergeCell ref="B9:D9"/>
    <mergeCell ref="B10:D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9"/>
  <sheetViews>
    <sheetView topLeftCell="A61" zoomScale="115" zoomScaleNormal="115" workbookViewId="0">
      <selection activeCell="D65" sqref="D65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103" t="s">
        <v>0</v>
      </c>
      <c r="B1" s="103"/>
      <c r="C1" s="103"/>
      <c r="D1" s="103"/>
    </row>
    <row r="2" spans="1:4" ht="15.75" x14ac:dyDescent="0.25">
      <c r="A2" s="26"/>
      <c r="B2" s="26"/>
      <c r="C2" s="26"/>
      <c r="D2" s="26"/>
    </row>
    <row r="3" spans="1:4" x14ac:dyDescent="0.2">
      <c r="A3" s="102" t="s">
        <v>102</v>
      </c>
      <c r="B3" s="102"/>
      <c r="C3" s="102"/>
      <c r="D3" s="102"/>
    </row>
    <row r="4" spans="1:4" x14ac:dyDescent="0.2">
      <c r="A4" s="2"/>
      <c r="B4" s="2"/>
      <c r="C4" s="2"/>
      <c r="D4" s="2"/>
    </row>
    <row r="5" spans="1:4" x14ac:dyDescent="0.2">
      <c r="A5" s="111" t="s">
        <v>103</v>
      </c>
      <c r="B5" s="112"/>
      <c r="C5" s="112"/>
      <c r="D5" s="113"/>
    </row>
    <row r="6" spans="1:4" x14ac:dyDescent="0.2">
      <c r="A6" s="33" t="s">
        <v>4</v>
      </c>
      <c r="B6" s="34" t="s">
        <v>99</v>
      </c>
      <c r="C6" s="35"/>
      <c r="D6" s="36" t="s">
        <v>106</v>
      </c>
    </row>
    <row r="7" spans="1:4" x14ac:dyDescent="0.2">
      <c r="A7" s="33" t="s">
        <v>6</v>
      </c>
      <c r="B7" s="34" t="s">
        <v>100</v>
      </c>
      <c r="C7" s="35"/>
      <c r="D7" s="36" t="s">
        <v>105</v>
      </c>
    </row>
    <row r="8" spans="1:4" x14ac:dyDescent="0.2">
      <c r="A8" s="33" t="s">
        <v>8</v>
      </c>
      <c r="B8" s="34" t="s">
        <v>101</v>
      </c>
      <c r="C8" s="35"/>
      <c r="D8" s="37">
        <v>45629</v>
      </c>
    </row>
    <row r="9" spans="1:4" x14ac:dyDescent="0.2">
      <c r="A9" s="33" t="s">
        <v>10</v>
      </c>
      <c r="B9" s="120" t="s">
        <v>107</v>
      </c>
      <c r="C9" s="121"/>
      <c r="D9" s="122"/>
    </row>
    <row r="10" spans="1:4" x14ac:dyDescent="0.2">
      <c r="A10" s="33" t="s">
        <v>12</v>
      </c>
      <c r="B10" s="120" t="s">
        <v>108</v>
      </c>
      <c r="C10" s="121"/>
      <c r="D10" s="122"/>
    </row>
    <row r="12" spans="1:4" x14ac:dyDescent="0.2">
      <c r="A12" s="102" t="s">
        <v>87</v>
      </c>
      <c r="B12" s="102"/>
      <c r="C12" s="102"/>
      <c r="D12" s="102"/>
    </row>
    <row r="13" spans="1:4" x14ac:dyDescent="0.2">
      <c r="A13" s="2"/>
      <c r="B13" s="2"/>
      <c r="C13" s="2"/>
      <c r="D13" s="2"/>
    </row>
    <row r="14" spans="1:4" ht="38.25" x14ac:dyDescent="0.2">
      <c r="A14" s="114" t="s">
        <v>88</v>
      </c>
      <c r="B14" s="114"/>
      <c r="C14" s="38" t="s">
        <v>89</v>
      </c>
      <c r="D14" s="27" t="s">
        <v>90</v>
      </c>
    </row>
    <row r="15" spans="1:4" x14ac:dyDescent="0.2">
      <c r="A15" s="115" t="s">
        <v>121</v>
      </c>
      <c r="B15" s="115"/>
      <c r="C15" s="42" t="s">
        <v>110</v>
      </c>
      <c r="D15" s="42">
        <v>10</v>
      </c>
    </row>
    <row r="17" spans="1:4" x14ac:dyDescent="0.2">
      <c r="A17" s="102" t="s">
        <v>71</v>
      </c>
      <c r="B17" s="102"/>
      <c r="C17" s="102"/>
      <c r="D17" s="102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72</v>
      </c>
      <c r="C19" s="116" t="s">
        <v>109</v>
      </c>
      <c r="D19" s="117"/>
    </row>
    <row r="20" spans="1:4" x14ac:dyDescent="0.2">
      <c r="A20" s="5">
        <v>2</v>
      </c>
      <c r="B20" s="5" t="s">
        <v>91</v>
      </c>
      <c r="C20" s="116" t="s">
        <v>111</v>
      </c>
      <c r="D20" s="117"/>
    </row>
    <row r="21" spans="1:4" x14ac:dyDescent="0.2">
      <c r="A21" s="5">
        <v>3</v>
      </c>
      <c r="B21" s="5" t="s">
        <v>73</v>
      </c>
      <c r="C21" s="118">
        <v>1530</v>
      </c>
      <c r="D21" s="119"/>
    </row>
    <row r="22" spans="1:4" x14ac:dyDescent="0.2">
      <c r="A22" s="5">
        <v>4</v>
      </c>
      <c r="B22" s="5" t="s">
        <v>74</v>
      </c>
      <c r="C22" s="116"/>
      <c r="D22" s="117"/>
    </row>
    <row r="23" spans="1:4" x14ac:dyDescent="0.2">
      <c r="A23" s="5">
        <v>5</v>
      </c>
      <c r="B23" s="5" t="s">
        <v>75</v>
      </c>
      <c r="C23" s="116"/>
      <c r="D23" s="117"/>
    </row>
    <row r="25" spans="1:4" x14ac:dyDescent="0.2">
      <c r="A25" s="102" t="s">
        <v>1</v>
      </c>
      <c r="B25" s="102"/>
      <c r="C25" s="102"/>
      <c r="D25" s="102"/>
    </row>
    <row r="27" spans="1:4" x14ac:dyDescent="0.2">
      <c r="A27" s="39">
        <v>1</v>
      </c>
      <c r="B27" s="99" t="s">
        <v>2</v>
      </c>
      <c r="C27" s="99"/>
      <c r="D27" s="39" t="s">
        <v>3</v>
      </c>
    </row>
    <row r="28" spans="1:4" x14ac:dyDescent="0.2">
      <c r="A28" s="38" t="s">
        <v>4</v>
      </c>
      <c r="B28" s="98" t="s">
        <v>5</v>
      </c>
      <c r="C28" s="98"/>
      <c r="D28" s="13">
        <f>C21*(25/44)</f>
        <v>869.31818181818187</v>
      </c>
    </row>
    <row r="29" spans="1:4" x14ac:dyDescent="0.2">
      <c r="A29" s="38" t="s">
        <v>6</v>
      </c>
      <c r="B29" s="98" t="s">
        <v>7</v>
      </c>
      <c r="C29" s="98"/>
      <c r="D29" s="13"/>
    </row>
    <row r="30" spans="1:4" x14ac:dyDescent="0.2">
      <c r="A30" s="38" t="s">
        <v>8</v>
      </c>
      <c r="B30" s="98" t="s">
        <v>9</v>
      </c>
      <c r="C30" s="98"/>
      <c r="D30" s="13">
        <f>1518*0.2</f>
        <v>303.60000000000002</v>
      </c>
    </row>
    <row r="31" spans="1:4" x14ac:dyDescent="0.2">
      <c r="A31" s="38" t="s">
        <v>10</v>
      </c>
      <c r="B31" s="98" t="s">
        <v>11</v>
      </c>
      <c r="C31" s="98"/>
      <c r="D31" s="13"/>
    </row>
    <row r="32" spans="1:4" x14ac:dyDescent="0.2">
      <c r="A32" s="38" t="s">
        <v>12</v>
      </c>
      <c r="B32" s="98" t="s">
        <v>13</v>
      </c>
      <c r="C32" s="98"/>
      <c r="D32" s="13"/>
    </row>
    <row r="33" spans="1:4" x14ac:dyDescent="0.2">
      <c r="A33" s="38"/>
      <c r="B33" s="98"/>
      <c r="C33" s="98"/>
      <c r="D33" s="13"/>
    </row>
    <row r="34" spans="1:4" x14ac:dyDescent="0.2">
      <c r="A34" s="38" t="s">
        <v>14</v>
      </c>
      <c r="B34" s="98" t="s">
        <v>15</v>
      </c>
      <c r="C34" s="98"/>
      <c r="D34" s="13"/>
    </row>
    <row r="35" spans="1:4" x14ac:dyDescent="0.2">
      <c r="A35" s="99" t="s">
        <v>16</v>
      </c>
      <c r="B35" s="99"/>
      <c r="C35" s="99"/>
      <c r="D35" s="20">
        <f>SUM(D28:D34)</f>
        <v>1172.9181818181819</v>
      </c>
    </row>
    <row r="38" spans="1:4" x14ac:dyDescent="0.2">
      <c r="A38" s="102" t="s">
        <v>17</v>
      </c>
      <c r="B38" s="102"/>
      <c r="C38" s="102"/>
      <c r="D38" s="102"/>
    </row>
    <row r="39" spans="1:4" x14ac:dyDescent="0.2">
      <c r="A39" s="3"/>
    </row>
    <row r="40" spans="1:4" x14ac:dyDescent="0.2">
      <c r="A40" s="100" t="s">
        <v>18</v>
      </c>
      <c r="B40" s="100"/>
      <c r="C40" s="100"/>
      <c r="D40" s="100"/>
    </row>
    <row r="42" spans="1:4" x14ac:dyDescent="0.2">
      <c r="A42" s="39" t="s">
        <v>19</v>
      </c>
      <c r="B42" s="99" t="s">
        <v>20</v>
      </c>
      <c r="C42" s="99"/>
      <c r="D42" s="39" t="s">
        <v>3</v>
      </c>
    </row>
    <row r="43" spans="1:4" x14ac:dyDescent="0.2">
      <c r="A43" s="38" t="s">
        <v>4</v>
      </c>
      <c r="B43" s="40" t="s">
        <v>21</v>
      </c>
      <c r="C43" s="12">
        <f>TRUNC(1/12,4)</f>
        <v>8.3299999999999999E-2</v>
      </c>
      <c r="D43" s="13">
        <f>TRUNC($D$35*C43,2)</f>
        <v>97.7</v>
      </c>
    </row>
    <row r="44" spans="1:4" x14ac:dyDescent="0.2">
      <c r="A44" s="38" t="s">
        <v>6</v>
      </c>
      <c r="B44" s="40" t="s">
        <v>22</v>
      </c>
      <c r="C44" s="12">
        <f>TRUNC(((1+1/3)/12),4)</f>
        <v>0.1111</v>
      </c>
      <c r="D44" s="13">
        <f>TRUNC($D$35*C44,2)</f>
        <v>130.31</v>
      </c>
    </row>
    <row r="45" spans="1:4" x14ac:dyDescent="0.2">
      <c r="A45" s="99" t="s">
        <v>16</v>
      </c>
      <c r="B45" s="99"/>
      <c r="C45" s="28">
        <f>SUM(C43:C44)</f>
        <v>0.19440000000000002</v>
      </c>
      <c r="D45" s="19">
        <f>SUM(D43:D44)</f>
        <v>228.01</v>
      </c>
    </row>
    <row r="48" spans="1:4" x14ac:dyDescent="0.2">
      <c r="A48" s="104" t="s">
        <v>23</v>
      </c>
      <c r="B48" s="104"/>
      <c r="C48" s="104"/>
      <c r="D48" s="104"/>
    </row>
    <row r="50" spans="1:4" x14ac:dyDescent="0.2">
      <c r="A50" s="39" t="s">
        <v>24</v>
      </c>
      <c r="B50" s="39" t="s">
        <v>25</v>
      </c>
      <c r="C50" s="39" t="s">
        <v>26</v>
      </c>
      <c r="D50" s="39" t="s">
        <v>3</v>
      </c>
    </row>
    <row r="51" spans="1:4" x14ac:dyDescent="0.2">
      <c r="A51" s="38" t="s">
        <v>4</v>
      </c>
      <c r="B51" s="40" t="s">
        <v>27</v>
      </c>
      <c r="C51" s="9">
        <v>0.2</v>
      </c>
      <c r="D51" s="13">
        <f>TRUNC(($D$35+$D$45)*C51,2)</f>
        <v>280.18</v>
      </c>
    </row>
    <row r="52" spans="1:4" x14ac:dyDescent="0.2">
      <c r="A52" s="38" t="s">
        <v>6</v>
      </c>
      <c r="B52" s="40" t="s">
        <v>28</v>
      </c>
      <c r="C52" s="9">
        <v>2.5000000000000001E-2</v>
      </c>
      <c r="D52" s="13">
        <f t="shared" ref="D52:D58" si="0">TRUNC(($D$35+$D$45)*C52,2)</f>
        <v>35.020000000000003</v>
      </c>
    </row>
    <row r="53" spans="1:4" x14ac:dyDescent="0.2">
      <c r="A53" s="38" t="s">
        <v>8</v>
      </c>
      <c r="B53" s="40" t="s">
        <v>29</v>
      </c>
      <c r="C53" s="16">
        <v>0.03</v>
      </c>
      <c r="D53" s="13">
        <f t="shared" si="0"/>
        <v>42.02</v>
      </c>
    </row>
    <row r="54" spans="1:4" x14ac:dyDescent="0.2">
      <c r="A54" s="38" t="s">
        <v>10</v>
      </c>
      <c r="B54" s="40" t="s">
        <v>30</v>
      </c>
      <c r="C54" s="9">
        <v>1.4999999999999999E-2</v>
      </c>
      <c r="D54" s="13">
        <f t="shared" si="0"/>
        <v>21.01</v>
      </c>
    </row>
    <row r="55" spans="1:4" x14ac:dyDescent="0.2">
      <c r="A55" s="38" t="s">
        <v>12</v>
      </c>
      <c r="B55" s="40" t="s">
        <v>31</v>
      </c>
      <c r="C55" s="9">
        <v>0.01</v>
      </c>
      <c r="D55" s="13">
        <f t="shared" si="0"/>
        <v>14</v>
      </c>
    </row>
    <row r="56" spans="1:4" x14ac:dyDescent="0.2">
      <c r="A56" s="38" t="s">
        <v>32</v>
      </c>
      <c r="B56" s="40" t="s">
        <v>33</v>
      </c>
      <c r="C56" s="9">
        <v>6.0000000000000001E-3</v>
      </c>
      <c r="D56" s="13">
        <f t="shared" si="0"/>
        <v>8.4</v>
      </c>
    </row>
    <row r="57" spans="1:4" x14ac:dyDescent="0.2">
      <c r="A57" s="38" t="s">
        <v>14</v>
      </c>
      <c r="B57" s="40" t="s">
        <v>34</v>
      </c>
      <c r="C57" s="9">
        <v>2E-3</v>
      </c>
      <c r="D57" s="13">
        <f t="shared" si="0"/>
        <v>2.8</v>
      </c>
    </row>
    <row r="58" spans="1:4" x14ac:dyDescent="0.2">
      <c r="A58" s="38" t="s">
        <v>35</v>
      </c>
      <c r="B58" s="40" t="s">
        <v>36</v>
      </c>
      <c r="C58" s="9">
        <v>0.08</v>
      </c>
      <c r="D58" s="13">
        <f t="shared" si="0"/>
        <v>112.07</v>
      </c>
    </row>
    <row r="59" spans="1:4" x14ac:dyDescent="0.2">
      <c r="A59" s="99" t="s">
        <v>37</v>
      </c>
      <c r="B59" s="99"/>
      <c r="C59" s="15">
        <f>SUM(C51:C58)</f>
        <v>0.36800000000000005</v>
      </c>
      <c r="D59" s="19">
        <f>SUM(D51:D58)</f>
        <v>515.5</v>
      </c>
    </row>
    <row r="62" spans="1:4" x14ac:dyDescent="0.2">
      <c r="A62" s="100" t="s">
        <v>38</v>
      </c>
      <c r="B62" s="100"/>
      <c r="C62" s="100"/>
      <c r="D62" s="100"/>
    </row>
    <row r="64" spans="1:4" x14ac:dyDescent="0.2">
      <c r="A64" s="39" t="s">
        <v>39</v>
      </c>
      <c r="B64" s="101" t="s">
        <v>40</v>
      </c>
      <c r="C64" s="101"/>
      <c r="D64" s="39" t="s">
        <v>3</v>
      </c>
    </row>
    <row r="65" spans="1:5" x14ac:dyDescent="0.2">
      <c r="A65" s="38" t="s">
        <v>4</v>
      </c>
      <c r="B65" s="98" t="s">
        <v>41</v>
      </c>
      <c r="C65" s="98"/>
      <c r="D65" s="13">
        <f>IF((22*2*1.71)-(D28*0.06)&gt;0,(22*2*1.71)-(D28*0.06),0)</f>
        <v>23.080909090909081</v>
      </c>
    </row>
    <row r="66" spans="1:5" x14ac:dyDescent="0.2">
      <c r="A66" s="38" t="s">
        <v>6</v>
      </c>
      <c r="B66" s="98" t="s">
        <v>42</v>
      </c>
      <c r="C66" s="98"/>
      <c r="D66" s="13">
        <v>0</v>
      </c>
    </row>
    <row r="67" spans="1:5" x14ac:dyDescent="0.2">
      <c r="A67" s="38" t="s">
        <v>8</v>
      </c>
      <c r="B67" s="98" t="s">
        <v>113</v>
      </c>
      <c r="C67" s="98"/>
      <c r="D67" s="13">
        <v>280</v>
      </c>
    </row>
    <row r="68" spans="1:5" x14ac:dyDescent="0.2">
      <c r="A68" s="38" t="s">
        <v>10</v>
      </c>
      <c r="B68" s="98" t="s">
        <v>114</v>
      </c>
      <c r="C68" s="98"/>
      <c r="D68" s="13">
        <v>23</v>
      </c>
    </row>
    <row r="69" spans="1:5" x14ac:dyDescent="0.2">
      <c r="A69" s="38" t="s">
        <v>12</v>
      </c>
      <c r="B69" s="98" t="s">
        <v>115</v>
      </c>
      <c r="C69" s="98"/>
      <c r="D69" s="13">
        <v>4.8</v>
      </c>
    </row>
    <row r="70" spans="1:5" x14ac:dyDescent="0.2">
      <c r="A70" s="99" t="s">
        <v>16</v>
      </c>
      <c r="B70" s="99"/>
      <c r="C70" s="99"/>
      <c r="D70" s="19">
        <f>SUM(D65:D69)</f>
        <v>330.88090909090909</v>
      </c>
    </row>
    <row r="73" spans="1:5" x14ac:dyDescent="0.2">
      <c r="A73" s="100" t="s">
        <v>43</v>
      </c>
      <c r="B73" s="100"/>
      <c r="C73" s="100"/>
      <c r="D73" s="100"/>
    </row>
    <row r="75" spans="1:5" x14ac:dyDescent="0.2">
      <c r="A75" s="39">
        <v>2</v>
      </c>
      <c r="B75" s="101" t="s">
        <v>44</v>
      </c>
      <c r="C75" s="101"/>
      <c r="D75" s="39" t="s">
        <v>3</v>
      </c>
    </row>
    <row r="76" spans="1:5" x14ac:dyDescent="0.2">
      <c r="A76" s="38" t="s">
        <v>19</v>
      </c>
      <c r="B76" s="98" t="s">
        <v>20</v>
      </c>
      <c r="C76" s="98"/>
      <c r="D76" s="14">
        <f>D45</f>
        <v>228.01</v>
      </c>
    </row>
    <row r="77" spans="1:5" x14ac:dyDescent="0.2">
      <c r="A77" s="38" t="s">
        <v>24</v>
      </c>
      <c r="B77" s="98" t="s">
        <v>25</v>
      </c>
      <c r="C77" s="98"/>
      <c r="D77" s="14">
        <f>D59</f>
        <v>515.5</v>
      </c>
    </row>
    <row r="78" spans="1:5" x14ac:dyDescent="0.2">
      <c r="A78" s="38" t="s">
        <v>39</v>
      </c>
      <c r="B78" s="98" t="s">
        <v>40</v>
      </c>
      <c r="C78" s="98"/>
      <c r="D78" s="14">
        <f>D70</f>
        <v>330.88090909090909</v>
      </c>
    </row>
    <row r="79" spans="1:5" x14ac:dyDescent="0.2">
      <c r="A79" s="99" t="s">
        <v>16</v>
      </c>
      <c r="B79" s="99"/>
      <c r="C79" s="99"/>
      <c r="D79" s="19">
        <f>SUM(D76:D78)</f>
        <v>1074.3909090909092</v>
      </c>
    </row>
    <row r="80" spans="1:5" x14ac:dyDescent="0.2">
      <c r="A80" s="4"/>
      <c r="E80" s="18"/>
    </row>
    <row r="82" spans="1:5" x14ac:dyDescent="0.2">
      <c r="A82" s="102" t="s">
        <v>45</v>
      </c>
      <c r="B82" s="102"/>
      <c r="C82" s="102"/>
      <c r="D82" s="102"/>
      <c r="E82" s="17"/>
    </row>
    <row r="83" spans="1:5" ht="12.75" customHeight="1" x14ac:dyDescent="0.2">
      <c r="E83" s="18"/>
    </row>
    <row r="84" spans="1:5" x14ac:dyDescent="0.2">
      <c r="A84" s="39">
        <v>3</v>
      </c>
      <c r="B84" s="101" t="s">
        <v>46</v>
      </c>
      <c r="C84" s="101"/>
      <c r="D84" s="39" t="s">
        <v>3</v>
      </c>
    </row>
    <row r="85" spans="1:5" x14ac:dyDescent="0.2">
      <c r="A85" s="38" t="s">
        <v>4</v>
      </c>
      <c r="B85" s="10" t="s">
        <v>47</v>
      </c>
      <c r="C85" s="9">
        <f>TRUNC(((1/12)*0%),4)</f>
        <v>0</v>
      </c>
      <c r="D85" s="13">
        <f>TRUNC($D$35*C85,2)</f>
        <v>0</v>
      </c>
    </row>
    <row r="86" spans="1:5" x14ac:dyDescent="0.2">
      <c r="A86" s="38" t="s">
        <v>6</v>
      </c>
      <c r="B86" s="10" t="s">
        <v>48</v>
      </c>
      <c r="C86" s="9">
        <v>0.08</v>
      </c>
      <c r="D86" s="13">
        <f>TRUNC(D85*C86,2)</f>
        <v>0</v>
      </c>
    </row>
    <row r="87" spans="1:5" x14ac:dyDescent="0.2">
      <c r="A87" s="38" t="s">
        <v>8</v>
      </c>
      <c r="B87" s="10" t="s">
        <v>97</v>
      </c>
      <c r="C87" s="9">
        <f>TRUNC(8%*0%*40%,4)</f>
        <v>0</v>
      </c>
      <c r="D87" s="13">
        <f>TRUNC($D$35*C87,2)</f>
        <v>0</v>
      </c>
    </row>
    <row r="88" spans="1:5" x14ac:dyDescent="0.2">
      <c r="A88" s="38" t="s">
        <v>10</v>
      </c>
      <c r="B88" s="10" t="s">
        <v>49</v>
      </c>
      <c r="C88" s="9">
        <f>TRUNC(((7/30)/12)*0%,4)</f>
        <v>0</v>
      </c>
      <c r="D88" s="13">
        <f>TRUNC($D$35*C88,2)</f>
        <v>0</v>
      </c>
    </row>
    <row r="89" spans="1:5" ht="25.5" x14ac:dyDescent="0.2">
      <c r="A89" s="38" t="s">
        <v>12</v>
      </c>
      <c r="B89" s="10" t="s">
        <v>92</v>
      </c>
      <c r="C89" s="9">
        <f>C59</f>
        <v>0.36800000000000005</v>
      </c>
      <c r="D89" s="13">
        <f>TRUNC(D88*C89,2)</f>
        <v>0</v>
      </c>
    </row>
    <row r="90" spans="1:5" x14ac:dyDescent="0.2">
      <c r="A90" s="38" t="s">
        <v>32</v>
      </c>
      <c r="B90" s="10" t="s">
        <v>98</v>
      </c>
      <c r="C90" s="9">
        <f>TRUNC(8%*0%*40%,4)</f>
        <v>0</v>
      </c>
      <c r="D90" s="13">
        <f t="shared" ref="D90" si="1">TRUNC($D$35*C90,2)</f>
        <v>0</v>
      </c>
    </row>
    <row r="91" spans="1:5" x14ac:dyDescent="0.2">
      <c r="A91" s="105" t="s">
        <v>16</v>
      </c>
      <c r="B91" s="106"/>
      <c r="C91" s="107"/>
      <c r="D91" s="19">
        <f>SUM(D85:D90)</f>
        <v>0</v>
      </c>
    </row>
    <row r="94" spans="1:5" x14ac:dyDescent="0.2">
      <c r="A94" s="102" t="s">
        <v>50</v>
      </c>
      <c r="B94" s="102"/>
      <c r="C94" s="102"/>
      <c r="D94" s="102"/>
    </row>
    <row r="97" spans="1:6" x14ac:dyDescent="0.2">
      <c r="A97" s="100" t="s">
        <v>76</v>
      </c>
      <c r="B97" s="100"/>
      <c r="C97" s="100"/>
      <c r="D97" s="100"/>
    </row>
    <row r="98" spans="1:6" x14ac:dyDescent="0.2">
      <c r="A98" s="3"/>
    </row>
    <row r="99" spans="1:6" x14ac:dyDescent="0.2">
      <c r="A99" s="39" t="s">
        <v>51</v>
      </c>
      <c r="B99" s="101" t="s">
        <v>77</v>
      </c>
      <c r="C99" s="101"/>
      <c r="D99" s="39" t="s">
        <v>3</v>
      </c>
    </row>
    <row r="100" spans="1:6" x14ac:dyDescent="0.2">
      <c r="A100" s="38" t="s">
        <v>4</v>
      </c>
      <c r="B100" s="40" t="s">
        <v>78</v>
      </c>
      <c r="C100" s="9">
        <f>TRUNC(((1+1/3)/12)/12,4)*0</f>
        <v>0</v>
      </c>
      <c r="D100" s="13">
        <f>TRUNC(($D$35+$D$79+$D$91)*C100,2)</f>
        <v>0</v>
      </c>
    </row>
    <row r="101" spans="1:6" x14ac:dyDescent="0.2">
      <c r="A101" s="38" t="s">
        <v>6</v>
      </c>
      <c r="B101" s="40" t="s">
        <v>79</v>
      </c>
      <c r="C101" s="9">
        <f>TRUNC(((2/30)/12),4)</f>
        <v>5.4999999999999997E-3</v>
      </c>
      <c r="D101" s="13">
        <f t="shared" ref="D101:D105" si="2">TRUNC(($D$35+$D$79+$D$91)*C101,2)</f>
        <v>12.36</v>
      </c>
    </row>
    <row r="102" spans="1:6" x14ac:dyDescent="0.2">
      <c r="A102" s="38" t="s">
        <v>8</v>
      </c>
      <c r="B102" s="40" t="s">
        <v>80</v>
      </c>
      <c r="C102" s="9">
        <f>TRUNC(((5/30)/12)*2%,4)*0</f>
        <v>0</v>
      </c>
      <c r="D102" s="13">
        <f t="shared" si="2"/>
        <v>0</v>
      </c>
    </row>
    <row r="103" spans="1:6" x14ac:dyDescent="0.2">
      <c r="A103" s="38" t="s">
        <v>10</v>
      </c>
      <c r="B103" s="40" t="s">
        <v>81</v>
      </c>
      <c r="C103" s="9">
        <f>TRUNC(((15/30)/12)*8%,4)*0</f>
        <v>0</v>
      </c>
      <c r="D103" s="13">
        <f t="shared" si="2"/>
        <v>0</v>
      </c>
    </row>
    <row r="104" spans="1:6" x14ac:dyDescent="0.2">
      <c r="A104" s="38" t="s">
        <v>12</v>
      </c>
      <c r="B104" s="40" t="s">
        <v>82</v>
      </c>
      <c r="C104" s="9">
        <f>((1+1/3)/12)*3%*(4/12)*0</f>
        <v>0</v>
      </c>
      <c r="D104" s="13">
        <f t="shared" si="2"/>
        <v>0</v>
      </c>
    </row>
    <row r="105" spans="1:6" x14ac:dyDescent="0.2">
      <c r="A105" s="38" t="s">
        <v>32</v>
      </c>
      <c r="B105" s="40" t="s">
        <v>83</v>
      </c>
      <c r="C105" s="9"/>
      <c r="D105" s="13">
        <f t="shared" si="2"/>
        <v>0</v>
      </c>
    </row>
    <row r="106" spans="1:6" x14ac:dyDescent="0.2">
      <c r="A106" s="99" t="s">
        <v>37</v>
      </c>
      <c r="B106" s="99"/>
      <c r="C106" s="99"/>
      <c r="D106" s="19">
        <f>SUM(D100:D105)</f>
        <v>12.36</v>
      </c>
      <c r="E106" s="17"/>
      <c r="F106" s="17"/>
    </row>
    <row r="109" spans="1:6" x14ac:dyDescent="0.2">
      <c r="A109" s="100" t="s">
        <v>84</v>
      </c>
      <c r="B109" s="100"/>
      <c r="C109" s="100"/>
      <c r="D109" s="100"/>
    </row>
    <row r="110" spans="1:6" x14ac:dyDescent="0.2">
      <c r="A110" s="3"/>
    </row>
    <row r="111" spans="1:6" x14ac:dyDescent="0.2">
      <c r="A111" s="39" t="s">
        <v>52</v>
      </c>
      <c r="B111" s="101" t="s">
        <v>85</v>
      </c>
      <c r="C111" s="101"/>
      <c r="D111" s="39" t="s">
        <v>3</v>
      </c>
    </row>
    <row r="112" spans="1:6" x14ac:dyDescent="0.2">
      <c r="A112" s="38" t="s">
        <v>4</v>
      </c>
      <c r="B112" s="108" t="s">
        <v>86</v>
      </c>
      <c r="C112" s="109"/>
      <c r="D112" s="13">
        <f>((D35+D79+D91)/220)*22*0</f>
        <v>0</v>
      </c>
    </row>
    <row r="113" spans="1:4" x14ac:dyDescent="0.2">
      <c r="A113" s="99" t="s">
        <v>16</v>
      </c>
      <c r="B113" s="99"/>
      <c r="C113" s="99"/>
      <c r="D113" s="19">
        <f>SUM(D112)</f>
        <v>0</v>
      </c>
    </row>
    <row r="116" spans="1:4" x14ac:dyDescent="0.2">
      <c r="A116" s="100" t="s">
        <v>53</v>
      </c>
      <c r="B116" s="100"/>
      <c r="C116" s="100"/>
      <c r="D116" s="100"/>
    </row>
    <row r="117" spans="1:4" x14ac:dyDescent="0.2">
      <c r="A117" s="3"/>
    </row>
    <row r="118" spans="1:4" x14ac:dyDescent="0.2">
      <c r="A118" s="39">
        <v>4</v>
      </c>
      <c r="B118" s="99" t="s">
        <v>54</v>
      </c>
      <c r="C118" s="99"/>
      <c r="D118" s="39" t="s">
        <v>3</v>
      </c>
    </row>
    <row r="119" spans="1:4" x14ac:dyDescent="0.2">
      <c r="A119" s="38" t="s">
        <v>51</v>
      </c>
      <c r="B119" s="98" t="s">
        <v>77</v>
      </c>
      <c r="C119" s="98"/>
      <c r="D119" s="14">
        <f>D106</f>
        <v>12.36</v>
      </c>
    </row>
    <row r="120" spans="1:4" x14ac:dyDescent="0.2">
      <c r="A120" s="38" t="s">
        <v>52</v>
      </c>
      <c r="B120" s="98" t="s">
        <v>85</v>
      </c>
      <c r="C120" s="98"/>
      <c r="D120" s="14">
        <f>D113</f>
        <v>0</v>
      </c>
    </row>
    <row r="121" spans="1:4" x14ac:dyDescent="0.2">
      <c r="A121" s="99" t="s">
        <v>16</v>
      </c>
      <c r="B121" s="99"/>
      <c r="C121" s="99"/>
      <c r="D121" s="19">
        <f>SUM(D119:D120)</f>
        <v>12.36</v>
      </c>
    </row>
    <row r="124" spans="1:4" x14ac:dyDescent="0.2">
      <c r="A124" s="102" t="s">
        <v>55</v>
      </c>
      <c r="B124" s="102"/>
      <c r="C124" s="102"/>
      <c r="D124" s="102"/>
    </row>
    <row r="126" spans="1:4" x14ac:dyDescent="0.2">
      <c r="A126" s="39">
        <v>5</v>
      </c>
      <c r="B126" s="110" t="s">
        <v>56</v>
      </c>
      <c r="C126" s="110"/>
      <c r="D126" s="39" t="s">
        <v>3</v>
      </c>
    </row>
    <row r="127" spans="1:4" x14ac:dyDescent="0.2">
      <c r="A127" s="38" t="s">
        <v>4</v>
      </c>
      <c r="B127" s="40" t="s">
        <v>57</v>
      </c>
      <c r="C127" s="40"/>
      <c r="D127" s="13">
        <v>118.41</v>
      </c>
    </row>
    <row r="128" spans="1:4" x14ac:dyDescent="0.2">
      <c r="A128" s="38" t="s">
        <v>6</v>
      </c>
      <c r="B128" s="40" t="s">
        <v>58</v>
      </c>
      <c r="C128" s="40"/>
      <c r="D128" s="13">
        <v>0</v>
      </c>
    </row>
    <row r="129" spans="1:4" x14ac:dyDescent="0.2">
      <c r="A129" s="38" t="s">
        <v>8</v>
      </c>
      <c r="B129" s="40" t="s">
        <v>59</v>
      </c>
      <c r="C129" s="40"/>
      <c r="D129" s="13">
        <v>0</v>
      </c>
    </row>
    <row r="130" spans="1:4" x14ac:dyDescent="0.2">
      <c r="A130" s="38" t="s">
        <v>10</v>
      </c>
      <c r="B130" s="40" t="s">
        <v>119</v>
      </c>
      <c r="C130" s="40"/>
      <c r="D130" s="13">
        <v>0</v>
      </c>
    </row>
    <row r="131" spans="1:4" x14ac:dyDescent="0.2">
      <c r="A131" s="99" t="s">
        <v>37</v>
      </c>
      <c r="B131" s="99"/>
      <c r="C131" s="99"/>
      <c r="D131" s="20">
        <f>SUM(D127:D130)</f>
        <v>118.41</v>
      </c>
    </row>
    <row r="134" spans="1:4" x14ac:dyDescent="0.2">
      <c r="A134" s="102" t="s">
        <v>60</v>
      </c>
      <c r="B134" s="102"/>
      <c r="C134" s="102"/>
      <c r="D134" s="102"/>
    </row>
    <row r="136" spans="1:4" x14ac:dyDescent="0.2">
      <c r="A136" s="39">
        <v>6</v>
      </c>
      <c r="B136" s="41" t="s">
        <v>61</v>
      </c>
      <c r="C136" s="39" t="s">
        <v>26</v>
      </c>
      <c r="D136" s="39" t="s">
        <v>3</v>
      </c>
    </row>
    <row r="137" spans="1:4" x14ac:dyDescent="0.2">
      <c r="A137" s="38" t="s">
        <v>4</v>
      </c>
      <c r="B137" s="40" t="s">
        <v>62</v>
      </c>
      <c r="C137" s="9">
        <v>0.05</v>
      </c>
      <c r="D137" s="14">
        <f>D157*C137</f>
        <v>118.90395454545455</v>
      </c>
    </row>
    <row r="138" spans="1:4" x14ac:dyDescent="0.2">
      <c r="A138" s="38" t="s">
        <v>6</v>
      </c>
      <c r="B138" s="40" t="s">
        <v>63</v>
      </c>
      <c r="C138" s="9">
        <v>0.06</v>
      </c>
      <c r="D138" s="13">
        <f>(D157+D137)*C138</f>
        <v>149.81898272727273</v>
      </c>
    </row>
    <row r="139" spans="1:4" x14ac:dyDescent="0.2">
      <c r="A139" s="38" t="s">
        <v>8</v>
      </c>
      <c r="B139" s="40" t="s">
        <v>64</v>
      </c>
      <c r="C139" s="12">
        <f>SUM(C140:C145)</f>
        <v>8.6499999999999994E-2</v>
      </c>
      <c r="D139" s="13">
        <f>(D157+D137+D138)*C139/(1-C139)</f>
        <v>250.62766878787875</v>
      </c>
    </row>
    <row r="140" spans="1:4" x14ac:dyDescent="0.2">
      <c r="A140" s="38"/>
      <c r="B140" s="40" t="s">
        <v>65</v>
      </c>
      <c r="C140" s="9"/>
      <c r="D140" s="14">
        <f>$D$159*C140</f>
        <v>0</v>
      </c>
    </row>
    <row r="141" spans="1:4" x14ac:dyDescent="0.2">
      <c r="A141" s="38"/>
      <c r="B141" s="40" t="s">
        <v>94</v>
      </c>
      <c r="C141" s="9">
        <v>6.4999999999999997E-3</v>
      </c>
      <c r="D141" s="14">
        <f t="shared" ref="D141:D145" si="3">$D$159*C141</f>
        <v>18.833293030303029</v>
      </c>
    </row>
    <row r="142" spans="1:4" x14ac:dyDescent="0.2">
      <c r="A142" s="38"/>
      <c r="B142" s="40" t="s">
        <v>95</v>
      </c>
      <c r="C142" s="9">
        <v>0.03</v>
      </c>
      <c r="D142" s="14">
        <f t="shared" si="3"/>
        <v>86.92289090909091</v>
      </c>
    </row>
    <row r="143" spans="1:4" x14ac:dyDescent="0.2">
      <c r="A143" s="38"/>
      <c r="B143" s="40" t="s">
        <v>66</v>
      </c>
      <c r="C143" s="38"/>
      <c r="D143" s="14">
        <f t="shared" si="3"/>
        <v>0</v>
      </c>
    </row>
    <row r="144" spans="1:4" x14ac:dyDescent="0.2">
      <c r="A144" s="38"/>
      <c r="B144" s="40" t="s">
        <v>67</v>
      </c>
      <c r="C144" s="9"/>
      <c r="D144" s="14">
        <f t="shared" si="3"/>
        <v>0</v>
      </c>
    </row>
    <row r="145" spans="1:4" x14ac:dyDescent="0.2">
      <c r="A145" s="38"/>
      <c r="B145" s="40" t="s">
        <v>96</v>
      </c>
      <c r="C145" s="9">
        <v>0.05</v>
      </c>
      <c r="D145" s="14">
        <f t="shared" si="3"/>
        <v>144.87148484848487</v>
      </c>
    </row>
    <row r="146" spans="1:4" ht="13.5" x14ac:dyDescent="0.2">
      <c r="A146" s="105" t="s">
        <v>37</v>
      </c>
      <c r="B146" s="106"/>
      <c r="C146" s="21">
        <f>ROUND((1+C138)*(1+C137)/(1-C139)-1,4)</f>
        <v>0.21840000000000001</v>
      </c>
      <c r="D146" s="19">
        <f>SUM(D137:D139)</f>
        <v>519.35060606060597</v>
      </c>
    </row>
    <row r="149" spans="1:4" x14ac:dyDescent="0.2">
      <c r="A149" s="102" t="s">
        <v>104</v>
      </c>
      <c r="B149" s="102"/>
      <c r="C149" s="102"/>
      <c r="D149" s="102"/>
    </row>
    <row r="151" spans="1:4" x14ac:dyDescent="0.2">
      <c r="A151" s="39"/>
      <c r="B151" s="99" t="s">
        <v>68</v>
      </c>
      <c r="C151" s="99"/>
      <c r="D151" s="39" t="s">
        <v>3</v>
      </c>
    </row>
    <row r="152" spans="1:4" x14ac:dyDescent="0.2">
      <c r="A152" s="39" t="s">
        <v>4</v>
      </c>
      <c r="B152" s="98" t="s">
        <v>1</v>
      </c>
      <c r="C152" s="98"/>
      <c r="D152" s="22">
        <f>D35</f>
        <v>1172.9181818181819</v>
      </c>
    </row>
    <row r="153" spans="1:4" x14ac:dyDescent="0.2">
      <c r="A153" s="39" t="s">
        <v>6</v>
      </c>
      <c r="B153" s="98" t="s">
        <v>17</v>
      </c>
      <c r="C153" s="98"/>
      <c r="D153" s="22">
        <f>D79</f>
        <v>1074.3909090909092</v>
      </c>
    </row>
    <row r="154" spans="1:4" x14ac:dyDescent="0.2">
      <c r="A154" s="39" t="s">
        <v>8</v>
      </c>
      <c r="B154" s="98" t="s">
        <v>45</v>
      </c>
      <c r="C154" s="98"/>
      <c r="D154" s="22">
        <f>D91</f>
        <v>0</v>
      </c>
    </row>
    <row r="155" spans="1:4" x14ac:dyDescent="0.2">
      <c r="A155" s="39" t="s">
        <v>10</v>
      </c>
      <c r="B155" s="98" t="s">
        <v>50</v>
      </c>
      <c r="C155" s="98"/>
      <c r="D155" s="22">
        <f>D121</f>
        <v>12.36</v>
      </c>
    </row>
    <row r="156" spans="1:4" x14ac:dyDescent="0.2">
      <c r="A156" s="39" t="s">
        <v>12</v>
      </c>
      <c r="B156" s="98" t="s">
        <v>55</v>
      </c>
      <c r="C156" s="98"/>
      <c r="D156" s="22">
        <f>D131</f>
        <v>118.41</v>
      </c>
    </row>
    <row r="157" spans="1:4" x14ac:dyDescent="0.2">
      <c r="A157" s="99" t="s">
        <v>93</v>
      </c>
      <c r="B157" s="99"/>
      <c r="C157" s="99"/>
      <c r="D157" s="23">
        <f>SUM(D152:D156)</f>
        <v>2378.0790909090911</v>
      </c>
    </row>
    <row r="158" spans="1:4" x14ac:dyDescent="0.2">
      <c r="A158" s="39" t="s">
        <v>32</v>
      </c>
      <c r="B158" s="98" t="s">
        <v>69</v>
      </c>
      <c r="C158" s="98"/>
      <c r="D158" s="24">
        <f>D146</f>
        <v>519.35060606060597</v>
      </c>
    </row>
    <row r="159" spans="1:4" x14ac:dyDescent="0.2">
      <c r="A159" s="99" t="s">
        <v>70</v>
      </c>
      <c r="B159" s="99"/>
      <c r="C159" s="99"/>
      <c r="D159" s="23">
        <f>SUM(D157:D158)</f>
        <v>2897.429696969697</v>
      </c>
    </row>
  </sheetData>
  <mergeCells count="75">
    <mergeCell ref="A157:C157"/>
    <mergeCell ref="B158:C158"/>
    <mergeCell ref="A159:C159"/>
    <mergeCell ref="B151:C151"/>
    <mergeCell ref="B152:C152"/>
    <mergeCell ref="B153:C153"/>
    <mergeCell ref="B154:C154"/>
    <mergeCell ref="B155:C155"/>
    <mergeCell ref="B156:C156"/>
    <mergeCell ref="A149:D149"/>
    <mergeCell ref="A113:C113"/>
    <mergeCell ref="A116:D116"/>
    <mergeCell ref="B118:C118"/>
    <mergeCell ref="B119:C119"/>
    <mergeCell ref="B120:C120"/>
    <mergeCell ref="A121:C121"/>
    <mergeCell ref="A124:D124"/>
    <mergeCell ref="B126:C126"/>
    <mergeCell ref="A131:C131"/>
    <mergeCell ref="A134:D134"/>
    <mergeCell ref="A146:B146"/>
    <mergeCell ref="B112:C112"/>
    <mergeCell ref="B78:C78"/>
    <mergeCell ref="A79:C79"/>
    <mergeCell ref="A82:D82"/>
    <mergeCell ref="B84:C84"/>
    <mergeCell ref="A91:C91"/>
    <mergeCell ref="A94:D94"/>
    <mergeCell ref="A97:D97"/>
    <mergeCell ref="B99:C99"/>
    <mergeCell ref="A106:C106"/>
    <mergeCell ref="A109:D109"/>
    <mergeCell ref="B111:C111"/>
    <mergeCell ref="B77:C77"/>
    <mergeCell ref="A62:D62"/>
    <mergeCell ref="B64:C64"/>
    <mergeCell ref="B65:C65"/>
    <mergeCell ref="B66:C66"/>
    <mergeCell ref="B67:C67"/>
    <mergeCell ref="B68:C68"/>
    <mergeCell ref="B69:C69"/>
    <mergeCell ref="A70:C70"/>
    <mergeCell ref="A73:D73"/>
    <mergeCell ref="B75:C75"/>
    <mergeCell ref="B76:C76"/>
    <mergeCell ref="A59:B59"/>
    <mergeCell ref="B30:C30"/>
    <mergeCell ref="B31:C31"/>
    <mergeCell ref="B32:C32"/>
    <mergeCell ref="B33:C33"/>
    <mergeCell ref="B34:C34"/>
    <mergeCell ref="A35:C35"/>
    <mergeCell ref="A38:D38"/>
    <mergeCell ref="A40:D40"/>
    <mergeCell ref="B42:C42"/>
    <mergeCell ref="A45:B45"/>
    <mergeCell ref="A48:D48"/>
    <mergeCell ref="B29:C29"/>
    <mergeCell ref="A14:B14"/>
    <mergeCell ref="A15:B15"/>
    <mergeCell ref="A17:D17"/>
    <mergeCell ref="C19:D19"/>
    <mergeCell ref="C20:D20"/>
    <mergeCell ref="C21:D21"/>
    <mergeCell ref="C22:D22"/>
    <mergeCell ref="C23:D23"/>
    <mergeCell ref="A25:D25"/>
    <mergeCell ref="B27:C27"/>
    <mergeCell ref="B28:C28"/>
    <mergeCell ref="A12:D12"/>
    <mergeCell ref="A1:D1"/>
    <mergeCell ref="A3:D3"/>
    <mergeCell ref="A5:D5"/>
    <mergeCell ref="B9:D9"/>
    <mergeCell ref="B10:D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8"/>
  <sheetViews>
    <sheetView zoomScaleNormal="100" workbookViewId="0">
      <selection activeCell="C15" sqref="C15"/>
    </sheetView>
  </sheetViews>
  <sheetFormatPr defaultColWidth="10.7109375" defaultRowHeight="12.75" x14ac:dyDescent="0.25"/>
  <cols>
    <col min="1" max="1" width="15.7109375" style="44" customWidth="1"/>
    <col min="2" max="2" width="10.85546875" style="44" bestFit="1" customWidth="1"/>
    <col min="3" max="3" width="12.7109375" style="44" bestFit="1" customWidth="1"/>
    <col min="4" max="16384" width="10.7109375" style="44"/>
  </cols>
  <sheetData>
    <row r="1" spans="1:4" ht="15.75" x14ac:dyDescent="0.25">
      <c r="A1" s="43" t="s">
        <v>122</v>
      </c>
      <c r="B1" s="50"/>
      <c r="C1" s="50"/>
      <c r="D1" s="50"/>
    </row>
    <row r="2" spans="1:4" ht="15.75" x14ac:dyDescent="0.25">
      <c r="A2" s="44" t="s">
        <v>123</v>
      </c>
      <c r="B2" s="50"/>
      <c r="C2" s="50"/>
      <c r="D2" s="50"/>
    </row>
    <row r="3" spans="1:4" x14ac:dyDescent="0.25">
      <c r="A3" s="44" t="s">
        <v>124</v>
      </c>
    </row>
    <row r="4" spans="1:4" x14ac:dyDescent="0.25">
      <c r="A4" s="44" t="s">
        <v>125</v>
      </c>
    </row>
    <row r="5" spans="1:4" x14ac:dyDescent="0.25">
      <c r="A5" s="44" t="s">
        <v>126</v>
      </c>
      <c r="B5" s="46"/>
      <c r="C5" s="46"/>
      <c r="D5" s="46"/>
    </row>
    <row r="6" spans="1:4" x14ac:dyDescent="0.25">
      <c r="A6" s="44" t="s">
        <v>127</v>
      </c>
    </row>
    <row r="7" spans="1:4" x14ac:dyDescent="0.25">
      <c r="A7" s="44" t="s">
        <v>128</v>
      </c>
    </row>
    <row r="8" spans="1:4" x14ac:dyDescent="0.25">
      <c r="A8" s="44" t="s">
        <v>129</v>
      </c>
      <c r="D8" s="45"/>
    </row>
    <row r="9" spans="1:4" x14ac:dyDescent="0.25">
      <c r="A9" s="44" t="s">
        <v>130</v>
      </c>
      <c r="B9" s="46"/>
      <c r="C9" s="46"/>
      <c r="D9" s="46"/>
    </row>
    <row r="10" spans="1:4" x14ac:dyDescent="0.25">
      <c r="A10" s="44" t="s">
        <v>131</v>
      </c>
      <c r="B10" s="46"/>
      <c r="C10" s="46"/>
      <c r="D10" s="46"/>
    </row>
    <row r="11" spans="1:4" x14ac:dyDescent="0.25">
      <c r="A11" s="44" t="s">
        <v>132</v>
      </c>
    </row>
    <row r="12" spans="1:4" x14ac:dyDescent="0.25">
      <c r="A12" s="44" t="s">
        <v>133</v>
      </c>
    </row>
    <row r="13" spans="1:4" ht="15" x14ac:dyDescent="0.25">
      <c r="A13" s="67" t="s">
        <v>134</v>
      </c>
      <c r="B13" s="69"/>
      <c r="C13" s="70"/>
    </row>
    <row r="14" spans="1:4" ht="15" x14ac:dyDescent="0.25">
      <c r="A14" s="71" t="s">
        <v>135</v>
      </c>
      <c r="B14" s="123" t="str">
        <f>servente!C19</f>
        <v>Servente de Limpeza</v>
      </c>
      <c r="C14" s="124"/>
    </row>
    <row r="15" spans="1:4" ht="15" x14ac:dyDescent="0.25">
      <c r="A15" s="71" t="s">
        <v>136</v>
      </c>
      <c r="B15" s="72"/>
      <c r="C15" s="73">
        <f>servente!C21</f>
        <v>1530</v>
      </c>
    </row>
    <row r="16" spans="1:4" ht="15" x14ac:dyDescent="0.25">
      <c r="A16" s="71" t="s">
        <v>137</v>
      </c>
      <c r="B16" s="69">
        <v>220</v>
      </c>
      <c r="C16" s="73">
        <f>ROUND(C15/B16,2)</f>
        <v>6.95</v>
      </c>
    </row>
    <row r="17" spans="1:4" ht="15" x14ac:dyDescent="0.25">
      <c r="A17" s="71" t="s">
        <v>138</v>
      </c>
      <c r="B17" s="74">
        <f>servente!C45</f>
        <v>0.19440000000000002</v>
      </c>
      <c r="C17" s="73">
        <f>ROUND(C16*B17,2)</f>
        <v>1.35</v>
      </c>
    </row>
    <row r="18" spans="1:4" ht="15" x14ac:dyDescent="0.25">
      <c r="A18" s="71" t="s">
        <v>139</v>
      </c>
      <c r="B18" s="69"/>
      <c r="C18" s="73">
        <f>SUM(C16:C17)</f>
        <v>8.3000000000000007</v>
      </c>
    </row>
    <row r="19" spans="1:4" ht="15" x14ac:dyDescent="0.25">
      <c r="A19" s="71" t="s">
        <v>140</v>
      </c>
      <c r="B19" s="74">
        <f>servente!C59</f>
        <v>0.36800000000000005</v>
      </c>
      <c r="C19" s="73">
        <f>ROUND(C18*B19,2)</f>
        <v>3.05</v>
      </c>
    </row>
    <row r="20" spans="1:4" ht="15" x14ac:dyDescent="0.25">
      <c r="A20" s="71" t="s">
        <v>141</v>
      </c>
      <c r="B20" s="69"/>
      <c r="C20" s="73">
        <f>SUM(C18:C19)</f>
        <v>11.350000000000001</v>
      </c>
      <c r="D20" s="47"/>
    </row>
    <row r="21" spans="1:4" ht="15" x14ac:dyDescent="0.25">
      <c r="A21" s="71" t="s">
        <v>142</v>
      </c>
      <c r="B21" s="74">
        <f>servente!C146</f>
        <v>0.21840000000000001</v>
      </c>
      <c r="C21" s="73">
        <f>ROUND(C20*B21,2)</f>
        <v>2.48</v>
      </c>
    </row>
    <row r="22" spans="1:4" ht="15" x14ac:dyDescent="0.25">
      <c r="A22" s="71" t="s">
        <v>143</v>
      </c>
      <c r="B22" s="69"/>
      <c r="C22" s="73">
        <f>SUM(C20:C21)</f>
        <v>13.830000000000002</v>
      </c>
    </row>
    <row r="23" spans="1:4" ht="15" x14ac:dyDescent="0.25">
      <c r="A23" s="71" t="s">
        <v>144</v>
      </c>
      <c r="B23" s="75">
        <v>0.5</v>
      </c>
      <c r="C23" s="76">
        <f>ROUND(C22*(1+B23),2)</f>
        <v>20.75</v>
      </c>
    </row>
    <row r="24" spans="1:4" ht="15" x14ac:dyDescent="0.25">
      <c r="A24" s="71" t="s">
        <v>145</v>
      </c>
      <c r="B24" s="75">
        <v>1</v>
      </c>
      <c r="C24" s="76">
        <f>ROUND(C22*(1+B24),2)</f>
        <v>27.66</v>
      </c>
    </row>
    <row r="25" spans="1:4" ht="15" x14ac:dyDescent="0.25">
      <c r="A25" s="67" t="s">
        <v>146</v>
      </c>
      <c r="B25" s="69"/>
      <c r="C25" s="70"/>
    </row>
    <row r="26" spans="1:4" ht="15" x14ac:dyDescent="0.25">
      <c r="A26" s="71" t="s">
        <v>147</v>
      </c>
      <c r="B26" s="69">
        <f>99*8</f>
        <v>792</v>
      </c>
      <c r="C26" s="77">
        <f>C23*B26</f>
        <v>16434</v>
      </c>
    </row>
    <row r="27" spans="1:4" ht="15" x14ac:dyDescent="0.25">
      <c r="A27" s="71" t="s">
        <v>148</v>
      </c>
      <c r="B27" s="69">
        <f>99*3</f>
        <v>297</v>
      </c>
      <c r="C27" s="77">
        <f>C24*B27</f>
        <v>8215.02</v>
      </c>
      <c r="D27" s="51"/>
    </row>
    <row r="28" spans="1:4" ht="15" x14ac:dyDescent="0.25">
      <c r="A28" s="71" t="s">
        <v>149</v>
      </c>
      <c r="B28" s="69"/>
      <c r="C28" s="78">
        <f>SUM(C26:C27)</f>
        <v>24649.02</v>
      </c>
      <c r="D28" s="51"/>
    </row>
    <row r="29" spans="1:4" ht="15" x14ac:dyDescent="0.25">
      <c r="A29" s="67" t="s">
        <v>150</v>
      </c>
      <c r="B29" s="69"/>
      <c r="C29" s="70"/>
      <c r="D29" s="51"/>
    </row>
    <row r="30" spans="1:4" ht="15" x14ac:dyDescent="0.25">
      <c r="A30" s="71" t="s">
        <v>147</v>
      </c>
      <c r="B30" s="69">
        <f>1800+138+138</f>
        <v>2076</v>
      </c>
      <c r="C30" s="77">
        <f>C23*B30</f>
        <v>43077</v>
      </c>
      <c r="D30" s="51"/>
    </row>
    <row r="31" spans="1:4" ht="15" x14ac:dyDescent="0.25">
      <c r="A31" s="71" t="s">
        <v>148</v>
      </c>
      <c r="B31" s="69">
        <f>600+552+738+738</f>
        <v>2628</v>
      </c>
      <c r="C31" s="77">
        <f>C24*B31</f>
        <v>72690.48</v>
      </c>
      <c r="D31" s="51"/>
    </row>
    <row r="32" spans="1:4" ht="15" x14ac:dyDescent="0.25">
      <c r="A32" s="71" t="s">
        <v>149</v>
      </c>
      <c r="B32" s="69"/>
      <c r="C32" s="78">
        <f>SUM(C30:C31)</f>
        <v>115767.48</v>
      </c>
      <c r="D32" s="51"/>
    </row>
    <row r="33" spans="1:4" ht="14.25" x14ac:dyDescent="0.25">
      <c r="A33" s="68" t="s">
        <v>238</v>
      </c>
      <c r="B33" s="97"/>
      <c r="C33" s="78">
        <f>C28+C32</f>
        <v>140416.5</v>
      </c>
      <c r="D33" s="51"/>
    </row>
    <row r="34" spans="1:4" x14ac:dyDescent="0.25">
      <c r="D34" s="51"/>
    </row>
    <row r="42" spans="1:4" x14ac:dyDescent="0.25">
      <c r="C42" s="48"/>
      <c r="D42" s="51"/>
    </row>
    <row r="43" spans="1:4" x14ac:dyDescent="0.25">
      <c r="C43" s="48"/>
      <c r="D43" s="51"/>
    </row>
    <row r="44" spans="1:4" x14ac:dyDescent="0.25">
      <c r="C44" s="52"/>
      <c r="D44" s="49"/>
    </row>
    <row r="47" spans="1:4" ht="12.75" customHeight="1" x14ac:dyDescent="0.25"/>
    <row r="50" spans="3:4" x14ac:dyDescent="0.25">
      <c r="C50" s="52"/>
      <c r="D50" s="51"/>
    </row>
    <row r="51" spans="3:4" x14ac:dyDescent="0.25">
      <c r="C51" s="52"/>
      <c r="D51" s="51"/>
    </row>
    <row r="52" spans="3:4" x14ac:dyDescent="0.25">
      <c r="C52" s="48"/>
      <c r="D52" s="51"/>
    </row>
    <row r="53" spans="3:4" x14ac:dyDescent="0.25">
      <c r="C53" s="52"/>
      <c r="D53" s="51"/>
    </row>
    <row r="54" spans="3:4" x14ac:dyDescent="0.25">
      <c r="C54" s="52"/>
      <c r="D54" s="51"/>
    </row>
    <row r="55" spans="3:4" x14ac:dyDescent="0.25">
      <c r="C55" s="52"/>
      <c r="D55" s="51"/>
    </row>
    <row r="56" spans="3:4" x14ac:dyDescent="0.25">
      <c r="C56" s="52"/>
      <c r="D56" s="51"/>
    </row>
    <row r="57" spans="3:4" x14ac:dyDescent="0.25">
      <c r="C57" s="52"/>
      <c r="D57" s="51"/>
    </row>
    <row r="58" spans="3:4" x14ac:dyDescent="0.25">
      <c r="C58" s="52"/>
      <c r="D58" s="49"/>
    </row>
    <row r="64" spans="3:4" x14ac:dyDescent="0.25">
      <c r="D64" s="51"/>
    </row>
    <row r="65" spans="4:5" x14ac:dyDescent="0.25">
      <c r="D65" s="51"/>
    </row>
    <row r="66" spans="4:5" x14ac:dyDescent="0.25">
      <c r="D66" s="51"/>
    </row>
    <row r="67" spans="4:5" x14ac:dyDescent="0.25">
      <c r="D67" s="51"/>
    </row>
    <row r="68" spans="4:5" x14ac:dyDescent="0.25">
      <c r="D68" s="51"/>
    </row>
    <row r="69" spans="4:5" x14ac:dyDescent="0.25">
      <c r="D69" s="49"/>
    </row>
    <row r="75" spans="4:5" x14ac:dyDescent="0.25">
      <c r="D75" s="49"/>
    </row>
    <row r="76" spans="4:5" x14ac:dyDescent="0.25">
      <c r="D76" s="49"/>
    </row>
    <row r="77" spans="4:5" x14ac:dyDescent="0.25">
      <c r="D77" s="49"/>
    </row>
    <row r="78" spans="4:5" x14ac:dyDescent="0.25">
      <c r="D78" s="49"/>
    </row>
    <row r="79" spans="4:5" x14ac:dyDescent="0.25">
      <c r="E79" s="48"/>
    </row>
    <row r="81" spans="3:5" x14ac:dyDescent="0.25">
      <c r="E81" s="49"/>
    </row>
    <row r="82" spans="3:5" ht="12.75" customHeight="1" x14ac:dyDescent="0.25">
      <c r="E82" s="48"/>
    </row>
    <row r="84" spans="3:5" x14ac:dyDescent="0.25">
      <c r="C84" s="52"/>
      <c r="D84" s="51"/>
    </row>
    <row r="85" spans="3:5" x14ac:dyDescent="0.25">
      <c r="C85" s="52"/>
      <c r="D85" s="51"/>
    </row>
    <row r="86" spans="3:5" x14ac:dyDescent="0.25">
      <c r="C86" s="52"/>
      <c r="D86" s="51"/>
    </row>
    <row r="87" spans="3:5" x14ac:dyDescent="0.25">
      <c r="C87" s="52"/>
      <c r="D87" s="51"/>
    </row>
    <row r="88" spans="3:5" x14ac:dyDescent="0.25">
      <c r="C88" s="52"/>
      <c r="D88" s="51"/>
    </row>
    <row r="89" spans="3:5" x14ac:dyDescent="0.25">
      <c r="C89" s="52"/>
      <c r="D89" s="51"/>
    </row>
    <row r="90" spans="3:5" x14ac:dyDescent="0.25">
      <c r="D90" s="49"/>
    </row>
    <row r="99" spans="3:6" x14ac:dyDescent="0.25">
      <c r="C99" s="52"/>
      <c r="D99" s="51"/>
    </row>
    <row r="100" spans="3:6" x14ac:dyDescent="0.25">
      <c r="C100" s="52"/>
      <c r="D100" s="51"/>
    </row>
    <row r="101" spans="3:6" x14ac:dyDescent="0.25">
      <c r="C101" s="52"/>
      <c r="D101" s="51"/>
    </row>
    <row r="102" spans="3:6" x14ac:dyDescent="0.25">
      <c r="C102" s="52"/>
      <c r="D102" s="51"/>
    </row>
    <row r="103" spans="3:6" x14ac:dyDescent="0.25">
      <c r="C103" s="52"/>
      <c r="D103" s="51"/>
    </row>
    <row r="104" spans="3:6" x14ac:dyDescent="0.25">
      <c r="C104" s="52"/>
      <c r="D104" s="51"/>
    </row>
    <row r="105" spans="3:6" x14ac:dyDescent="0.25">
      <c r="D105" s="49"/>
      <c r="E105" s="49"/>
      <c r="F105" s="49"/>
    </row>
    <row r="111" spans="3:6" x14ac:dyDescent="0.25">
      <c r="D111" s="51"/>
    </row>
    <row r="112" spans="3:6" x14ac:dyDescent="0.25">
      <c r="D112" s="49"/>
    </row>
    <row r="118" spans="4:4" x14ac:dyDescent="0.25">
      <c r="D118" s="49"/>
    </row>
    <row r="119" spans="4:4" x14ac:dyDescent="0.25">
      <c r="D119" s="49"/>
    </row>
    <row r="120" spans="4:4" x14ac:dyDescent="0.25">
      <c r="D120" s="49"/>
    </row>
    <row r="126" spans="4:4" x14ac:dyDescent="0.25">
      <c r="D126" s="51"/>
    </row>
    <row r="127" spans="4:4" x14ac:dyDescent="0.25">
      <c r="D127" s="51"/>
    </row>
    <row r="128" spans="4:4" x14ac:dyDescent="0.25">
      <c r="D128" s="51"/>
    </row>
    <row r="129" spans="3:4" x14ac:dyDescent="0.25">
      <c r="D129" s="51"/>
    </row>
    <row r="130" spans="3:4" x14ac:dyDescent="0.25">
      <c r="D130" s="51"/>
    </row>
    <row r="136" spans="3:4" x14ac:dyDescent="0.25">
      <c r="C136" s="52"/>
      <c r="D136" s="49"/>
    </row>
    <row r="137" spans="3:4" x14ac:dyDescent="0.25">
      <c r="C137" s="52"/>
      <c r="D137" s="51"/>
    </row>
    <row r="138" spans="3:4" x14ac:dyDescent="0.25">
      <c r="C138" s="48"/>
      <c r="D138" s="51"/>
    </row>
    <row r="139" spans="3:4" x14ac:dyDescent="0.25">
      <c r="C139" s="52"/>
      <c r="D139" s="49"/>
    </row>
    <row r="140" spans="3:4" x14ac:dyDescent="0.25">
      <c r="C140" s="52"/>
      <c r="D140" s="49"/>
    </row>
    <row r="141" spans="3:4" x14ac:dyDescent="0.25">
      <c r="C141" s="52"/>
      <c r="D141" s="49"/>
    </row>
    <row r="142" spans="3:4" x14ac:dyDescent="0.25">
      <c r="D142" s="49"/>
    </row>
    <row r="143" spans="3:4" x14ac:dyDescent="0.25">
      <c r="C143" s="52"/>
      <c r="D143" s="49"/>
    </row>
    <row r="144" spans="3:4" x14ac:dyDescent="0.25">
      <c r="C144" s="52"/>
      <c r="D144" s="49"/>
    </row>
    <row r="145" spans="3:4" x14ac:dyDescent="0.25">
      <c r="C145" s="53"/>
      <c r="D145" s="49"/>
    </row>
    <row r="151" spans="3:4" x14ac:dyDescent="0.25">
      <c r="D151" s="49"/>
    </row>
    <row r="152" spans="3:4" x14ac:dyDescent="0.25">
      <c r="D152" s="49"/>
    </row>
    <row r="153" spans="3:4" x14ac:dyDescent="0.25">
      <c r="D153" s="49"/>
    </row>
    <row r="154" spans="3:4" x14ac:dyDescent="0.25">
      <c r="D154" s="49"/>
    </row>
    <row r="155" spans="3:4" x14ac:dyDescent="0.25">
      <c r="D155" s="49"/>
    </row>
    <row r="156" spans="3:4" ht="12.75" customHeight="1" x14ac:dyDescent="0.25">
      <c r="D156" s="49"/>
    </row>
    <row r="157" spans="3:4" x14ac:dyDescent="0.25">
      <c r="D157" s="51"/>
    </row>
    <row r="158" spans="3:4" ht="12.75" customHeight="1" x14ac:dyDescent="0.25">
      <c r="D158" s="49"/>
    </row>
  </sheetData>
  <mergeCells count="1">
    <mergeCell ref="B14:C14"/>
  </mergeCells>
  <pageMargins left="0.51181102362204722" right="0.51181102362204722" top="0.78740157480314965" bottom="0.78740157480314965" header="0.31496062992125984" footer="0.31496062992125984"/>
  <pageSetup paperSize="9" scale="73" fitToHeight="0" orientation="portrait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BreakPreview" zoomScaleNormal="100" zoomScaleSheetLayoutView="100" workbookViewId="0">
      <selection activeCell="F49" sqref="F49"/>
    </sheetView>
  </sheetViews>
  <sheetFormatPr defaultRowHeight="15" x14ac:dyDescent="0.25"/>
  <cols>
    <col min="1" max="1" width="15.7109375" style="54" customWidth="1"/>
    <col min="2" max="2" width="6.7109375" style="54" customWidth="1"/>
    <col min="3" max="3" width="36.7109375" style="59" customWidth="1"/>
    <col min="4" max="4" width="12.7109375" style="54" customWidth="1"/>
    <col min="5" max="7" width="15.7109375" style="54" customWidth="1"/>
    <col min="8" max="16384" width="9.140625" style="54"/>
  </cols>
  <sheetData>
    <row r="1" spans="1:7" ht="15.75" x14ac:dyDescent="0.25">
      <c r="A1" s="125" t="s">
        <v>151</v>
      </c>
      <c r="B1" s="125"/>
      <c r="C1" s="125"/>
      <c r="D1" s="125"/>
      <c r="E1" s="125"/>
      <c r="F1" s="125"/>
      <c r="G1" s="125"/>
    </row>
    <row r="2" spans="1:7" ht="24" x14ac:dyDescent="0.25">
      <c r="A2" s="55" t="s">
        <v>152</v>
      </c>
      <c r="B2" s="55" t="s">
        <v>153</v>
      </c>
      <c r="C2" s="55" t="s">
        <v>154</v>
      </c>
      <c r="D2" s="55" t="s">
        <v>155</v>
      </c>
      <c r="E2" s="55" t="s">
        <v>156</v>
      </c>
      <c r="F2" s="55" t="s">
        <v>157</v>
      </c>
      <c r="G2" s="55" t="s">
        <v>158</v>
      </c>
    </row>
    <row r="3" spans="1:7" x14ac:dyDescent="0.25">
      <c r="A3" s="56" t="s">
        <v>159</v>
      </c>
      <c r="B3" s="56">
        <v>7</v>
      </c>
      <c r="C3" s="57" t="s">
        <v>160</v>
      </c>
      <c r="D3" s="56" t="s">
        <v>161</v>
      </c>
      <c r="E3" s="56">
        <v>2760</v>
      </c>
      <c r="F3" s="58">
        <v>1.95</v>
      </c>
      <c r="G3" s="58">
        <f t="shared" ref="G3:G44" si="0">ROUND((E3*F3),2)</f>
        <v>5382</v>
      </c>
    </row>
    <row r="4" spans="1:7" x14ac:dyDescent="0.25">
      <c r="A4" s="56" t="s">
        <v>159</v>
      </c>
      <c r="B4" s="56">
        <v>8</v>
      </c>
      <c r="C4" s="57" t="s">
        <v>162</v>
      </c>
      <c r="D4" s="56" t="s">
        <v>161</v>
      </c>
      <c r="E4" s="56">
        <v>4140</v>
      </c>
      <c r="F4" s="58">
        <v>7.54</v>
      </c>
      <c r="G4" s="58">
        <f t="shared" si="0"/>
        <v>31215.599999999999</v>
      </c>
    </row>
    <row r="5" spans="1:7" x14ac:dyDescent="0.25">
      <c r="A5" s="56" t="s">
        <v>159</v>
      </c>
      <c r="B5" s="56">
        <v>9</v>
      </c>
      <c r="C5" s="57" t="s">
        <v>163</v>
      </c>
      <c r="D5" s="56" t="s">
        <v>161</v>
      </c>
      <c r="E5" s="56">
        <v>4140</v>
      </c>
      <c r="F5" s="58">
        <v>4.54</v>
      </c>
      <c r="G5" s="58">
        <f t="shared" si="0"/>
        <v>18795.599999999999</v>
      </c>
    </row>
    <row r="6" spans="1:7" x14ac:dyDescent="0.25">
      <c r="A6" s="56" t="s">
        <v>159</v>
      </c>
      <c r="B6" s="56">
        <v>10</v>
      </c>
      <c r="C6" s="57" t="s">
        <v>164</v>
      </c>
      <c r="D6" s="56" t="s">
        <v>161</v>
      </c>
      <c r="E6" s="56">
        <v>5520</v>
      </c>
      <c r="F6" s="58">
        <v>2.59</v>
      </c>
      <c r="G6" s="58">
        <f t="shared" si="0"/>
        <v>14296.8</v>
      </c>
    </row>
    <row r="7" spans="1:7" x14ac:dyDescent="0.25">
      <c r="A7" s="56" t="s">
        <v>159</v>
      </c>
      <c r="B7" s="56">
        <v>11</v>
      </c>
      <c r="C7" s="57" t="s">
        <v>165</v>
      </c>
      <c r="D7" s="56" t="s">
        <v>166</v>
      </c>
      <c r="E7" s="56">
        <v>8280</v>
      </c>
      <c r="F7" s="58">
        <v>1.59</v>
      </c>
      <c r="G7" s="58">
        <f t="shared" si="0"/>
        <v>13165.2</v>
      </c>
    </row>
    <row r="8" spans="1:7" x14ac:dyDescent="0.25">
      <c r="A8" s="56" t="s">
        <v>159</v>
      </c>
      <c r="B8" s="56">
        <v>12</v>
      </c>
      <c r="C8" s="57" t="s">
        <v>167</v>
      </c>
      <c r="D8" s="56" t="s">
        <v>161</v>
      </c>
      <c r="E8" s="56">
        <v>1380</v>
      </c>
      <c r="F8" s="58">
        <v>7.49</v>
      </c>
      <c r="G8" s="58">
        <f t="shared" si="0"/>
        <v>10336.200000000001</v>
      </c>
    </row>
    <row r="9" spans="1:7" x14ac:dyDescent="0.25">
      <c r="A9" s="56" t="s">
        <v>159</v>
      </c>
      <c r="B9" s="56">
        <v>13</v>
      </c>
      <c r="C9" s="57" t="s">
        <v>168</v>
      </c>
      <c r="D9" s="56" t="s">
        <v>166</v>
      </c>
      <c r="E9" s="56">
        <v>2760</v>
      </c>
      <c r="F9" s="58">
        <v>0.85</v>
      </c>
      <c r="G9" s="58">
        <f t="shared" si="0"/>
        <v>2346</v>
      </c>
    </row>
    <row r="10" spans="1:7" x14ac:dyDescent="0.25">
      <c r="A10" s="56" t="s">
        <v>159</v>
      </c>
      <c r="B10" s="56">
        <v>14</v>
      </c>
      <c r="C10" s="57" t="s">
        <v>169</v>
      </c>
      <c r="D10" s="56" t="s">
        <v>161</v>
      </c>
      <c r="E10" s="56">
        <v>690</v>
      </c>
      <c r="F10" s="58">
        <v>4.51</v>
      </c>
      <c r="G10" s="58">
        <f t="shared" si="0"/>
        <v>3111.9</v>
      </c>
    </row>
    <row r="11" spans="1:7" x14ac:dyDescent="0.25">
      <c r="A11" s="56" t="s">
        <v>159</v>
      </c>
      <c r="B11" s="56">
        <v>15</v>
      </c>
      <c r="C11" s="57" t="s">
        <v>170</v>
      </c>
      <c r="D11" s="56" t="s">
        <v>166</v>
      </c>
      <c r="E11" s="56">
        <v>2760</v>
      </c>
      <c r="F11" s="58">
        <v>2.7</v>
      </c>
      <c r="G11" s="58">
        <f t="shared" si="0"/>
        <v>7452</v>
      </c>
    </row>
    <row r="12" spans="1:7" ht="30" x14ac:dyDescent="0.25">
      <c r="A12" s="56" t="s">
        <v>159</v>
      </c>
      <c r="B12" s="56">
        <v>16</v>
      </c>
      <c r="C12" s="57" t="s">
        <v>171</v>
      </c>
      <c r="D12" s="56" t="s">
        <v>166</v>
      </c>
      <c r="E12" s="56">
        <v>1380</v>
      </c>
      <c r="F12" s="58">
        <v>8.4700000000000006</v>
      </c>
      <c r="G12" s="58">
        <f t="shared" si="0"/>
        <v>11688.6</v>
      </c>
    </row>
    <row r="13" spans="1:7" x14ac:dyDescent="0.25">
      <c r="A13" s="56" t="s">
        <v>159</v>
      </c>
      <c r="B13" s="56">
        <v>17</v>
      </c>
      <c r="C13" s="57" t="s">
        <v>172</v>
      </c>
      <c r="D13" s="56" t="s">
        <v>166</v>
      </c>
      <c r="E13" s="56">
        <v>1380</v>
      </c>
      <c r="F13" s="58">
        <v>1.23</v>
      </c>
      <c r="G13" s="58">
        <f t="shared" si="0"/>
        <v>1697.4</v>
      </c>
    </row>
    <row r="14" spans="1:7" x14ac:dyDescent="0.25">
      <c r="A14" s="56" t="s">
        <v>159</v>
      </c>
      <c r="B14" s="56">
        <v>18</v>
      </c>
      <c r="C14" s="57" t="s">
        <v>173</v>
      </c>
      <c r="D14" s="56" t="s">
        <v>166</v>
      </c>
      <c r="E14" s="56">
        <v>4140</v>
      </c>
      <c r="F14" s="58">
        <v>4.1399999999999997</v>
      </c>
      <c r="G14" s="58">
        <f t="shared" si="0"/>
        <v>17139.599999999999</v>
      </c>
    </row>
    <row r="15" spans="1:7" ht="60" x14ac:dyDescent="0.25">
      <c r="A15" s="56" t="s">
        <v>159</v>
      </c>
      <c r="B15" s="56">
        <v>19</v>
      </c>
      <c r="C15" s="57" t="s">
        <v>174</v>
      </c>
      <c r="D15" s="56" t="s">
        <v>175</v>
      </c>
      <c r="E15" s="56">
        <v>44160</v>
      </c>
      <c r="F15" s="58">
        <v>1.34</v>
      </c>
      <c r="G15" s="58">
        <f t="shared" si="0"/>
        <v>59174.400000000001</v>
      </c>
    </row>
    <row r="16" spans="1:7" ht="75" x14ac:dyDescent="0.25">
      <c r="A16" s="56" t="s">
        <v>159</v>
      </c>
      <c r="B16" s="56">
        <v>20</v>
      </c>
      <c r="C16" s="57" t="s">
        <v>176</v>
      </c>
      <c r="D16" s="56" t="s">
        <v>177</v>
      </c>
      <c r="E16" s="56">
        <v>4140</v>
      </c>
      <c r="F16" s="58">
        <v>17.29</v>
      </c>
      <c r="G16" s="58">
        <f t="shared" si="0"/>
        <v>71580.600000000006</v>
      </c>
    </row>
    <row r="17" spans="1:7" x14ac:dyDescent="0.25">
      <c r="A17" s="56" t="s">
        <v>159</v>
      </c>
      <c r="B17" s="56">
        <v>21</v>
      </c>
      <c r="C17" s="57" t="s">
        <v>178</v>
      </c>
      <c r="D17" s="56" t="s">
        <v>166</v>
      </c>
      <c r="E17" s="56">
        <v>1380</v>
      </c>
      <c r="F17" s="58">
        <v>8.3800000000000008</v>
      </c>
      <c r="G17" s="58">
        <f t="shared" si="0"/>
        <v>11564.4</v>
      </c>
    </row>
    <row r="18" spans="1:7" x14ac:dyDescent="0.25">
      <c r="A18" s="56" t="s">
        <v>159</v>
      </c>
      <c r="B18" s="56">
        <v>22</v>
      </c>
      <c r="C18" s="57" t="s">
        <v>179</v>
      </c>
      <c r="D18" s="56" t="s">
        <v>180</v>
      </c>
      <c r="E18" s="56">
        <v>2760</v>
      </c>
      <c r="F18" s="58">
        <v>2.8</v>
      </c>
      <c r="G18" s="58">
        <f t="shared" si="0"/>
        <v>7728</v>
      </c>
    </row>
    <row r="19" spans="1:7" x14ac:dyDescent="0.25">
      <c r="A19" s="56" t="s">
        <v>159</v>
      </c>
      <c r="B19" s="56">
        <v>23</v>
      </c>
      <c r="C19" s="57" t="s">
        <v>181</v>
      </c>
      <c r="D19" s="56" t="s">
        <v>161</v>
      </c>
      <c r="E19" s="56">
        <v>5520</v>
      </c>
      <c r="F19" s="58">
        <v>3.17</v>
      </c>
      <c r="G19" s="58">
        <f t="shared" si="0"/>
        <v>17498.400000000001</v>
      </c>
    </row>
    <row r="20" spans="1:7" ht="30" x14ac:dyDescent="0.25">
      <c r="A20" s="56" t="s">
        <v>159</v>
      </c>
      <c r="B20" s="56">
        <v>24</v>
      </c>
      <c r="C20" s="57" t="s">
        <v>182</v>
      </c>
      <c r="D20" s="56" t="s">
        <v>166</v>
      </c>
      <c r="E20" s="56">
        <v>11040</v>
      </c>
      <c r="F20" s="58">
        <v>0.6</v>
      </c>
      <c r="G20" s="58">
        <f t="shared" si="0"/>
        <v>6624</v>
      </c>
    </row>
    <row r="21" spans="1:7" ht="30" x14ac:dyDescent="0.25">
      <c r="A21" s="56" t="s">
        <v>159</v>
      </c>
      <c r="B21" s="56">
        <v>25</v>
      </c>
      <c r="C21" s="57" t="s">
        <v>183</v>
      </c>
      <c r="D21" s="56" t="s">
        <v>166</v>
      </c>
      <c r="E21" s="56">
        <v>5520</v>
      </c>
      <c r="F21" s="58">
        <v>0.66</v>
      </c>
      <c r="G21" s="58">
        <f t="shared" si="0"/>
        <v>3643.2</v>
      </c>
    </row>
    <row r="22" spans="1:7" ht="30" x14ac:dyDescent="0.25">
      <c r="A22" s="56" t="s">
        <v>159</v>
      </c>
      <c r="B22" s="56">
        <v>26</v>
      </c>
      <c r="C22" s="57" t="s">
        <v>184</v>
      </c>
      <c r="D22" s="56" t="s">
        <v>166</v>
      </c>
      <c r="E22" s="56">
        <v>41400</v>
      </c>
      <c r="F22" s="58">
        <v>0.13</v>
      </c>
      <c r="G22" s="58">
        <f t="shared" si="0"/>
        <v>5382</v>
      </c>
    </row>
    <row r="23" spans="1:7" ht="30" x14ac:dyDescent="0.25">
      <c r="A23" s="56" t="s">
        <v>159</v>
      </c>
      <c r="B23" s="56">
        <v>27</v>
      </c>
      <c r="C23" s="57" t="s">
        <v>185</v>
      </c>
      <c r="D23" s="56" t="s">
        <v>166</v>
      </c>
      <c r="E23" s="56">
        <v>11040</v>
      </c>
      <c r="F23" s="58">
        <v>0.19</v>
      </c>
      <c r="G23" s="58">
        <f t="shared" si="0"/>
        <v>2097.6</v>
      </c>
    </row>
    <row r="24" spans="1:7" ht="30" x14ac:dyDescent="0.25">
      <c r="A24" s="56" t="s">
        <v>159</v>
      </c>
      <c r="B24" s="56">
        <v>28</v>
      </c>
      <c r="C24" s="57" t="s">
        <v>186</v>
      </c>
      <c r="D24" s="56" t="s">
        <v>187</v>
      </c>
      <c r="E24" s="56">
        <v>1380</v>
      </c>
      <c r="F24" s="58">
        <v>2.52</v>
      </c>
      <c r="G24" s="58">
        <f t="shared" si="0"/>
        <v>3477.6</v>
      </c>
    </row>
    <row r="25" spans="1:7" x14ac:dyDescent="0.25">
      <c r="A25" s="56" t="s">
        <v>159</v>
      </c>
      <c r="B25" s="56">
        <v>29</v>
      </c>
      <c r="C25" s="57" t="s">
        <v>188</v>
      </c>
      <c r="D25" s="56" t="s">
        <v>166</v>
      </c>
      <c r="E25" s="56">
        <f>1*115*1</f>
        <v>115</v>
      </c>
      <c r="F25" s="58">
        <v>4.4000000000000004</v>
      </c>
      <c r="G25" s="58">
        <f t="shared" si="0"/>
        <v>506</v>
      </c>
    </row>
    <row r="26" spans="1:7" x14ac:dyDescent="0.25">
      <c r="A26" s="56" t="s">
        <v>159</v>
      </c>
      <c r="B26" s="56">
        <v>30</v>
      </c>
      <c r="C26" s="57" t="s">
        <v>189</v>
      </c>
      <c r="D26" s="56" t="s">
        <v>166</v>
      </c>
      <c r="E26" s="56">
        <f>1*115*2</f>
        <v>230</v>
      </c>
      <c r="F26" s="58">
        <v>18.64</v>
      </c>
      <c r="G26" s="58">
        <f t="shared" si="0"/>
        <v>4287.2</v>
      </c>
    </row>
    <row r="27" spans="1:7" x14ac:dyDescent="0.25">
      <c r="A27" s="56" t="s">
        <v>159</v>
      </c>
      <c r="B27" s="56">
        <v>31</v>
      </c>
      <c r="C27" s="57" t="s">
        <v>190</v>
      </c>
      <c r="D27" s="56" t="s">
        <v>166</v>
      </c>
      <c r="E27" s="56">
        <f>1*115*3</f>
        <v>345</v>
      </c>
      <c r="F27" s="58">
        <v>3.49</v>
      </c>
      <c r="G27" s="58">
        <f t="shared" si="0"/>
        <v>1204.05</v>
      </c>
    </row>
    <row r="28" spans="1:7" ht="30" x14ac:dyDescent="0.25">
      <c r="A28" s="56" t="s">
        <v>159</v>
      </c>
      <c r="B28" s="56">
        <v>32</v>
      </c>
      <c r="C28" s="57" t="s">
        <v>191</v>
      </c>
      <c r="D28" s="56" t="s">
        <v>166</v>
      </c>
      <c r="E28" s="56">
        <f>1*115*3</f>
        <v>345</v>
      </c>
      <c r="F28" s="58">
        <v>8.8800000000000008</v>
      </c>
      <c r="G28" s="58">
        <f t="shared" si="0"/>
        <v>3063.6</v>
      </c>
    </row>
    <row r="29" spans="1:7" ht="30" x14ac:dyDescent="0.25">
      <c r="A29" s="56" t="s">
        <v>159</v>
      </c>
      <c r="B29" s="56">
        <v>33</v>
      </c>
      <c r="C29" s="57" t="s">
        <v>192</v>
      </c>
      <c r="D29" s="56" t="s">
        <v>166</v>
      </c>
      <c r="E29" s="56">
        <f>1*115*3</f>
        <v>345</v>
      </c>
      <c r="F29" s="58">
        <v>11</v>
      </c>
      <c r="G29" s="58">
        <f t="shared" si="0"/>
        <v>3795</v>
      </c>
    </row>
    <row r="30" spans="1:7" x14ac:dyDescent="0.25">
      <c r="A30" s="56" t="s">
        <v>159</v>
      </c>
      <c r="B30" s="56">
        <v>34</v>
      </c>
      <c r="C30" s="57" t="s">
        <v>193</v>
      </c>
      <c r="D30" s="56" t="s">
        <v>166</v>
      </c>
      <c r="E30" s="56">
        <f>1*115*2</f>
        <v>230</v>
      </c>
      <c r="F30" s="58">
        <v>8.98</v>
      </c>
      <c r="G30" s="58">
        <f t="shared" si="0"/>
        <v>2065.4</v>
      </c>
    </row>
    <row r="31" spans="1:7" x14ac:dyDescent="0.25">
      <c r="A31" s="56" t="s">
        <v>159</v>
      </c>
      <c r="B31" s="56">
        <v>35</v>
      </c>
      <c r="C31" s="57" t="s">
        <v>194</v>
      </c>
      <c r="D31" s="56" t="s">
        <v>166</v>
      </c>
      <c r="E31" s="56">
        <f>1*115*3</f>
        <v>345</v>
      </c>
      <c r="F31" s="58">
        <v>7.05</v>
      </c>
      <c r="G31" s="58">
        <f t="shared" si="0"/>
        <v>2432.25</v>
      </c>
    </row>
    <row r="32" spans="1:7" ht="30" x14ac:dyDescent="0.25">
      <c r="A32" s="56" t="s">
        <v>159</v>
      </c>
      <c r="B32" s="56">
        <v>36</v>
      </c>
      <c r="C32" s="57" t="s">
        <v>195</v>
      </c>
      <c r="D32" s="56" t="s">
        <v>166</v>
      </c>
      <c r="E32" s="56">
        <f>1*115*3</f>
        <v>345</v>
      </c>
      <c r="F32" s="58">
        <v>8.3800000000000008</v>
      </c>
      <c r="G32" s="58">
        <f t="shared" si="0"/>
        <v>2891.1</v>
      </c>
    </row>
    <row r="33" spans="1:7" ht="30" x14ac:dyDescent="0.25">
      <c r="A33" s="56" t="s">
        <v>159</v>
      </c>
      <c r="B33" s="56">
        <v>37</v>
      </c>
      <c r="C33" s="57" t="s">
        <v>196</v>
      </c>
      <c r="D33" s="56" t="s">
        <v>166</v>
      </c>
      <c r="E33" s="56">
        <f>1*115*2</f>
        <v>230</v>
      </c>
      <c r="F33" s="58">
        <v>17.55</v>
      </c>
      <c r="G33" s="58">
        <f t="shared" si="0"/>
        <v>4036.5</v>
      </c>
    </row>
    <row r="34" spans="1:7" x14ac:dyDescent="0.25">
      <c r="A34" s="56" t="s">
        <v>159</v>
      </c>
      <c r="B34" s="56">
        <v>38</v>
      </c>
      <c r="C34" s="57" t="s">
        <v>197</v>
      </c>
      <c r="D34" s="56" t="s">
        <v>166</v>
      </c>
      <c r="E34" s="56">
        <f>1*115*2</f>
        <v>230</v>
      </c>
      <c r="F34" s="58">
        <v>5.24</v>
      </c>
      <c r="G34" s="58">
        <f t="shared" si="0"/>
        <v>1205.2</v>
      </c>
    </row>
    <row r="35" spans="1:7" x14ac:dyDescent="0.25">
      <c r="A35" s="56" t="s">
        <v>159</v>
      </c>
      <c r="B35" s="56">
        <v>39</v>
      </c>
      <c r="C35" s="57" t="s">
        <v>198</v>
      </c>
      <c r="D35" s="56" t="s">
        <v>166</v>
      </c>
      <c r="E35" s="56">
        <f>1*115*2</f>
        <v>230</v>
      </c>
      <c r="F35" s="58">
        <v>18.11</v>
      </c>
      <c r="G35" s="58">
        <f t="shared" si="0"/>
        <v>4165.3</v>
      </c>
    </row>
    <row r="36" spans="1:7" x14ac:dyDescent="0.25">
      <c r="A36" s="56" t="s">
        <v>159</v>
      </c>
      <c r="B36" s="56">
        <v>40</v>
      </c>
      <c r="C36" s="57" t="s">
        <v>199</v>
      </c>
      <c r="D36" s="56" t="s">
        <v>200</v>
      </c>
      <c r="E36" s="56">
        <f>'[1]material total'!E36/2</f>
        <v>10</v>
      </c>
      <c r="F36" s="58">
        <v>280</v>
      </c>
      <c r="G36" s="58">
        <f t="shared" si="0"/>
        <v>2800</v>
      </c>
    </row>
    <row r="37" spans="1:7" x14ac:dyDescent="0.25">
      <c r="A37" s="56" t="s">
        <v>159</v>
      </c>
      <c r="B37" s="56">
        <v>41</v>
      </c>
      <c r="C37" s="57" t="s">
        <v>201</v>
      </c>
      <c r="D37" s="56" t="s">
        <v>180</v>
      </c>
      <c r="E37" s="56">
        <f>'[1]material total'!E37/2</f>
        <v>100</v>
      </c>
      <c r="F37" s="58">
        <v>1</v>
      </c>
      <c r="G37" s="58">
        <f t="shared" si="0"/>
        <v>100</v>
      </c>
    </row>
    <row r="38" spans="1:7" x14ac:dyDescent="0.25">
      <c r="A38" s="56" t="s">
        <v>159</v>
      </c>
      <c r="B38" s="56">
        <v>42</v>
      </c>
      <c r="C38" s="57" t="s">
        <v>202</v>
      </c>
      <c r="D38" s="56" t="s">
        <v>161</v>
      </c>
      <c r="E38" s="56">
        <f>'[1]material total'!E38/2</f>
        <v>40</v>
      </c>
      <c r="F38" s="58">
        <v>38.53</v>
      </c>
      <c r="G38" s="58">
        <f t="shared" si="0"/>
        <v>1541.2</v>
      </c>
    </row>
    <row r="39" spans="1:7" x14ac:dyDescent="0.25">
      <c r="A39" s="56" t="s">
        <v>159</v>
      </c>
      <c r="B39" s="56">
        <v>43</v>
      </c>
      <c r="C39" s="57" t="s">
        <v>203</v>
      </c>
      <c r="D39" s="56" t="s">
        <v>180</v>
      </c>
      <c r="E39" s="56">
        <f>'[1]material total'!E39/2</f>
        <v>100</v>
      </c>
      <c r="F39" s="58">
        <v>3.11</v>
      </c>
      <c r="G39" s="58">
        <f t="shared" si="0"/>
        <v>311</v>
      </c>
    </row>
    <row r="40" spans="1:7" x14ac:dyDescent="0.25">
      <c r="A40" s="56" t="s">
        <v>159</v>
      </c>
      <c r="B40" s="56">
        <v>44</v>
      </c>
      <c r="C40" s="57" t="s">
        <v>204</v>
      </c>
      <c r="D40" s="56" t="s">
        <v>180</v>
      </c>
      <c r="E40" s="56">
        <f>'[1]material total'!E40/2</f>
        <v>40</v>
      </c>
      <c r="F40" s="58">
        <v>70.64</v>
      </c>
      <c r="G40" s="58">
        <f t="shared" si="0"/>
        <v>2825.6</v>
      </c>
    </row>
    <row r="41" spans="1:7" x14ac:dyDescent="0.25">
      <c r="A41" s="56" t="s">
        <v>159</v>
      </c>
      <c r="B41" s="56">
        <v>45</v>
      </c>
      <c r="C41" s="57" t="s">
        <v>205</v>
      </c>
      <c r="D41" s="56" t="s">
        <v>180</v>
      </c>
      <c r="E41" s="56">
        <f>'[1]material total'!E41/2</f>
        <v>20</v>
      </c>
      <c r="F41" s="58">
        <v>19.190000000000001</v>
      </c>
      <c r="G41" s="58">
        <f t="shared" si="0"/>
        <v>383.8</v>
      </c>
    </row>
    <row r="42" spans="1:7" x14ac:dyDescent="0.25">
      <c r="A42" s="56" t="s">
        <v>159</v>
      </c>
      <c r="B42" s="56">
        <v>46</v>
      </c>
      <c r="C42" s="57" t="s">
        <v>206</v>
      </c>
      <c r="D42" s="56" t="s">
        <v>161</v>
      </c>
      <c r="E42" s="56">
        <f>'[1]material total'!E42/2</f>
        <v>24</v>
      </c>
      <c r="F42" s="58">
        <v>40.21</v>
      </c>
      <c r="G42" s="58">
        <f t="shared" si="0"/>
        <v>965.04</v>
      </c>
    </row>
    <row r="43" spans="1:7" x14ac:dyDescent="0.25">
      <c r="A43" s="56" t="s">
        <v>159</v>
      </c>
      <c r="B43" s="56">
        <v>47</v>
      </c>
      <c r="C43" s="57" t="s">
        <v>207</v>
      </c>
      <c r="D43" s="56" t="s">
        <v>208</v>
      </c>
      <c r="E43" s="56">
        <f>'[1]material total'!E43/2</f>
        <v>100</v>
      </c>
      <c r="F43" s="58">
        <v>0.74</v>
      </c>
      <c r="G43" s="58">
        <f t="shared" si="0"/>
        <v>74</v>
      </c>
    </row>
    <row r="44" spans="1:7" x14ac:dyDescent="0.25">
      <c r="A44" s="56" t="s">
        <v>159</v>
      </c>
      <c r="B44" s="56">
        <v>48</v>
      </c>
      <c r="C44" s="57" t="s">
        <v>209</v>
      </c>
      <c r="D44" s="56" t="s">
        <v>161</v>
      </c>
      <c r="E44" s="56">
        <f>'[1]material total'!E44/2</f>
        <v>160</v>
      </c>
      <c r="F44" s="58">
        <v>6.28</v>
      </c>
      <c r="G44" s="58">
        <f t="shared" si="0"/>
        <v>1004.8</v>
      </c>
    </row>
    <row r="45" spans="1:7" ht="15.75" thickBot="1" x14ac:dyDescent="0.3"/>
    <row r="46" spans="1:7" ht="16.5" thickTop="1" thickBot="1" x14ac:dyDescent="0.3">
      <c r="D46" s="60"/>
      <c r="E46" s="61" t="s">
        <v>210</v>
      </c>
      <c r="F46" s="62">
        <f>SUM(G:G)</f>
        <v>365054.13999999996</v>
      </c>
    </row>
    <row r="47" spans="1:7" ht="15.75" thickTop="1" x14ac:dyDescent="0.25">
      <c r="F47" s="63"/>
    </row>
    <row r="49" spans="4:6" x14ac:dyDescent="0.25">
      <c r="D49" s="64" t="s">
        <v>211</v>
      </c>
      <c r="E49" s="65">
        <f>servente!C146</f>
        <v>0.21840000000000001</v>
      </c>
      <c r="F49" s="66">
        <f>ROUND(F46*E49,2)</f>
        <v>79727.820000000007</v>
      </c>
    </row>
    <row r="50" spans="4:6" ht="15.75" thickBot="1" x14ac:dyDescent="0.3"/>
    <row r="51" spans="4:6" ht="16.5" thickTop="1" thickBot="1" x14ac:dyDescent="0.3">
      <c r="D51" s="60"/>
      <c r="E51" s="61" t="s">
        <v>212</v>
      </c>
      <c r="F51" s="62">
        <f>F46+F49</f>
        <v>444781.95999999996</v>
      </c>
    </row>
    <row r="52" spans="4:6" ht="15.75" thickTop="1" x14ac:dyDescent="0.25"/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77" orientation="portrait" r:id="rId1"/>
  <headerFooter>
    <oddHeader>&amp;C&amp;G</oddHeader>
    <oddFooter>&amp;L&amp;"-,Negrito"Estimativa em &amp;D&amp;Rn/a = não se aplica</oddFooter>
  </headerFooter>
  <rowBreaks count="1" manualBreakCount="1">
    <brk id="2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BreakPreview" zoomScaleNormal="100" zoomScaleSheetLayoutView="100" workbookViewId="0">
      <selection activeCell="E49" sqref="E49"/>
    </sheetView>
  </sheetViews>
  <sheetFormatPr defaultRowHeight="15" x14ac:dyDescent="0.25"/>
  <cols>
    <col min="1" max="1" width="15.7109375" style="54" customWidth="1"/>
    <col min="2" max="2" width="6.7109375" style="54" customWidth="1"/>
    <col min="3" max="3" width="36.7109375" style="59" customWidth="1"/>
    <col min="4" max="4" width="12.7109375" style="54" customWidth="1"/>
    <col min="5" max="7" width="15.7109375" style="54" customWidth="1"/>
    <col min="8" max="16384" width="9.140625" style="54"/>
  </cols>
  <sheetData>
    <row r="1" spans="1:7" ht="15.75" x14ac:dyDescent="0.25">
      <c r="A1" s="125" t="s">
        <v>213</v>
      </c>
      <c r="B1" s="125"/>
      <c r="C1" s="125"/>
      <c r="D1" s="125"/>
      <c r="E1" s="125"/>
      <c r="F1" s="125"/>
      <c r="G1" s="125"/>
    </row>
    <row r="2" spans="1:7" ht="24" x14ac:dyDescent="0.25">
      <c r="A2" s="55" t="s">
        <v>152</v>
      </c>
      <c r="B2" s="55" t="s">
        <v>153</v>
      </c>
      <c r="C2" s="55" t="s">
        <v>154</v>
      </c>
      <c r="D2" s="55" t="s">
        <v>155</v>
      </c>
      <c r="E2" s="55" t="s">
        <v>156</v>
      </c>
      <c r="F2" s="55" t="s">
        <v>157</v>
      </c>
      <c r="G2" s="55" t="s">
        <v>158</v>
      </c>
    </row>
    <row r="3" spans="1:7" x14ac:dyDescent="0.25">
      <c r="A3" s="56" t="s">
        <v>159</v>
      </c>
      <c r="B3" s="56">
        <v>7</v>
      </c>
      <c r="C3" s="57" t="s">
        <v>160</v>
      </c>
      <c r="D3" s="56" t="s">
        <v>161</v>
      </c>
      <c r="E3" s="56">
        <v>3105</v>
      </c>
      <c r="F3" s="58">
        <v>1.95</v>
      </c>
      <c r="G3" s="58">
        <f t="shared" ref="G3:G44" si="0">ROUND((E3*F3),2)</f>
        <v>6054.75</v>
      </c>
    </row>
    <row r="4" spans="1:7" x14ac:dyDescent="0.25">
      <c r="A4" s="56" t="s">
        <v>159</v>
      </c>
      <c r="B4" s="56">
        <v>8</v>
      </c>
      <c r="C4" s="57" t="s">
        <v>162</v>
      </c>
      <c r="D4" s="56" t="s">
        <v>161</v>
      </c>
      <c r="E4" s="56">
        <v>4600</v>
      </c>
      <c r="F4" s="58">
        <v>7.54</v>
      </c>
      <c r="G4" s="58">
        <f t="shared" si="0"/>
        <v>34684</v>
      </c>
    </row>
    <row r="5" spans="1:7" x14ac:dyDescent="0.25">
      <c r="A5" s="56" t="s">
        <v>159</v>
      </c>
      <c r="B5" s="56">
        <v>9</v>
      </c>
      <c r="C5" s="57" t="s">
        <v>163</v>
      </c>
      <c r="D5" s="56" t="s">
        <v>161</v>
      </c>
      <c r="E5" s="56">
        <v>4600</v>
      </c>
      <c r="F5" s="58">
        <v>4.54</v>
      </c>
      <c r="G5" s="58">
        <f t="shared" si="0"/>
        <v>20884</v>
      </c>
    </row>
    <row r="6" spans="1:7" x14ac:dyDescent="0.25">
      <c r="A6" s="56" t="s">
        <v>159</v>
      </c>
      <c r="B6" s="56">
        <v>10</v>
      </c>
      <c r="C6" s="57" t="s">
        <v>164</v>
      </c>
      <c r="D6" s="56" t="s">
        <v>161</v>
      </c>
      <c r="E6" s="56">
        <v>6095</v>
      </c>
      <c r="F6" s="58">
        <v>2.59</v>
      </c>
      <c r="G6" s="58">
        <f t="shared" si="0"/>
        <v>15786.05</v>
      </c>
    </row>
    <row r="7" spans="1:7" x14ac:dyDescent="0.25">
      <c r="A7" s="56" t="s">
        <v>159</v>
      </c>
      <c r="B7" s="56">
        <v>11</v>
      </c>
      <c r="C7" s="57" t="s">
        <v>165</v>
      </c>
      <c r="D7" s="56" t="s">
        <v>166</v>
      </c>
      <c r="E7" s="56">
        <v>9200</v>
      </c>
      <c r="F7" s="58">
        <v>1.59</v>
      </c>
      <c r="G7" s="58">
        <f t="shared" si="0"/>
        <v>14628</v>
      </c>
    </row>
    <row r="8" spans="1:7" x14ac:dyDescent="0.25">
      <c r="A8" s="56" t="s">
        <v>159</v>
      </c>
      <c r="B8" s="56">
        <v>12</v>
      </c>
      <c r="C8" s="57" t="s">
        <v>167</v>
      </c>
      <c r="D8" s="56" t="s">
        <v>161</v>
      </c>
      <c r="E8" s="56">
        <v>1610</v>
      </c>
      <c r="F8" s="58">
        <v>7.49</v>
      </c>
      <c r="G8" s="58">
        <f t="shared" si="0"/>
        <v>12058.9</v>
      </c>
    </row>
    <row r="9" spans="1:7" x14ac:dyDescent="0.25">
      <c r="A9" s="56" t="s">
        <v>159</v>
      </c>
      <c r="B9" s="56">
        <v>13</v>
      </c>
      <c r="C9" s="57" t="s">
        <v>168</v>
      </c>
      <c r="D9" s="56" t="s">
        <v>166</v>
      </c>
      <c r="E9" s="56">
        <v>3105</v>
      </c>
      <c r="F9" s="58">
        <v>0.85</v>
      </c>
      <c r="G9" s="58">
        <f t="shared" si="0"/>
        <v>2639.25</v>
      </c>
    </row>
    <row r="10" spans="1:7" x14ac:dyDescent="0.25">
      <c r="A10" s="56" t="s">
        <v>159</v>
      </c>
      <c r="B10" s="56">
        <v>14</v>
      </c>
      <c r="C10" s="57" t="s">
        <v>169</v>
      </c>
      <c r="D10" s="56" t="s">
        <v>161</v>
      </c>
      <c r="E10" s="56">
        <v>805</v>
      </c>
      <c r="F10" s="58">
        <v>4.51</v>
      </c>
      <c r="G10" s="58">
        <f t="shared" si="0"/>
        <v>3630.55</v>
      </c>
    </row>
    <row r="11" spans="1:7" x14ac:dyDescent="0.25">
      <c r="A11" s="56" t="s">
        <v>159</v>
      </c>
      <c r="B11" s="56">
        <v>15</v>
      </c>
      <c r="C11" s="57" t="s">
        <v>170</v>
      </c>
      <c r="D11" s="56" t="s">
        <v>166</v>
      </c>
      <c r="E11" s="56">
        <v>3105</v>
      </c>
      <c r="F11" s="58">
        <v>2.7</v>
      </c>
      <c r="G11" s="58">
        <f t="shared" si="0"/>
        <v>8383.5</v>
      </c>
    </row>
    <row r="12" spans="1:7" ht="30" x14ac:dyDescent="0.25">
      <c r="A12" s="56" t="s">
        <v>159</v>
      </c>
      <c r="B12" s="56">
        <v>16</v>
      </c>
      <c r="C12" s="57" t="s">
        <v>171</v>
      </c>
      <c r="D12" s="56" t="s">
        <v>166</v>
      </c>
      <c r="E12" s="56">
        <v>1610</v>
      </c>
      <c r="F12" s="58">
        <v>8.4700000000000006</v>
      </c>
      <c r="G12" s="58">
        <f t="shared" si="0"/>
        <v>13636.7</v>
      </c>
    </row>
    <row r="13" spans="1:7" x14ac:dyDescent="0.25">
      <c r="A13" s="56" t="s">
        <v>159</v>
      </c>
      <c r="B13" s="56">
        <v>17</v>
      </c>
      <c r="C13" s="57" t="s">
        <v>172</v>
      </c>
      <c r="D13" s="56" t="s">
        <v>166</v>
      </c>
      <c r="E13" s="56">
        <v>1610</v>
      </c>
      <c r="F13" s="58">
        <v>1.23</v>
      </c>
      <c r="G13" s="58">
        <f t="shared" si="0"/>
        <v>1980.3</v>
      </c>
    </row>
    <row r="14" spans="1:7" x14ac:dyDescent="0.25">
      <c r="A14" s="56" t="s">
        <v>159</v>
      </c>
      <c r="B14" s="56">
        <v>18</v>
      </c>
      <c r="C14" s="57" t="s">
        <v>173</v>
      </c>
      <c r="D14" s="56" t="s">
        <v>166</v>
      </c>
      <c r="E14" s="56">
        <v>4600</v>
      </c>
      <c r="F14" s="58">
        <v>4.1399999999999997</v>
      </c>
      <c r="G14" s="58">
        <f t="shared" si="0"/>
        <v>19044</v>
      </c>
    </row>
    <row r="15" spans="1:7" ht="60" x14ac:dyDescent="0.25">
      <c r="A15" s="56" t="s">
        <v>159</v>
      </c>
      <c r="B15" s="56">
        <v>19</v>
      </c>
      <c r="C15" s="57" t="s">
        <v>174</v>
      </c>
      <c r="D15" s="56" t="s">
        <v>175</v>
      </c>
      <c r="E15" s="56">
        <v>48760</v>
      </c>
      <c r="F15" s="58">
        <v>1.34</v>
      </c>
      <c r="G15" s="58">
        <f t="shared" si="0"/>
        <v>65338.400000000001</v>
      </c>
    </row>
    <row r="16" spans="1:7" ht="75" x14ac:dyDescent="0.25">
      <c r="A16" s="56" t="s">
        <v>159</v>
      </c>
      <c r="B16" s="56">
        <v>20</v>
      </c>
      <c r="C16" s="57" t="s">
        <v>176</v>
      </c>
      <c r="D16" s="56" t="s">
        <v>177</v>
      </c>
      <c r="E16" s="56">
        <v>4600</v>
      </c>
      <c r="F16" s="58">
        <v>17.29</v>
      </c>
      <c r="G16" s="58">
        <f t="shared" si="0"/>
        <v>79534</v>
      </c>
    </row>
    <row r="17" spans="1:7" x14ac:dyDescent="0.25">
      <c r="A17" s="56" t="s">
        <v>159</v>
      </c>
      <c r="B17" s="56">
        <v>21</v>
      </c>
      <c r="C17" s="57" t="s">
        <v>178</v>
      </c>
      <c r="D17" s="56" t="s">
        <v>166</v>
      </c>
      <c r="E17" s="56">
        <v>1610</v>
      </c>
      <c r="F17" s="58">
        <v>8.3800000000000008</v>
      </c>
      <c r="G17" s="58">
        <f t="shared" si="0"/>
        <v>13491.8</v>
      </c>
    </row>
    <row r="18" spans="1:7" x14ac:dyDescent="0.25">
      <c r="A18" s="56" t="s">
        <v>159</v>
      </c>
      <c r="B18" s="56">
        <v>22</v>
      </c>
      <c r="C18" s="57" t="s">
        <v>179</v>
      </c>
      <c r="D18" s="56" t="s">
        <v>180</v>
      </c>
      <c r="E18" s="56">
        <v>3105</v>
      </c>
      <c r="F18" s="58">
        <v>2.8</v>
      </c>
      <c r="G18" s="58">
        <f t="shared" si="0"/>
        <v>8694</v>
      </c>
    </row>
    <row r="19" spans="1:7" x14ac:dyDescent="0.25">
      <c r="A19" s="56" t="s">
        <v>159</v>
      </c>
      <c r="B19" s="56">
        <v>23</v>
      </c>
      <c r="C19" s="57" t="s">
        <v>181</v>
      </c>
      <c r="D19" s="56" t="s">
        <v>161</v>
      </c>
      <c r="E19" s="56">
        <v>6095</v>
      </c>
      <c r="F19" s="58">
        <v>3.17</v>
      </c>
      <c r="G19" s="58">
        <f t="shared" si="0"/>
        <v>19321.150000000001</v>
      </c>
    </row>
    <row r="20" spans="1:7" ht="30" x14ac:dyDescent="0.25">
      <c r="A20" s="56" t="s">
        <v>159</v>
      </c>
      <c r="B20" s="56">
        <v>24</v>
      </c>
      <c r="C20" s="57" t="s">
        <v>182</v>
      </c>
      <c r="D20" s="56" t="s">
        <v>166</v>
      </c>
      <c r="E20" s="56">
        <v>12190</v>
      </c>
      <c r="F20" s="58">
        <v>0.6</v>
      </c>
      <c r="G20" s="58">
        <f t="shared" si="0"/>
        <v>7314</v>
      </c>
    </row>
    <row r="21" spans="1:7" ht="30" x14ac:dyDescent="0.25">
      <c r="A21" s="56" t="s">
        <v>159</v>
      </c>
      <c r="B21" s="56">
        <v>25</v>
      </c>
      <c r="C21" s="57" t="s">
        <v>183</v>
      </c>
      <c r="D21" s="56" t="s">
        <v>166</v>
      </c>
      <c r="E21" s="56">
        <v>6095</v>
      </c>
      <c r="F21" s="58">
        <v>0.66</v>
      </c>
      <c r="G21" s="58">
        <f t="shared" si="0"/>
        <v>4022.7</v>
      </c>
    </row>
    <row r="22" spans="1:7" ht="30" x14ac:dyDescent="0.25">
      <c r="A22" s="56" t="s">
        <v>159</v>
      </c>
      <c r="B22" s="56">
        <v>26</v>
      </c>
      <c r="C22" s="57" t="s">
        <v>184</v>
      </c>
      <c r="D22" s="56" t="s">
        <v>166</v>
      </c>
      <c r="E22" s="56">
        <v>45770</v>
      </c>
      <c r="F22" s="58">
        <v>0.13</v>
      </c>
      <c r="G22" s="58">
        <f t="shared" si="0"/>
        <v>5950.1</v>
      </c>
    </row>
    <row r="23" spans="1:7" ht="30" x14ac:dyDescent="0.25">
      <c r="A23" s="56" t="s">
        <v>159</v>
      </c>
      <c r="B23" s="56">
        <v>27</v>
      </c>
      <c r="C23" s="57" t="s">
        <v>185</v>
      </c>
      <c r="D23" s="56" t="s">
        <v>166</v>
      </c>
      <c r="E23" s="56">
        <v>12190</v>
      </c>
      <c r="F23" s="58">
        <v>0.19</v>
      </c>
      <c r="G23" s="58">
        <f t="shared" si="0"/>
        <v>2316.1</v>
      </c>
    </row>
    <row r="24" spans="1:7" ht="30" x14ac:dyDescent="0.25">
      <c r="A24" s="56" t="s">
        <v>159</v>
      </c>
      <c r="B24" s="56">
        <v>28</v>
      </c>
      <c r="C24" s="57" t="s">
        <v>186</v>
      </c>
      <c r="D24" s="56" t="s">
        <v>187</v>
      </c>
      <c r="E24" s="56">
        <v>1610</v>
      </c>
      <c r="F24" s="58">
        <v>2.52</v>
      </c>
      <c r="G24" s="58">
        <f t="shared" si="0"/>
        <v>4057.2</v>
      </c>
    </row>
    <row r="25" spans="1:7" x14ac:dyDescent="0.25">
      <c r="A25" s="56" t="s">
        <v>159</v>
      </c>
      <c r="B25" s="56">
        <v>29</v>
      </c>
      <c r="C25" s="57" t="s">
        <v>188</v>
      </c>
      <c r="D25" s="56" t="s">
        <v>166</v>
      </c>
      <c r="E25" s="56">
        <f>1*115*1</f>
        <v>115</v>
      </c>
      <c r="F25" s="58">
        <v>4.4000000000000004</v>
      </c>
      <c r="G25" s="58">
        <f t="shared" si="0"/>
        <v>506</v>
      </c>
    </row>
    <row r="26" spans="1:7" x14ac:dyDescent="0.25">
      <c r="A26" s="56" t="s">
        <v>159</v>
      </c>
      <c r="B26" s="56">
        <v>30</v>
      </c>
      <c r="C26" s="57" t="s">
        <v>189</v>
      </c>
      <c r="D26" s="56" t="s">
        <v>166</v>
      </c>
      <c r="E26" s="56">
        <f>1*115*2</f>
        <v>230</v>
      </c>
      <c r="F26" s="58">
        <v>18.64</v>
      </c>
      <c r="G26" s="58">
        <f t="shared" si="0"/>
        <v>4287.2</v>
      </c>
    </row>
    <row r="27" spans="1:7" x14ac:dyDescent="0.25">
      <c r="A27" s="56" t="s">
        <v>159</v>
      </c>
      <c r="B27" s="56">
        <v>31</v>
      </c>
      <c r="C27" s="57" t="s">
        <v>190</v>
      </c>
      <c r="D27" s="56" t="s">
        <v>166</v>
      </c>
      <c r="E27" s="56">
        <f>1*115*3</f>
        <v>345</v>
      </c>
      <c r="F27" s="58">
        <v>3.49</v>
      </c>
      <c r="G27" s="58">
        <f t="shared" si="0"/>
        <v>1204.05</v>
      </c>
    </row>
    <row r="28" spans="1:7" ht="30" x14ac:dyDescent="0.25">
      <c r="A28" s="56" t="s">
        <v>159</v>
      </c>
      <c r="B28" s="56">
        <v>32</v>
      </c>
      <c r="C28" s="57" t="s">
        <v>191</v>
      </c>
      <c r="D28" s="56" t="s">
        <v>166</v>
      </c>
      <c r="E28" s="56">
        <f>1*115*3</f>
        <v>345</v>
      </c>
      <c r="F28" s="58">
        <v>8.8800000000000008</v>
      </c>
      <c r="G28" s="58">
        <f t="shared" si="0"/>
        <v>3063.6</v>
      </c>
    </row>
    <row r="29" spans="1:7" ht="30" x14ac:dyDescent="0.25">
      <c r="A29" s="56" t="s">
        <v>159</v>
      </c>
      <c r="B29" s="56">
        <v>33</v>
      </c>
      <c r="C29" s="57" t="s">
        <v>192</v>
      </c>
      <c r="D29" s="56" t="s">
        <v>166</v>
      </c>
      <c r="E29" s="56">
        <f>1*115*3</f>
        <v>345</v>
      </c>
      <c r="F29" s="58">
        <v>11</v>
      </c>
      <c r="G29" s="58">
        <f t="shared" si="0"/>
        <v>3795</v>
      </c>
    </row>
    <row r="30" spans="1:7" x14ac:dyDescent="0.25">
      <c r="A30" s="56" t="s">
        <v>159</v>
      </c>
      <c r="B30" s="56">
        <v>34</v>
      </c>
      <c r="C30" s="57" t="s">
        <v>193</v>
      </c>
      <c r="D30" s="56" t="s">
        <v>166</v>
      </c>
      <c r="E30" s="56">
        <f>1*115*2</f>
        <v>230</v>
      </c>
      <c r="F30" s="58">
        <v>8.98</v>
      </c>
      <c r="G30" s="58">
        <f t="shared" si="0"/>
        <v>2065.4</v>
      </c>
    </row>
    <row r="31" spans="1:7" x14ac:dyDescent="0.25">
      <c r="A31" s="56" t="s">
        <v>159</v>
      </c>
      <c r="B31" s="56">
        <v>35</v>
      </c>
      <c r="C31" s="57" t="s">
        <v>194</v>
      </c>
      <c r="D31" s="56" t="s">
        <v>166</v>
      </c>
      <c r="E31" s="56">
        <f>1*115*3</f>
        <v>345</v>
      </c>
      <c r="F31" s="58">
        <v>7.05</v>
      </c>
      <c r="G31" s="58">
        <f t="shared" si="0"/>
        <v>2432.25</v>
      </c>
    </row>
    <row r="32" spans="1:7" ht="30" x14ac:dyDescent="0.25">
      <c r="A32" s="56" t="s">
        <v>159</v>
      </c>
      <c r="B32" s="56">
        <v>36</v>
      </c>
      <c r="C32" s="57" t="s">
        <v>195</v>
      </c>
      <c r="D32" s="56" t="s">
        <v>166</v>
      </c>
      <c r="E32" s="56">
        <f>1*115*3</f>
        <v>345</v>
      </c>
      <c r="F32" s="58">
        <v>8.3800000000000008</v>
      </c>
      <c r="G32" s="58">
        <f t="shared" si="0"/>
        <v>2891.1</v>
      </c>
    </row>
    <row r="33" spans="1:7" ht="30" x14ac:dyDescent="0.25">
      <c r="A33" s="56" t="s">
        <v>159</v>
      </c>
      <c r="B33" s="56">
        <v>37</v>
      </c>
      <c r="C33" s="57" t="s">
        <v>196</v>
      </c>
      <c r="D33" s="56" t="s">
        <v>166</v>
      </c>
      <c r="E33" s="56">
        <f>1*115*2</f>
        <v>230</v>
      </c>
      <c r="F33" s="58">
        <v>17.55</v>
      </c>
      <c r="G33" s="58">
        <f t="shared" si="0"/>
        <v>4036.5</v>
      </c>
    </row>
    <row r="34" spans="1:7" x14ac:dyDescent="0.25">
      <c r="A34" s="56" t="s">
        <v>159</v>
      </c>
      <c r="B34" s="56">
        <v>38</v>
      </c>
      <c r="C34" s="57" t="s">
        <v>197</v>
      </c>
      <c r="D34" s="56" t="s">
        <v>166</v>
      </c>
      <c r="E34" s="56">
        <f>1*115*2</f>
        <v>230</v>
      </c>
      <c r="F34" s="58">
        <v>5.24</v>
      </c>
      <c r="G34" s="58">
        <f t="shared" si="0"/>
        <v>1205.2</v>
      </c>
    </row>
    <row r="35" spans="1:7" x14ac:dyDescent="0.25">
      <c r="A35" s="56" t="s">
        <v>159</v>
      </c>
      <c r="B35" s="56">
        <v>39</v>
      </c>
      <c r="C35" s="57" t="s">
        <v>198</v>
      </c>
      <c r="D35" s="56" t="s">
        <v>166</v>
      </c>
      <c r="E35" s="56">
        <f>1*115*2</f>
        <v>230</v>
      </c>
      <c r="F35" s="58">
        <v>18.11</v>
      </c>
      <c r="G35" s="58">
        <f t="shared" si="0"/>
        <v>4165.3</v>
      </c>
    </row>
    <row r="36" spans="1:7" x14ac:dyDescent="0.25">
      <c r="A36" s="56" t="s">
        <v>159</v>
      </c>
      <c r="B36" s="56">
        <v>40</v>
      </c>
      <c r="C36" s="57" t="s">
        <v>199</v>
      </c>
      <c r="D36" s="56" t="s">
        <v>200</v>
      </c>
      <c r="E36" s="56">
        <f>'[1]material total'!E36/2</f>
        <v>10</v>
      </c>
      <c r="F36" s="58">
        <v>280</v>
      </c>
      <c r="G36" s="58">
        <f t="shared" si="0"/>
        <v>2800</v>
      </c>
    </row>
    <row r="37" spans="1:7" x14ac:dyDescent="0.25">
      <c r="A37" s="56" t="s">
        <v>159</v>
      </c>
      <c r="B37" s="56">
        <v>41</v>
      </c>
      <c r="C37" s="57" t="s">
        <v>201</v>
      </c>
      <c r="D37" s="56" t="s">
        <v>180</v>
      </c>
      <c r="E37" s="56">
        <f>'[1]material total'!E37/2</f>
        <v>100</v>
      </c>
      <c r="F37" s="58">
        <v>1</v>
      </c>
      <c r="G37" s="58">
        <f t="shared" si="0"/>
        <v>100</v>
      </c>
    </row>
    <row r="38" spans="1:7" x14ac:dyDescent="0.25">
      <c r="A38" s="56" t="s">
        <v>159</v>
      </c>
      <c r="B38" s="56">
        <v>42</v>
      </c>
      <c r="C38" s="57" t="s">
        <v>202</v>
      </c>
      <c r="D38" s="56" t="s">
        <v>161</v>
      </c>
      <c r="E38" s="56">
        <f>'[1]material total'!E38/2</f>
        <v>40</v>
      </c>
      <c r="F38" s="58">
        <v>38.53</v>
      </c>
      <c r="G38" s="58">
        <f t="shared" si="0"/>
        <v>1541.2</v>
      </c>
    </row>
    <row r="39" spans="1:7" x14ac:dyDescent="0.25">
      <c r="A39" s="56" t="s">
        <v>159</v>
      </c>
      <c r="B39" s="56">
        <v>43</v>
      </c>
      <c r="C39" s="57" t="s">
        <v>203</v>
      </c>
      <c r="D39" s="56" t="s">
        <v>180</v>
      </c>
      <c r="E39" s="56">
        <f>'[1]material total'!E39/2</f>
        <v>100</v>
      </c>
      <c r="F39" s="58">
        <v>3.11</v>
      </c>
      <c r="G39" s="58">
        <f t="shared" si="0"/>
        <v>311</v>
      </c>
    </row>
    <row r="40" spans="1:7" x14ac:dyDescent="0.25">
      <c r="A40" s="56" t="s">
        <v>159</v>
      </c>
      <c r="B40" s="56">
        <v>44</v>
      </c>
      <c r="C40" s="57" t="s">
        <v>204</v>
      </c>
      <c r="D40" s="56" t="s">
        <v>180</v>
      </c>
      <c r="E40" s="56">
        <f>'[1]material total'!E40/2</f>
        <v>40</v>
      </c>
      <c r="F40" s="58">
        <v>70.64</v>
      </c>
      <c r="G40" s="58">
        <f t="shared" si="0"/>
        <v>2825.6</v>
      </c>
    </row>
    <row r="41" spans="1:7" x14ac:dyDescent="0.25">
      <c r="A41" s="56" t="s">
        <v>159</v>
      </c>
      <c r="B41" s="56">
        <v>45</v>
      </c>
      <c r="C41" s="57" t="s">
        <v>205</v>
      </c>
      <c r="D41" s="56" t="s">
        <v>180</v>
      </c>
      <c r="E41" s="56">
        <f>'[1]material total'!E41/2</f>
        <v>20</v>
      </c>
      <c r="F41" s="58">
        <v>19.190000000000001</v>
      </c>
      <c r="G41" s="58">
        <f t="shared" si="0"/>
        <v>383.8</v>
      </c>
    </row>
    <row r="42" spans="1:7" x14ac:dyDescent="0.25">
      <c r="A42" s="56" t="s">
        <v>159</v>
      </c>
      <c r="B42" s="56">
        <v>46</v>
      </c>
      <c r="C42" s="57" t="s">
        <v>206</v>
      </c>
      <c r="D42" s="56" t="s">
        <v>161</v>
      </c>
      <c r="E42" s="56">
        <f>'[1]material total'!E42/2</f>
        <v>24</v>
      </c>
      <c r="F42" s="58">
        <v>40.21</v>
      </c>
      <c r="G42" s="58">
        <f t="shared" si="0"/>
        <v>965.04</v>
      </c>
    </row>
    <row r="43" spans="1:7" x14ac:dyDescent="0.25">
      <c r="A43" s="56" t="s">
        <v>159</v>
      </c>
      <c r="B43" s="56">
        <v>47</v>
      </c>
      <c r="C43" s="57" t="s">
        <v>207</v>
      </c>
      <c r="D43" s="56" t="s">
        <v>208</v>
      </c>
      <c r="E43" s="56">
        <f>'[1]material total'!E43/2</f>
        <v>100</v>
      </c>
      <c r="F43" s="58">
        <v>0.74</v>
      </c>
      <c r="G43" s="58">
        <f t="shared" si="0"/>
        <v>74</v>
      </c>
    </row>
    <row r="44" spans="1:7" x14ac:dyDescent="0.25">
      <c r="A44" s="56" t="s">
        <v>159</v>
      </c>
      <c r="B44" s="56">
        <v>48</v>
      </c>
      <c r="C44" s="57" t="s">
        <v>209</v>
      </c>
      <c r="D44" s="56" t="s">
        <v>161</v>
      </c>
      <c r="E44" s="56">
        <f>'[1]material total'!E44/2</f>
        <v>160</v>
      </c>
      <c r="F44" s="58">
        <v>6.28</v>
      </c>
      <c r="G44" s="58">
        <f t="shared" si="0"/>
        <v>1004.8</v>
      </c>
    </row>
    <row r="45" spans="1:7" ht="15.75" thickBot="1" x14ac:dyDescent="0.3"/>
    <row r="46" spans="1:7" ht="16.5" thickTop="1" thickBot="1" x14ac:dyDescent="0.3">
      <c r="D46" s="60"/>
      <c r="E46" s="61" t="s">
        <v>210</v>
      </c>
      <c r="F46" s="62">
        <f>SUM(G:G)</f>
        <v>403106.48999999993</v>
      </c>
    </row>
    <row r="47" spans="1:7" ht="15.75" thickTop="1" x14ac:dyDescent="0.25">
      <c r="F47" s="63"/>
    </row>
    <row r="49" spans="4:6" x14ac:dyDescent="0.25">
      <c r="D49" s="64" t="s">
        <v>211</v>
      </c>
      <c r="E49" s="65">
        <f>servente!C146</f>
        <v>0.21840000000000001</v>
      </c>
      <c r="F49" s="66">
        <f>ROUND(F46*E49,2)</f>
        <v>88038.46</v>
      </c>
    </row>
    <row r="50" spans="4:6" ht="15.75" thickBot="1" x14ac:dyDescent="0.3"/>
    <row r="51" spans="4:6" ht="16.5" thickTop="1" thickBot="1" x14ac:dyDescent="0.3">
      <c r="D51" s="60"/>
      <c r="E51" s="61" t="s">
        <v>212</v>
      </c>
      <c r="F51" s="62">
        <f>F46+F49</f>
        <v>491144.94999999995</v>
      </c>
    </row>
    <row r="52" spans="4:6" ht="15.75" thickTop="1" x14ac:dyDescent="0.25"/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77" orientation="portrait" r:id="rId1"/>
  <headerFooter>
    <oddHeader>&amp;C&amp;G</oddHeader>
    <oddFooter>&amp;L&amp;"-,Negrito"Estimativa em &amp;D&amp;Rn/a = não se aplica</oddFooter>
  </headerFooter>
  <rowBreaks count="1" manualBreakCount="1">
    <brk id="2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zoomScaleNormal="100" zoomScaleSheetLayoutView="100" workbookViewId="0">
      <selection activeCell="E11" sqref="E11"/>
    </sheetView>
  </sheetViews>
  <sheetFormatPr defaultRowHeight="12.75" x14ac:dyDescent="0.25"/>
  <cols>
    <col min="1" max="1" width="5.7109375" style="80" customWidth="1"/>
    <col min="2" max="2" width="25.7109375" style="80" customWidth="1"/>
    <col min="3" max="3" width="15.7109375" style="80" customWidth="1"/>
    <col min="4" max="4" width="10.7109375" style="80" customWidth="1"/>
    <col min="5" max="6" width="15.7109375" style="80" customWidth="1"/>
    <col min="7" max="16384" width="9.140625" style="80"/>
  </cols>
  <sheetData>
    <row r="1" spans="1:6" x14ac:dyDescent="0.25">
      <c r="A1" s="79" t="s">
        <v>214</v>
      </c>
    </row>
    <row r="3" spans="1:6" x14ac:dyDescent="0.25">
      <c r="A3" s="79" t="s">
        <v>215</v>
      </c>
    </row>
    <row r="4" spans="1:6" s="82" customFormat="1" ht="25.5" x14ac:dyDescent="0.25">
      <c r="A4" s="81" t="s">
        <v>153</v>
      </c>
      <c r="B4" s="81" t="s">
        <v>216</v>
      </c>
      <c r="C4" s="81" t="s">
        <v>217</v>
      </c>
      <c r="D4" s="81" t="s">
        <v>156</v>
      </c>
      <c r="E4" s="81" t="s">
        <v>218</v>
      </c>
      <c r="F4" s="81" t="s">
        <v>219</v>
      </c>
    </row>
    <row r="5" spans="1:6" ht="25.5" x14ac:dyDescent="0.25">
      <c r="A5" s="83">
        <v>1</v>
      </c>
      <c r="B5" s="94" t="str">
        <f>servente!A15</f>
        <v>Servente de Limpeza (25 horas semanais)</v>
      </c>
      <c r="C5" s="85">
        <f>servente!D159</f>
        <v>2895.053834900732</v>
      </c>
      <c r="D5" s="83">
        <f>servente!D15</f>
        <v>115</v>
      </c>
      <c r="E5" s="85">
        <f>C5*D5</f>
        <v>332931.1910135842</v>
      </c>
      <c r="F5" s="85">
        <f>E5*12</f>
        <v>3995174.2921630107</v>
      </c>
    </row>
    <row r="6" spans="1:6" ht="25.5" x14ac:dyDescent="0.25">
      <c r="A6" s="83">
        <v>2</v>
      </c>
      <c r="B6" s="84" t="str">
        <f>auxjardinagem!A15</f>
        <v>Auxiliar de Jardinagem (25 horas semanais)</v>
      </c>
      <c r="C6" s="85">
        <f>auxjardinagem!D159</f>
        <v>2507.6055590386622</v>
      </c>
      <c r="D6" s="83">
        <f>auxjardinagem!D15</f>
        <v>2</v>
      </c>
      <c r="E6" s="85">
        <f>C6*D6</f>
        <v>5015.2111180773245</v>
      </c>
      <c r="F6" s="85">
        <f t="shared" ref="F6" si="0">E6*12</f>
        <v>60182.533416927894</v>
      </c>
    </row>
    <row r="7" spans="1:6" x14ac:dyDescent="0.25">
      <c r="F7" s="85">
        <f>SUM(F5:F6)</f>
        <v>4055356.8255799385</v>
      </c>
    </row>
    <row r="8" spans="1:6" x14ac:dyDescent="0.25">
      <c r="F8" s="95"/>
    </row>
    <row r="9" spans="1:6" x14ac:dyDescent="0.25">
      <c r="A9" s="79" t="s">
        <v>233</v>
      </c>
      <c r="F9" s="95"/>
    </row>
    <row r="10" spans="1:6" ht="25.5" x14ac:dyDescent="0.25">
      <c r="A10" s="81" t="s">
        <v>153</v>
      </c>
      <c r="B10" s="81" t="s">
        <v>216</v>
      </c>
      <c r="C10" s="81" t="s">
        <v>235</v>
      </c>
      <c r="D10" s="81" t="s">
        <v>157</v>
      </c>
      <c r="E10" s="81" t="s">
        <v>237</v>
      </c>
      <c r="F10" s="81" t="s">
        <v>219</v>
      </c>
    </row>
    <row r="11" spans="1:6" x14ac:dyDescent="0.25">
      <c r="A11" s="83">
        <v>3</v>
      </c>
      <c r="B11" s="94" t="s">
        <v>234</v>
      </c>
      <c r="C11" s="96" t="s">
        <v>236</v>
      </c>
      <c r="D11" s="85">
        <f>ROUND(7.3133,2)</f>
        <v>7.31</v>
      </c>
      <c r="E11" s="85">
        <f>9678.19*4</f>
        <v>38712.76</v>
      </c>
      <c r="F11" s="85">
        <f>D11*E11</f>
        <v>282990.27559999999</v>
      </c>
    </row>
    <row r="12" spans="1:6" x14ac:dyDescent="0.25">
      <c r="F12" s="95"/>
    </row>
    <row r="13" spans="1:6" s="86" customFormat="1" x14ac:dyDescent="0.25">
      <c r="A13" s="80"/>
      <c r="B13" s="80"/>
      <c r="C13" s="80"/>
      <c r="D13" s="80"/>
      <c r="E13" s="80"/>
      <c r="F13" s="80"/>
    </row>
    <row r="14" spans="1:6" x14ac:dyDescent="0.25">
      <c r="A14" s="79" t="s">
        <v>220</v>
      </c>
    </row>
    <row r="15" spans="1:6" ht="25.5" x14ac:dyDescent="0.25">
      <c r="A15" s="81" t="s">
        <v>153</v>
      </c>
      <c r="B15" s="81" t="s">
        <v>216</v>
      </c>
      <c r="C15" s="81" t="s">
        <v>217</v>
      </c>
      <c r="D15" s="81" t="s">
        <v>156</v>
      </c>
      <c r="E15" s="81" t="s">
        <v>218</v>
      </c>
      <c r="F15" s="81" t="s">
        <v>232</v>
      </c>
    </row>
    <row r="16" spans="1:6" ht="38.25" x14ac:dyDescent="0.25">
      <c r="A16" s="83">
        <v>4</v>
      </c>
      <c r="B16" s="84" t="str">
        <f>servente34dd!A15</f>
        <v>Servente de Limpeza (25 horas semanais) - acréscimo temporário (34 dias)</v>
      </c>
      <c r="C16" s="85">
        <f>servente34dd!D159</f>
        <v>2982.2906165099271</v>
      </c>
      <c r="D16" s="83">
        <f>servente34dd!D15</f>
        <v>99</v>
      </c>
      <c r="E16" s="85">
        <f>C16*D16</f>
        <v>295246.77103448281</v>
      </c>
      <c r="F16" s="85">
        <f>E16*(34/(365/12))</f>
        <v>330029.26734813419</v>
      </c>
    </row>
    <row r="17" spans="1:6" ht="38.25" x14ac:dyDescent="0.25">
      <c r="A17" s="83">
        <v>5</v>
      </c>
      <c r="B17" s="84" t="str">
        <f>servente54dd!A15</f>
        <v>Servente de Limpeza (25 horas semanais) - acréscimo temporário (54 dias)</v>
      </c>
      <c r="C17" s="85">
        <f>servente54dd!D159</f>
        <v>2897.429696969697</v>
      </c>
      <c r="D17" s="83">
        <f>servente54dd!D15</f>
        <v>10</v>
      </c>
      <c r="E17" s="85">
        <f>C17*D17</f>
        <v>28974.29696969697</v>
      </c>
      <c r="F17" s="85">
        <f>E17*(54/(365/12))</f>
        <v>51439.299825653798</v>
      </c>
    </row>
    <row r="18" spans="1:6" x14ac:dyDescent="0.25">
      <c r="F18" s="85">
        <f>SUM(F16:F17)</f>
        <v>381468.56717378797</v>
      </c>
    </row>
    <row r="19" spans="1:6" x14ac:dyDescent="0.25">
      <c r="F19" s="95"/>
    </row>
    <row r="20" spans="1:6" x14ac:dyDescent="0.25">
      <c r="A20" s="79" t="s">
        <v>221</v>
      </c>
    </row>
    <row r="21" spans="1:6" x14ac:dyDescent="0.25">
      <c r="A21" s="79" t="s">
        <v>222</v>
      </c>
      <c r="D21" s="79" t="s">
        <v>223</v>
      </c>
    </row>
    <row r="22" spans="1:6" x14ac:dyDescent="0.25">
      <c r="A22" s="87" t="s">
        <v>224</v>
      </c>
      <c r="B22" s="88"/>
      <c r="C22" s="85">
        <f>F7</f>
        <v>4055356.8255799385</v>
      </c>
      <c r="D22" s="87" t="s">
        <v>224</v>
      </c>
      <c r="E22" s="88"/>
      <c r="F22" s="85">
        <f>F7</f>
        <v>4055356.8255799385</v>
      </c>
    </row>
    <row r="23" spans="1:6" x14ac:dyDescent="0.25">
      <c r="A23" s="87" t="s">
        <v>233</v>
      </c>
      <c r="B23" s="88"/>
      <c r="C23" s="85">
        <f>F11</f>
        <v>282990.27559999999</v>
      </c>
      <c r="D23" s="87" t="s">
        <v>233</v>
      </c>
      <c r="E23" s="88"/>
      <c r="F23" s="85">
        <f>F11</f>
        <v>282990.27559999999</v>
      </c>
    </row>
    <row r="24" spans="1:6" x14ac:dyDescent="0.25">
      <c r="A24" s="87" t="s">
        <v>225</v>
      </c>
      <c r="B24" s="88"/>
      <c r="C24" s="85">
        <f>matnaoele!F51</f>
        <v>444781.95999999996</v>
      </c>
      <c r="D24" s="87" t="s">
        <v>225</v>
      </c>
      <c r="E24" s="88"/>
      <c r="F24" s="85">
        <f>matele!F51</f>
        <v>491144.94999999995</v>
      </c>
    </row>
    <row r="25" spans="1:6" x14ac:dyDescent="0.25">
      <c r="A25" s="87" t="s">
        <v>226</v>
      </c>
      <c r="B25" s="88"/>
      <c r="C25" s="85">
        <v>0</v>
      </c>
      <c r="D25" s="87" t="s">
        <v>226</v>
      </c>
      <c r="E25" s="88"/>
      <c r="F25" s="85">
        <f>F18</f>
        <v>381468.56717378797</v>
      </c>
    </row>
    <row r="26" spans="1:6" x14ac:dyDescent="0.25">
      <c r="A26" s="87" t="s">
        <v>227</v>
      </c>
      <c r="B26" s="88"/>
      <c r="C26" s="85">
        <v>0</v>
      </c>
      <c r="D26" s="87" t="s">
        <v>227</v>
      </c>
      <c r="E26" s="88"/>
      <c r="F26" s="85">
        <f>horaextra!C33</f>
        <v>140416.5</v>
      </c>
    </row>
    <row r="27" spans="1:6" x14ac:dyDescent="0.25">
      <c r="A27" s="87" t="s">
        <v>228</v>
      </c>
      <c r="B27" s="88"/>
      <c r="C27" s="85">
        <f>SUM(C22:C26)</f>
        <v>4783129.0611799387</v>
      </c>
      <c r="D27" s="87" t="s">
        <v>229</v>
      </c>
      <c r="E27" s="88"/>
      <c r="F27" s="85">
        <f>SUM(F22:F26)</f>
        <v>5351377.1183537273</v>
      </c>
    </row>
    <row r="28" spans="1:6" x14ac:dyDescent="0.25">
      <c r="A28" s="89" t="s">
        <v>230</v>
      </c>
      <c r="B28" s="90"/>
      <c r="C28" s="90"/>
      <c r="D28" s="91"/>
      <c r="E28" s="92" t="s">
        <v>231</v>
      </c>
      <c r="F28" s="93">
        <f>C27+F27</f>
        <v>10134506.179533666</v>
      </c>
    </row>
  </sheetData>
  <pageMargins left="0.511811024" right="0.511811024" top="0.99020833333333336" bottom="0.78740157499999996" header="0.31496062000000002" footer="0.31496062000000002"/>
  <pageSetup paperSize="9" scale="97" orientation="portrait" r:id="rId1"/>
  <headerFooter>
    <oddHeader>&amp;C&amp;G</oddHeader>
    <oddFooter>&amp;L&amp;"-,Negrito"Documento elaborado em &amp;D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4</vt:i4>
      </vt:variant>
    </vt:vector>
  </HeadingPairs>
  <TitlesOfParts>
    <vt:vector size="12" baseType="lpstr">
      <vt:lpstr>servente</vt:lpstr>
      <vt:lpstr>auxjardinagem</vt:lpstr>
      <vt:lpstr>servente34dd</vt:lpstr>
      <vt:lpstr>servente54dd</vt:lpstr>
      <vt:lpstr>horaextra</vt:lpstr>
      <vt:lpstr>matnaoele</vt:lpstr>
      <vt:lpstr>matele</vt:lpstr>
      <vt:lpstr>total</vt:lpstr>
      <vt:lpstr>matele!Area_de_impressao</vt:lpstr>
      <vt:lpstr>matnaoele!Area_de_impressao</vt:lpstr>
      <vt:lpstr>matele!Titulos_de_impressao</vt:lpstr>
      <vt:lpstr>matnaoele!Titulos_de_impressao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2025-07-28T14:44:44Z</cp:lastPrinted>
  <dcterms:created xsi:type="dcterms:W3CDTF">2019-01-29T18:54:26Z</dcterms:created>
  <dcterms:modified xsi:type="dcterms:W3CDTF">2025-09-26T12:17:33Z</dcterms:modified>
</cp:coreProperties>
</file>