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total!$A$1:$G$11</definedName>
    <definedName name="_xlnm.Print_Titles" localSheetId="27">total!$1:$2</definedName>
  </definedNames>
  <calcPr calcId="145621"/>
</workbook>
</file>

<file path=xl/calcChain.xml><?xml version="1.0" encoding="utf-8"?>
<calcChain xmlns="http://schemas.openxmlformats.org/spreadsheetml/2006/main">
  <c r="F8" i="23" l="1"/>
  <c r="H13" i="1" l="1"/>
  <c r="H12" i="1"/>
  <c r="H11" i="1"/>
  <c r="H10" i="1"/>
  <c r="H9" i="1"/>
  <c r="H8" i="1"/>
  <c r="H7" i="1"/>
  <c r="H6" i="1"/>
  <c r="H5" i="1"/>
  <c r="H4" i="1"/>
  <c r="H3" i="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F10" i="23" s="1"/>
  <c r="H22" i="1"/>
  <c r="H23" i="1" s="1"/>
</calcChain>
</file>

<file path=xl/sharedStrings.xml><?xml version="1.0" encoding="utf-8"?>
<sst xmlns="http://schemas.openxmlformats.org/spreadsheetml/2006/main" count="981" uniqueCount="221">
  <si>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</si>
  <si>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</si>
  <si>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</si>
  <si>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</si>
  <si>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</si>
  <si>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</si>
  <si>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</si>
  <si>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</si>
  <si>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</si>
  <si>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</si>
  <si>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</si>
  <si>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</si>
  <si>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</si>
  <si>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</si>
  <si>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</si>
  <si>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</si>
  <si>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</si>
  <si>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</si>
  <si>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</si>
  <si>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</si>
  <si>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</si>
  <si>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</si>
  <si>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</si>
  <si>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</si>
  <si>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</si>
  <si>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</si>
  <si>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</si>
  <si>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</si>
  <si>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</si>
  <si>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</si>
  <si>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</si>
  <si>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</si>
  <si>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</si>
  <si>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</si>
  <si>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</si>
  <si>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</si>
  <si>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</si>
  <si>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</si>
  <si>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</si>
  <si>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</si>
  <si>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</si>
  <si>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</si>
  <si>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</si>
  <si>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</si>
  <si>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</si>
  <si>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</si>
  <si>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</si>
  <si>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</si>
  <si>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</si>
  <si>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</si>
  <si>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</si>
  <si>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</si>
  <si>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</si>
  <si>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</si>
  <si>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</si>
  <si>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</si>
  <si>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</si>
  <si>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</si>
  <si>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</si>
  <si>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</si>
  <si>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</si>
  <si>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</si>
  <si>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</si>
  <si>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</si>
  <si>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</si>
  <si>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</si>
  <si>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</si>
  <si>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</si>
  <si>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</si>
  <si>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</si>
  <si>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</si>
  <si>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</si>
  <si>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</si>
  <si>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</si>
  <si>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</si>
  <si>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</si>
  <si>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</si>
  <si>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</si>
  <si>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</si>
  <si>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</si>
  <si>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</si>
  <si>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</si>
  <si>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</si>
  <si>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</si>
  <si>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</si>
  <si>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</si>
  <si>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</si>
  <si>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</si>
  <si>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</si>
  <si>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</si>
  <si>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</si>
  <si>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</si>
  <si>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</si>
  <si>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</si>
  <si>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</si>
  <si>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</si>
  <si>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</si>
  <si>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</si>
  <si>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</si>
  <si>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</si>
  <si>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</si>
  <si>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</si>
  <si>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</si>
  <si>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</si>
  <si>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</si>
  <si>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</si>
  <si>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</si>
  <si>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</si>
  <si>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</si>
  <si>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</si>
  <si>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</si>
  <si>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</si>
  <si>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</si>
  <si>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</si>
  <si>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</si>
  <si>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</si>
  <si>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</si>
  <si>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</si>
  <si>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</si>
  <si>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</si>
  <si>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</si>
  <si>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</si>
  <si>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</si>
  <si>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</si>
  <si>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</si>
  <si>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</si>
  <si>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</si>
  <si>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</si>
  <si>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</si>
  <si>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</si>
  <si>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</si>
  <si>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</si>
  <si>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</si>
  <si>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</si>
  <si>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</si>
  <si>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</si>
  <si>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</si>
  <si>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</si>
  <si>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</si>
  <si>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</si>
  <si>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</si>
  <si>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</si>
  <si>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</si>
  <si>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</si>
  <si>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</si>
  <si>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</si>
  <si>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</si>
  <si>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</si>
  <si>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</si>
  <si>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</si>
  <si>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</si>
  <si>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</si>
  <si>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</si>
  <si>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</si>
  <si>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</si>
  <si>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</si>
  <si>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</si>
  <si>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</si>
  <si>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</si>
  <si>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</si>
  <si>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</si>
  <si>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</si>
  <si>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</si>
  <si>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</si>
  <si>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</si>
  <si>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</si>
  <si>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</si>
  <si>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</si>
  <si>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</si>
  <si>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</si>
  <si>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</si>
  <si>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</si>
  <si>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</si>
  <si>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</si>
  <si>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</si>
  <si>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</si>
  <si>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</si>
  <si>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</si>
  <si>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</si>
  <si>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</si>
  <si>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</si>
  <si>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</si>
  <si>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</si>
  <si>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</si>
  <si>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</si>
  <si>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</si>
  <si>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</si>
  <si>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</si>
  <si>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</si>
  <si>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</si>
  <si>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</si>
  <si>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</si>
  <si>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</si>
  <si>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</si>
  <si>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</si>
  <si>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</si>
  <si>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</si>
  <si>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</si>
  <si>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</si>
  <si>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</si>
  <si>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</si>
  <si>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</si>
  <si>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</si>
  <si>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</si>
  <si>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</si>
  <si>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</si>
  <si>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Registro de Preços para Eventual Aquisição de Material Bibliográfico, por meio de registro do maior desconto percentual sobre os preços do catálogo ou das tabelas das editoras, conforme áreas de interesse do Tribunal, constantes no Anexo “A” do TR.</t>
  </si>
  <si>
    <t>valor total com desconto</t>
  </si>
  <si>
    <t>FHS LIVROS LTDA</t>
  </si>
  <si>
    <t>valor de referência (Anexo A)</t>
  </si>
  <si>
    <t>desconto estimado</t>
  </si>
  <si>
    <t>EUNICE MARIA GONCALVES DE OLIVEIRA</t>
  </si>
  <si>
    <t>LIVRARIA E DISTRIBUIDORA MENTE SANA LTDA</t>
  </si>
  <si>
    <t>OCEANO PACIFICO COMERCIO E SERVICOS LTDA</t>
  </si>
  <si>
    <t>ARC LIVRARIA E IMPORTADORA LTDA</t>
  </si>
  <si>
    <t>FACILIT SOLUCOES LTDA</t>
  </si>
  <si>
    <t>GOLD REVISTAS TECNICAS LTDA</t>
  </si>
  <si>
    <t>LOTUS DF ARMAZENAGEM E LOGISTICA LTDA</t>
  </si>
  <si>
    <t>RNL TRADE AND FACILITIES LTDA</t>
  </si>
  <si>
    <t>52.901.917 HELENA RODRIGUES PEREIRA DAS POSSES</t>
  </si>
  <si>
    <t>ALL NOVVO CONSULTORIA E ASSESSORIA DE NEGOCIOS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</si>
</sst>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R$&quot;\ #,##0.00;[Red]\-&quot;R$&quot;\ #,##0.00"/>
    <numFmt numFmtId="44" formatCode="_-&quot;R$&quot;\ * #,##0.00_-;\-&quot;R$&quot;\ * #,##0.00_-;_-&quot;R$&quot;\ * &quot;-&quot;??_-;_-@_-"/>
    <numFmt numFmtId="164" formatCode="0.0000%"/>
    <numFmt numFmtId="165" formatCode="0.00000"/>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8"/>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top" wrapText="1"/>
    </xf>
    <xf numFmtId="0" fontId="10" fillId="2" borderId="3" xfId="0" applyFont="1" applyFill="1" applyBorder="1" applyAlignment="1">
      <alignment horizontal="right"/>
    </xf>
    <xf numFmtId="164" fontId="8" fillId="2" borderId="4" xfId="2" quotePrefix="1" applyNumberFormat="1" applyFont="1" applyFill="1" applyBorder="1" applyAlignment="1">
      <alignment shrinkToFit="1"/>
    </xf>
    <xf numFmtId="165" fontId="2" fillId="0" borderId="0" xfId="0" applyNumberFormat="1" applyFont="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4" sqref="H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v>
      </c>
      <c r="B3" s="33" t="s">
        <v>206</v>
      </c>
      <c r="C3" s="35" t="s">
        <v>207</v>
      </c>
      <c r="D3" s="38">
        <v>1</v>
      </c>
      <c r="E3" s="39">
        <f>IF(C20&lt;=25%,D20,MIN(E20:F20))</f>
        <v>29961.62</v>
      </c>
      <c r="F3" s="39">
        <f>MIN(H3:H17)</f>
        <v>23176.2</v>
      </c>
      <c r="G3" s="4" t="s">
        <v>211</v>
      </c>
      <c r="H3" s="15">
        <f>ROUND(38000*(1-39.01%),2)</f>
        <v>23176.2</v>
      </c>
      <c r="I3" s="16" t="str">
        <f>IF(H3="","",(IF($C$20&lt;25%,"n/a",IF(H3&lt;=($D$20+$A$20),H3,"Descartado"))))</f>
        <v>n/a</v>
      </c>
    </row>
    <row r="4" spans="1:9" x14ac:dyDescent="0.25">
      <c r="A4" s="40"/>
      <c r="B4" s="34"/>
      <c r="C4" s="36"/>
      <c r="D4" s="38"/>
      <c r="E4" s="39"/>
      <c r="F4" s="39"/>
      <c r="G4" s="4" t="s">
        <v>208</v>
      </c>
      <c r="H4" s="15">
        <f>ROUND(38000*(1-37.81%),2)</f>
        <v>23632.2</v>
      </c>
      <c r="I4" s="16" t="str">
        <f t="shared" ref="I4:I17" si="0">IF(H4="","",(IF($C$20&lt;25%,"n/a",IF(H4&lt;=($D$20+$A$20),H4,"Descartado"))))</f>
        <v>n/a</v>
      </c>
    </row>
    <row r="5" spans="1:9" x14ac:dyDescent="0.25">
      <c r="A5" s="40"/>
      <c r="B5" s="34"/>
      <c r="C5" s="36"/>
      <c r="D5" s="38"/>
      <c r="E5" s="39"/>
      <c r="F5" s="39"/>
      <c r="G5" s="4" t="s">
        <v>212</v>
      </c>
      <c r="H5" s="15">
        <f>ROUND(38000*(1-33.01%),2)</f>
        <v>25456.2</v>
      </c>
      <c r="I5" s="16" t="str">
        <f t="shared" si="0"/>
        <v>n/a</v>
      </c>
    </row>
    <row r="6" spans="1:9" x14ac:dyDescent="0.25">
      <c r="A6" s="40"/>
      <c r="B6" s="34"/>
      <c r="C6" s="36"/>
      <c r="D6" s="38"/>
      <c r="E6" s="39"/>
      <c r="F6" s="39"/>
      <c r="G6" s="4" t="s">
        <v>213</v>
      </c>
      <c r="H6" s="15">
        <f>ROUND(38000*(1-33.8%),2)</f>
        <v>25156</v>
      </c>
      <c r="I6" s="16" t="str">
        <f t="shared" si="0"/>
        <v>n/a</v>
      </c>
    </row>
    <row r="7" spans="1:9" x14ac:dyDescent="0.25">
      <c r="A7" s="40"/>
      <c r="B7" s="34"/>
      <c r="C7" s="36"/>
      <c r="D7" s="38"/>
      <c r="E7" s="39"/>
      <c r="F7" s="39"/>
      <c r="G7" s="4" t="s">
        <v>214</v>
      </c>
      <c r="H7" s="15">
        <f>ROUND(38000*(1-25.01%),2)</f>
        <v>28496.2</v>
      </c>
      <c r="I7" s="16" t="str">
        <f t="shared" si="0"/>
        <v>n/a</v>
      </c>
    </row>
    <row r="8" spans="1:9" x14ac:dyDescent="0.25">
      <c r="A8" s="40"/>
      <c r="B8" s="34"/>
      <c r="C8" s="36"/>
      <c r="D8" s="38"/>
      <c r="E8" s="39"/>
      <c r="F8" s="39"/>
      <c r="G8" s="4" t="s">
        <v>215</v>
      </c>
      <c r="H8" s="15">
        <f>ROUND(38000*(1-25%),2)</f>
        <v>28500</v>
      </c>
      <c r="I8" s="16" t="str">
        <f t="shared" si="0"/>
        <v>n/a</v>
      </c>
    </row>
    <row r="9" spans="1:9" x14ac:dyDescent="0.25">
      <c r="A9" s="40"/>
      <c r="B9" s="34"/>
      <c r="C9" s="36"/>
      <c r="D9" s="38"/>
      <c r="E9" s="39"/>
      <c r="F9" s="39"/>
      <c r="G9" s="4" t="s">
        <v>216</v>
      </c>
      <c r="H9" s="15">
        <f>ROUND(38000*(1-39%),2)</f>
        <v>23180</v>
      </c>
      <c r="I9" s="16" t="str">
        <f t="shared" si="0"/>
        <v>n/a</v>
      </c>
    </row>
    <row r="10" spans="1:9" x14ac:dyDescent="0.25">
      <c r="A10" s="40"/>
      <c r="B10" s="34"/>
      <c r="C10" s="36"/>
      <c r="D10" s="38"/>
      <c r="E10" s="39"/>
      <c r="F10" s="39"/>
      <c r="G10" s="4" t="s">
        <v>217</v>
      </c>
      <c r="H10" s="15">
        <f>ROUND(38000*(1-0.01%),2)</f>
        <v>37996.199999999997</v>
      </c>
      <c r="I10" s="16" t="str">
        <f t="shared" si="0"/>
        <v>n/a</v>
      </c>
    </row>
    <row r="11" spans="1:9" x14ac:dyDescent="0.25">
      <c r="A11" s="40"/>
      <c r="B11" s="34"/>
      <c r="C11" s="36"/>
      <c r="D11" s="38"/>
      <c r="E11" s="39"/>
      <c r="F11" s="39"/>
      <c r="G11" s="4" t="s">
        <v>218</v>
      </c>
      <c r="H11" s="15">
        <f>ROUND(38000*(1-0.01%),2)</f>
        <v>37996.199999999997</v>
      </c>
      <c r="I11" s="16" t="str">
        <f t="shared" si="0"/>
        <v>n/a</v>
      </c>
    </row>
    <row r="12" spans="1:9" x14ac:dyDescent="0.25">
      <c r="A12" s="40"/>
      <c r="B12" s="34"/>
      <c r="C12" s="36"/>
      <c r="D12" s="38"/>
      <c r="E12" s="39"/>
      <c r="F12" s="39"/>
      <c r="G12" s="4" t="s">
        <v>219</v>
      </c>
      <c r="H12" s="15">
        <f>ROUND(38000*(1-0.01%),2)</f>
        <v>37996.199999999997</v>
      </c>
      <c r="I12" s="16" t="str">
        <f t="shared" si="0"/>
        <v>n/a</v>
      </c>
    </row>
    <row r="13" spans="1:9" x14ac:dyDescent="0.25">
      <c r="A13" s="40"/>
      <c r="B13" s="34"/>
      <c r="C13" s="36"/>
      <c r="D13" s="38"/>
      <c r="E13" s="39"/>
      <c r="F13" s="39"/>
      <c r="G13" s="4" t="s">
        <v>220</v>
      </c>
      <c r="H13" s="15">
        <f>ROUND(38000*(1-0.02%),2)</f>
        <v>37992.400000000001</v>
      </c>
      <c r="I13" s="16" t="str">
        <f t="shared" si="0"/>
        <v>n/a</v>
      </c>
    </row>
    <row r="14" spans="1:9" x14ac:dyDescent="0.25">
      <c r="A14" s="40"/>
      <c r="B14" s="34"/>
      <c r="C14" s="36"/>
      <c r="D14" s="38"/>
      <c r="E14" s="39"/>
      <c r="F14" s="39"/>
      <c r="G14" s="4"/>
      <c r="H14" s="15"/>
      <c r="I14" s="16" t="str">
        <f t="shared" si="0"/>
        <v/>
      </c>
    </row>
    <row r="15" spans="1:9" x14ac:dyDescent="0.25">
      <c r="A15" s="40"/>
      <c r="B15" s="34"/>
      <c r="C15" s="36"/>
      <c r="D15" s="38"/>
      <c r="E15" s="39"/>
      <c r="F15" s="39"/>
      <c r="G15" s="4"/>
      <c r="H15" s="15"/>
      <c r="I15" s="16" t="str">
        <f t="shared" si="0"/>
        <v/>
      </c>
    </row>
    <row r="16" spans="1:9" x14ac:dyDescent="0.25">
      <c r="A16" s="40"/>
      <c r="B16" s="34"/>
      <c r="C16" s="36"/>
      <c r="D16" s="38"/>
      <c r="E16" s="39"/>
      <c r="F16" s="39"/>
      <c r="G16" s="4"/>
      <c r="H16" s="15"/>
      <c r="I16" s="16" t="str">
        <f t="shared" si="0"/>
        <v/>
      </c>
    </row>
    <row r="17" spans="1:9" x14ac:dyDescent="0.25">
      <c r="A17" s="40"/>
      <c r="B17" s="34"/>
      <c r="C17" s="37"/>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6617.6074863681761</v>
      </c>
      <c r="B20" s="7">
        <f>COUNT(H3:H17)</f>
        <v>11</v>
      </c>
      <c r="C20" s="8">
        <f>IF(B20&lt;2,"n/a",(A20/D20))</f>
        <v>0.22086948190278685</v>
      </c>
      <c r="D20" s="9">
        <f>IFERROR(ROUND(AVERAGE(H3:H17),2),"")</f>
        <v>29961.62</v>
      </c>
      <c r="E20" s="14" t="str">
        <f>IFERROR(ROUND(IF(B20&lt;2,"n/a",(IF(C20&lt;=25%,"n/a",AVERAGE(I3:I17)))),2),"n/a")</f>
        <v>n/a</v>
      </c>
      <c r="F20" s="9">
        <f>IFERROR(ROUND(MEDIAN(H3:H17),2),"")</f>
        <v>28496.2</v>
      </c>
      <c r="G20" s="10" t="str">
        <f>IFERROR(INDEX(G3:G17,MATCH(H20,H3:H17,0)),"")</f>
        <v>EUNICE MARIA GONCALVES DE OLIVEIRA</v>
      </c>
      <c r="H20" s="11">
        <f>F3</f>
        <v>23176.2</v>
      </c>
    </row>
    <row r="22" spans="1:9" x14ac:dyDescent="0.25">
      <c r="G22" s="12" t="s">
        <v>20</v>
      </c>
      <c r="H22" s="13">
        <f>IF(C20&lt;=25%,D20,MIN(E20:F20))</f>
        <v>29961.62</v>
      </c>
    </row>
    <row r="23" spans="1:9" x14ac:dyDescent="0.25">
      <c r="G23" s="12" t="s">
        <v>6</v>
      </c>
      <c r="H23" s="13">
        <f>ROUND(H22,2)*D3</f>
        <v>29961.62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10</v>
      </c>
      <c r="B3" s="33" t="s">
        <v>39</v>
      </c>
      <c r="C3" s="38" t="s">
        <v>7</v>
      </c>
      <c r="D3" s="38">
        <v>4</v>
      </c>
      <c r="E3" s="39">
        <f>IF(C20&lt;=25%,D20,MIN(E20:F20))</f>
        <v>96.78</v>
      </c>
      <c r="F3" s="39">
        <f>MIN(H3:H17)</f>
        <v>40</v>
      </c>
      <c r="G3" s="4" t="s">
        <v>103</v>
      </c>
      <c r="H3" s="15">
        <v>98</v>
      </c>
      <c r="I3" s="16">
        <f>IF(H3="","",(IF($C$20&lt;25%,"n/a",IF(H3&lt;=($D$20+$A$20),H3,"Descartado"))))</f>
        <v>98</v>
      </c>
    </row>
    <row r="4" spans="1:9" x14ac:dyDescent="0.25">
      <c r="A4" s="40"/>
      <c r="B4" s="34"/>
      <c r="C4" s="38"/>
      <c r="D4" s="38"/>
      <c r="E4" s="39"/>
      <c r="F4" s="39"/>
      <c r="G4" s="4" t="s">
        <v>104</v>
      </c>
      <c r="H4" s="15">
        <v>134.55000000000001</v>
      </c>
      <c r="I4" s="16">
        <f t="shared" ref="I4:I17" si="0">IF(H4="","",(IF($C$20&lt;25%,"n/a",IF(H4&lt;=($D$20+$A$20),H4,"Descartado"))))</f>
        <v>134.55000000000001</v>
      </c>
    </row>
    <row r="5" spans="1:9" x14ac:dyDescent="0.25">
      <c r="A5" s="40"/>
      <c r="B5" s="34"/>
      <c r="C5" s="38"/>
      <c r="D5" s="38"/>
      <c r="E5" s="39"/>
      <c r="F5" s="39"/>
      <c r="G5" s="4" t="s">
        <v>105</v>
      </c>
      <c r="H5" s="15">
        <v>59.77</v>
      </c>
      <c r="I5" s="16">
        <f t="shared" si="0"/>
        <v>59.77</v>
      </c>
    </row>
    <row r="6" spans="1:9" x14ac:dyDescent="0.25">
      <c r="A6" s="40"/>
      <c r="B6" s="34"/>
      <c r="C6" s="38"/>
      <c r="D6" s="38"/>
      <c r="E6" s="39"/>
      <c r="F6" s="39"/>
      <c r="G6" s="4" t="s">
        <v>106</v>
      </c>
      <c r="H6" s="15">
        <v>167</v>
      </c>
      <c r="I6" s="16">
        <f t="shared" si="0"/>
        <v>167</v>
      </c>
    </row>
    <row r="7" spans="1:9" x14ac:dyDescent="0.25">
      <c r="A7" s="40"/>
      <c r="B7" s="34"/>
      <c r="C7" s="38"/>
      <c r="D7" s="38"/>
      <c r="E7" s="39"/>
      <c r="F7" s="39"/>
      <c r="G7" s="4" t="s">
        <v>107</v>
      </c>
      <c r="H7" s="15">
        <v>60</v>
      </c>
      <c r="I7" s="16">
        <f t="shared" si="0"/>
        <v>60</v>
      </c>
    </row>
    <row r="8" spans="1:9" x14ac:dyDescent="0.25">
      <c r="A8" s="40"/>
      <c r="B8" s="34"/>
      <c r="C8" s="38"/>
      <c r="D8" s="38"/>
      <c r="E8" s="39"/>
      <c r="F8" s="39"/>
      <c r="G8" s="4" t="s">
        <v>108</v>
      </c>
      <c r="H8" s="15">
        <v>50</v>
      </c>
      <c r="I8" s="16">
        <f t="shared" si="0"/>
        <v>50</v>
      </c>
    </row>
    <row r="9" spans="1:9" x14ac:dyDescent="0.25">
      <c r="A9" s="40"/>
      <c r="B9" s="34"/>
      <c r="C9" s="38"/>
      <c r="D9" s="38"/>
      <c r="E9" s="39"/>
      <c r="F9" s="39"/>
      <c r="G9" s="4" t="s">
        <v>109</v>
      </c>
      <c r="H9" s="15">
        <v>40</v>
      </c>
      <c r="I9" s="16">
        <f t="shared" si="0"/>
        <v>40</v>
      </c>
    </row>
    <row r="10" spans="1:9" x14ac:dyDescent="0.25">
      <c r="A10" s="40"/>
      <c r="B10" s="34"/>
      <c r="C10" s="38"/>
      <c r="D10" s="38"/>
      <c r="E10" s="39"/>
      <c r="F10" s="39"/>
      <c r="G10" s="4" t="s">
        <v>110</v>
      </c>
      <c r="H10" s="15">
        <v>198.99</v>
      </c>
      <c r="I10" s="16" t="str">
        <f t="shared" si="0"/>
        <v>Descartado</v>
      </c>
    </row>
    <row r="11" spans="1:9" x14ac:dyDescent="0.25">
      <c r="A11" s="40"/>
      <c r="B11" s="34"/>
      <c r="C11" s="38"/>
      <c r="D11" s="38"/>
      <c r="E11" s="39"/>
      <c r="F11" s="39"/>
      <c r="G11" s="4" t="s">
        <v>111</v>
      </c>
      <c r="H11" s="15">
        <v>200</v>
      </c>
      <c r="I11" s="16" t="str">
        <f t="shared" si="0"/>
        <v>Descartado</v>
      </c>
    </row>
    <row r="12" spans="1:9" x14ac:dyDescent="0.25">
      <c r="A12" s="40"/>
      <c r="B12" s="34"/>
      <c r="C12" s="38"/>
      <c r="D12" s="38"/>
      <c r="E12" s="39"/>
      <c r="F12" s="39"/>
      <c r="G12" s="4" t="s">
        <v>176</v>
      </c>
      <c r="H12" s="15">
        <v>199</v>
      </c>
      <c r="I12" s="16" t="str">
        <f t="shared" si="0"/>
        <v>Descartado</v>
      </c>
    </row>
    <row r="13" spans="1:9" x14ac:dyDescent="0.25">
      <c r="A13" s="40"/>
      <c r="B13" s="34"/>
      <c r="C13" s="38"/>
      <c r="D13" s="38"/>
      <c r="E13" s="39"/>
      <c r="F13" s="39"/>
      <c r="G13" s="4" t="s">
        <v>177</v>
      </c>
      <c r="H13" s="15">
        <v>164.9</v>
      </c>
      <c r="I13" s="16">
        <f t="shared" si="0"/>
        <v>164.9</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64.869852670208417</v>
      </c>
      <c r="B20" s="7">
        <f>COUNT(H3:H17)</f>
        <v>11</v>
      </c>
      <c r="C20" s="8">
        <f>IF(B20&lt;2,"n/a",(A20/D20))</f>
        <v>0.51999881899966671</v>
      </c>
      <c r="D20" s="9">
        <f>IFERROR(ROUND(AVERAGE(H3:H17),2),"")</f>
        <v>124.75</v>
      </c>
      <c r="E20" s="14">
        <f>IFERROR(ROUND(IF(B20&lt;2,"n/a",(IF(C20&lt;=25%,"n/a",AVERAGE(I3:I17)))),2),"n/a")</f>
        <v>96.78</v>
      </c>
      <c r="F20" s="9">
        <f>IFERROR(ROUND(MEDIAN(H3:H17),2),"")</f>
        <v>134.55000000000001</v>
      </c>
      <c r="G20" s="10" t="str">
        <f>IFERROR(INDEX(G3:G17,MATCH(H20,H3:H17,0)),"")</f>
        <v>MGJ CONSULTORIA EM SEGURANCA E COMERCIO EXTERIOR LTDA</v>
      </c>
      <c r="H20" s="11">
        <f>F3</f>
        <v>40</v>
      </c>
    </row>
    <row r="22" spans="1:9" x14ac:dyDescent="0.25">
      <c r="G22" s="12" t="s">
        <v>20</v>
      </c>
      <c r="H22" s="13">
        <f>IF(C20&lt;=25%,D20,MIN(E20:F20))</f>
        <v>96.78</v>
      </c>
    </row>
    <row r="23" spans="1:9" x14ac:dyDescent="0.25">
      <c r="G23" s="12" t="s">
        <v>6</v>
      </c>
      <c r="H23" s="13">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11</v>
      </c>
      <c r="B3" s="33" t="s">
        <v>40</v>
      </c>
      <c r="C3" s="38" t="s">
        <v>7</v>
      </c>
      <c r="D3" s="38">
        <v>2</v>
      </c>
      <c r="E3" s="39">
        <f>IF(C20&lt;=25%,D20,MIN(E20:F20))</f>
        <v>317.42</v>
      </c>
      <c r="F3" s="39">
        <f>MIN(H3:H17)</f>
        <v>143.76</v>
      </c>
      <c r="G3" s="4" t="s">
        <v>66</v>
      </c>
      <c r="H3" s="15">
        <v>308.31</v>
      </c>
      <c r="I3" s="16">
        <f>IF(H3="","",(IF($C$20&lt;25%,"n/a",IF(H3&lt;=($D$20+$A$20),H3,"Descartado"))))</f>
        <v>308.31</v>
      </c>
    </row>
    <row r="4" spans="1:9" x14ac:dyDescent="0.25">
      <c r="A4" s="40"/>
      <c r="B4" s="34"/>
      <c r="C4" s="38"/>
      <c r="D4" s="38"/>
      <c r="E4" s="39"/>
      <c r="F4" s="39"/>
      <c r="G4" s="4" t="s">
        <v>112</v>
      </c>
      <c r="H4" s="15">
        <v>283</v>
      </c>
      <c r="I4" s="16">
        <f t="shared" ref="I4:I17" si="0">IF(H4="","",(IF($C$20&lt;25%,"n/a",IF(H4&lt;=($D$20+$A$20),H4,"Descartado"))))</f>
        <v>283</v>
      </c>
    </row>
    <row r="5" spans="1:9" x14ac:dyDescent="0.25">
      <c r="A5" s="40"/>
      <c r="B5" s="34"/>
      <c r="C5" s="38"/>
      <c r="D5" s="38"/>
      <c r="E5" s="39"/>
      <c r="F5" s="39"/>
      <c r="G5" s="4" t="s">
        <v>113</v>
      </c>
      <c r="H5" s="15">
        <v>896</v>
      </c>
      <c r="I5" s="16" t="str">
        <f t="shared" si="0"/>
        <v>Descartado</v>
      </c>
    </row>
    <row r="6" spans="1:9" x14ac:dyDescent="0.25">
      <c r="A6" s="40"/>
      <c r="B6" s="34"/>
      <c r="C6" s="38"/>
      <c r="D6" s="38"/>
      <c r="E6" s="39"/>
      <c r="F6" s="39"/>
      <c r="G6" s="4" t="s">
        <v>67</v>
      </c>
      <c r="H6" s="15">
        <v>949</v>
      </c>
      <c r="I6" s="16" t="str">
        <f t="shared" si="0"/>
        <v>Descartado</v>
      </c>
    </row>
    <row r="7" spans="1:9" x14ac:dyDescent="0.25">
      <c r="A7" s="40"/>
      <c r="B7" s="34"/>
      <c r="C7" s="38"/>
      <c r="D7" s="38"/>
      <c r="E7" s="39"/>
      <c r="F7" s="39"/>
      <c r="G7" s="4" t="s">
        <v>114</v>
      </c>
      <c r="H7" s="15">
        <v>1100</v>
      </c>
      <c r="I7" s="16" t="str">
        <f t="shared" si="0"/>
        <v>Descartado</v>
      </c>
    </row>
    <row r="8" spans="1:9" x14ac:dyDescent="0.25">
      <c r="A8" s="40"/>
      <c r="B8" s="34"/>
      <c r="C8" s="38"/>
      <c r="D8" s="38"/>
      <c r="E8" s="39"/>
      <c r="F8" s="39"/>
      <c r="G8" s="4" t="s">
        <v>115</v>
      </c>
      <c r="H8" s="15">
        <v>412</v>
      </c>
      <c r="I8" s="16">
        <f t="shared" si="0"/>
        <v>412</v>
      </c>
    </row>
    <row r="9" spans="1:9" x14ac:dyDescent="0.25">
      <c r="A9" s="40"/>
      <c r="B9" s="34"/>
      <c r="C9" s="38"/>
      <c r="D9" s="38"/>
      <c r="E9" s="39"/>
      <c r="F9" s="39"/>
      <c r="G9" s="4" t="s">
        <v>116</v>
      </c>
      <c r="H9" s="15">
        <v>328.87</v>
      </c>
      <c r="I9" s="16">
        <f t="shared" si="0"/>
        <v>328.87</v>
      </c>
    </row>
    <row r="10" spans="1:9" x14ac:dyDescent="0.25">
      <c r="A10" s="40"/>
      <c r="B10" s="34"/>
      <c r="C10" s="38"/>
      <c r="D10" s="38"/>
      <c r="E10" s="39"/>
      <c r="F10" s="39"/>
      <c r="G10" s="4" t="s">
        <v>117</v>
      </c>
      <c r="H10" s="15">
        <v>250</v>
      </c>
      <c r="I10" s="16">
        <f t="shared" si="0"/>
        <v>250</v>
      </c>
    </row>
    <row r="11" spans="1:9" x14ac:dyDescent="0.25">
      <c r="A11" s="40"/>
      <c r="B11" s="34"/>
      <c r="C11" s="38"/>
      <c r="D11" s="38"/>
      <c r="E11" s="39"/>
      <c r="F11" s="39"/>
      <c r="G11" s="4" t="s">
        <v>118</v>
      </c>
      <c r="H11" s="15">
        <v>143.76</v>
      </c>
      <c r="I11" s="16">
        <f t="shared" si="0"/>
        <v>143.76</v>
      </c>
    </row>
    <row r="12" spans="1:9" x14ac:dyDescent="0.25">
      <c r="A12" s="40"/>
      <c r="B12" s="34"/>
      <c r="C12" s="38"/>
      <c r="D12" s="38"/>
      <c r="E12" s="39"/>
      <c r="F12" s="39"/>
      <c r="G12" s="4" t="s">
        <v>97</v>
      </c>
      <c r="H12" s="15">
        <v>583.65</v>
      </c>
      <c r="I12" s="16">
        <f t="shared" si="0"/>
        <v>583.65</v>
      </c>
    </row>
    <row r="13" spans="1:9" x14ac:dyDescent="0.25">
      <c r="A13" s="40"/>
      <c r="B13" s="34"/>
      <c r="C13" s="38"/>
      <c r="D13" s="38"/>
      <c r="E13" s="39"/>
      <c r="F13" s="39"/>
      <c r="G13" s="4" t="s">
        <v>119</v>
      </c>
      <c r="H13" s="15">
        <v>376.2</v>
      </c>
      <c r="I13" s="16">
        <f t="shared" si="0"/>
        <v>376.2</v>
      </c>
    </row>
    <row r="14" spans="1:9" x14ac:dyDescent="0.25">
      <c r="A14" s="40"/>
      <c r="B14" s="34"/>
      <c r="C14" s="38"/>
      <c r="D14" s="38"/>
      <c r="E14" s="39"/>
      <c r="F14" s="39"/>
      <c r="G14" s="4" t="s">
        <v>170</v>
      </c>
      <c r="H14" s="15">
        <v>171.03</v>
      </c>
      <c r="I14" s="16">
        <f t="shared" si="0"/>
        <v>171.03</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324.171608775913</v>
      </c>
      <c r="B20" s="7">
        <f>COUNT(H3:H17)</f>
        <v>12</v>
      </c>
      <c r="C20" s="8">
        <f>IF(B20&lt;2,"n/a",(A20/D20))</f>
        <v>0.67048255139902169</v>
      </c>
      <c r="D20" s="9">
        <f>IFERROR(ROUND(AVERAGE(H3:H17),2),"")</f>
        <v>483.49</v>
      </c>
      <c r="E20" s="14">
        <f>IFERROR(ROUND(IF(B20&lt;2,"n/a",(IF(C20&lt;=25%,"n/a",AVERAGE(I3:I17)))),2),"n/a")</f>
        <v>317.42</v>
      </c>
      <c r="F20" s="9">
        <f>IFERROR(ROUND(MEDIAN(H3:H17),2),"")</f>
        <v>352.54</v>
      </c>
      <c r="G20" s="10" t="str">
        <f>IFERROR(INDEX(G3:G17,MATCH(H20,H3:H17,0)),"")</f>
        <v>SMART SOLUTIONS - SOLUCOES INTELIGENTES EM COMERCIO E SERVICOS LTDA</v>
      </c>
      <c r="H20" s="11">
        <f>F3</f>
        <v>143.76</v>
      </c>
    </row>
    <row r="22" spans="1:9" x14ac:dyDescent="0.25">
      <c r="G22" s="12" t="s">
        <v>20</v>
      </c>
      <c r="H22" s="13">
        <f>IF(C20&lt;=25%,D20,MIN(E20:F20))</f>
        <v>317.42</v>
      </c>
    </row>
    <row r="23" spans="1:9" x14ac:dyDescent="0.25">
      <c r="G23" s="12" t="s">
        <v>6</v>
      </c>
      <c r="H23" s="13">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12</v>
      </c>
      <c r="B3" s="33" t="s">
        <v>41</v>
      </c>
      <c r="C3" s="38" t="s">
        <v>7</v>
      </c>
      <c r="D3" s="38">
        <v>1</v>
      </c>
      <c r="E3" s="39">
        <f>IF(C20&lt;=25%,D20,MIN(E20:F20))</f>
        <v>808.95</v>
      </c>
      <c r="F3" s="39">
        <f>MIN(H3:H17)</f>
        <v>289.89999999999998</v>
      </c>
      <c r="G3" s="4" t="s">
        <v>99</v>
      </c>
      <c r="H3" s="15">
        <v>761.9</v>
      </c>
      <c r="I3" s="16">
        <f>IF(H3="","",(IF($C$20&lt;25%,"n/a",IF(H3&lt;=($D$20+$A$20),H3,"Descartado"))))</f>
        <v>761.9</v>
      </c>
    </row>
    <row r="4" spans="1:9" x14ac:dyDescent="0.25">
      <c r="A4" s="40"/>
      <c r="B4" s="34"/>
      <c r="C4" s="38"/>
      <c r="D4" s="38"/>
      <c r="E4" s="39"/>
      <c r="F4" s="39"/>
      <c r="G4" s="4" t="s">
        <v>120</v>
      </c>
      <c r="H4" s="15">
        <v>748</v>
      </c>
      <c r="I4" s="16">
        <f t="shared" ref="I4:I17" si="0">IF(H4="","",(IF($C$20&lt;25%,"n/a",IF(H4&lt;=($D$20+$A$20),H4,"Descartado"))))</f>
        <v>748</v>
      </c>
    </row>
    <row r="5" spans="1:9" x14ac:dyDescent="0.25">
      <c r="A5" s="40"/>
      <c r="B5" s="34"/>
      <c r="C5" s="38"/>
      <c r="D5" s="38"/>
      <c r="E5" s="39"/>
      <c r="F5" s="39"/>
      <c r="G5" s="4" t="s">
        <v>106</v>
      </c>
      <c r="H5" s="15">
        <v>1880</v>
      </c>
      <c r="I5" s="16" t="str">
        <f t="shared" si="0"/>
        <v>Descartado</v>
      </c>
    </row>
    <row r="6" spans="1:9" x14ac:dyDescent="0.25">
      <c r="A6" s="40"/>
      <c r="B6" s="34"/>
      <c r="C6" s="38"/>
      <c r="D6" s="38"/>
      <c r="E6" s="39"/>
      <c r="F6" s="39"/>
      <c r="G6" s="4" t="s">
        <v>121</v>
      </c>
      <c r="H6" s="15">
        <v>1084.05</v>
      </c>
      <c r="I6" s="16">
        <f t="shared" si="0"/>
        <v>1084.05</v>
      </c>
    </row>
    <row r="7" spans="1:9" x14ac:dyDescent="0.25">
      <c r="A7" s="40"/>
      <c r="B7" s="34"/>
      <c r="C7" s="38"/>
      <c r="D7" s="38"/>
      <c r="E7" s="39"/>
      <c r="F7" s="39"/>
      <c r="G7" s="4" t="s">
        <v>122</v>
      </c>
      <c r="H7" s="15">
        <v>1178</v>
      </c>
      <c r="I7" s="16">
        <f t="shared" si="0"/>
        <v>1178</v>
      </c>
    </row>
    <row r="8" spans="1:9" x14ac:dyDescent="0.25">
      <c r="A8" s="40"/>
      <c r="B8" s="34"/>
      <c r="C8" s="38"/>
      <c r="D8" s="38"/>
      <c r="E8" s="39"/>
      <c r="F8" s="39"/>
      <c r="G8" s="4" t="s">
        <v>123</v>
      </c>
      <c r="H8" s="15">
        <v>1500</v>
      </c>
      <c r="I8" s="16" t="str">
        <f t="shared" si="0"/>
        <v>Descartado</v>
      </c>
    </row>
    <row r="9" spans="1:9" x14ac:dyDescent="0.25">
      <c r="A9" s="40"/>
      <c r="B9" s="34"/>
      <c r="C9" s="38"/>
      <c r="D9" s="38"/>
      <c r="E9" s="39"/>
      <c r="F9" s="39"/>
      <c r="G9" s="4" t="s">
        <v>124</v>
      </c>
      <c r="H9" s="15">
        <v>859</v>
      </c>
      <c r="I9" s="16">
        <f t="shared" si="0"/>
        <v>859</v>
      </c>
    </row>
    <row r="10" spans="1:9" x14ac:dyDescent="0.25">
      <c r="A10" s="40"/>
      <c r="B10" s="34"/>
      <c r="C10" s="38"/>
      <c r="D10" s="38"/>
      <c r="E10" s="39"/>
      <c r="F10" s="39"/>
      <c r="G10" s="4" t="s">
        <v>125</v>
      </c>
      <c r="H10" s="15">
        <v>673.78</v>
      </c>
      <c r="I10" s="16">
        <f t="shared" si="0"/>
        <v>673.78</v>
      </c>
    </row>
    <row r="11" spans="1:9" x14ac:dyDescent="0.25">
      <c r="A11" s="40"/>
      <c r="B11" s="34"/>
      <c r="C11" s="38"/>
      <c r="D11" s="38"/>
      <c r="E11" s="39"/>
      <c r="F11" s="39"/>
      <c r="G11" s="4" t="s">
        <v>178</v>
      </c>
      <c r="H11" s="15">
        <v>877</v>
      </c>
      <c r="I11" s="16">
        <f t="shared" si="0"/>
        <v>877</v>
      </c>
    </row>
    <row r="12" spans="1:9" x14ac:dyDescent="0.25">
      <c r="A12" s="40"/>
      <c r="B12" s="34"/>
      <c r="C12" s="38"/>
      <c r="D12" s="38"/>
      <c r="E12" s="39"/>
      <c r="F12" s="39"/>
      <c r="G12" s="4" t="s">
        <v>179</v>
      </c>
      <c r="H12" s="15">
        <v>289.89999999999998</v>
      </c>
      <c r="I12" s="16">
        <f t="shared" si="0"/>
        <v>289.89999999999998</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450.53229569896291</v>
      </c>
      <c r="B20" s="7">
        <f>COUNT(H3:H17)</f>
        <v>10</v>
      </c>
      <c r="C20" s="8">
        <f>IF(B20&lt;2,"n/a",(A20/D20))</f>
        <v>0.45731890829810684</v>
      </c>
      <c r="D20" s="9">
        <f>IFERROR(ROUND(AVERAGE(H3:H17),2),"")</f>
        <v>985.16</v>
      </c>
      <c r="E20" s="14">
        <f>IFERROR(ROUND(IF(B20&lt;2,"n/a",(IF(C20&lt;=25%,"n/a",AVERAGE(I3:I17)))),2),"n/a")</f>
        <v>808.95</v>
      </c>
      <c r="F20" s="9">
        <f>IFERROR(ROUND(MEDIAN(H3:H17),2),"")</f>
        <v>868</v>
      </c>
      <c r="G20" s="10" t="str">
        <f>IFERROR(INDEX(G3:G17,MATCH(H20,H3:H17,0)),"")</f>
        <v>KZ MUSIC STORE</v>
      </c>
      <c r="H20" s="11">
        <f>F3</f>
        <v>289.89999999999998</v>
      </c>
    </row>
    <row r="22" spans="1:9" x14ac:dyDescent="0.25">
      <c r="G22" s="12" t="s">
        <v>20</v>
      </c>
      <c r="H22" s="13">
        <f>IF(C20&lt;=25%,D20,MIN(E20:F20))</f>
        <v>808.95</v>
      </c>
    </row>
    <row r="23" spans="1:9" x14ac:dyDescent="0.25">
      <c r="G23" s="12" t="s">
        <v>6</v>
      </c>
      <c r="H23" s="13">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13</v>
      </c>
      <c r="B3" s="33" t="s">
        <v>42</v>
      </c>
      <c r="C3" s="38" t="s">
        <v>7</v>
      </c>
      <c r="D3" s="38">
        <v>2</v>
      </c>
      <c r="E3" s="39">
        <f>IF(C20&lt;=25%,D20,MIN(E20:F20))</f>
        <v>733.15</v>
      </c>
      <c r="F3" s="39">
        <f>MIN(H3:H17)</f>
        <v>530</v>
      </c>
      <c r="G3" s="4" t="s">
        <v>126</v>
      </c>
      <c r="H3" s="15">
        <v>2799.98</v>
      </c>
      <c r="I3" s="16" t="str">
        <f>IF(H3="","",(IF($C$20&lt;25%,"n/a",IF(H3&lt;=($D$20+$A$20),H3,"Descartado"))))</f>
        <v>Descartado</v>
      </c>
    </row>
    <row r="4" spans="1:9" x14ac:dyDescent="0.25">
      <c r="A4" s="40"/>
      <c r="B4" s="34"/>
      <c r="C4" s="38"/>
      <c r="D4" s="38"/>
      <c r="E4" s="39"/>
      <c r="F4" s="39"/>
      <c r="G4" s="4" t="s">
        <v>127</v>
      </c>
      <c r="H4" s="15">
        <v>839.76</v>
      </c>
      <c r="I4" s="16">
        <f t="shared" ref="I4:I17" si="0">IF(H4="","",(IF($C$20&lt;25%,"n/a",IF(H4&lt;=($D$20+$A$20),H4,"Descartado"))))</f>
        <v>839.76</v>
      </c>
    </row>
    <row r="5" spans="1:9" x14ac:dyDescent="0.25">
      <c r="A5" s="40"/>
      <c r="B5" s="34"/>
      <c r="C5" s="38"/>
      <c r="D5" s="38"/>
      <c r="E5" s="39"/>
      <c r="F5" s="39"/>
      <c r="G5" s="4" t="s">
        <v>128</v>
      </c>
      <c r="H5" s="15">
        <v>657.09</v>
      </c>
      <c r="I5" s="16">
        <f t="shared" si="0"/>
        <v>657.09</v>
      </c>
    </row>
    <row r="6" spans="1:9" x14ac:dyDescent="0.25">
      <c r="A6" s="40"/>
      <c r="B6" s="34"/>
      <c r="C6" s="38"/>
      <c r="D6" s="38"/>
      <c r="E6" s="39"/>
      <c r="F6" s="39"/>
      <c r="G6" s="4" t="s">
        <v>96</v>
      </c>
      <c r="H6" s="15">
        <v>939</v>
      </c>
      <c r="I6" s="16">
        <f t="shared" si="0"/>
        <v>939</v>
      </c>
    </row>
    <row r="7" spans="1:9" x14ac:dyDescent="0.25">
      <c r="A7" s="40"/>
      <c r="B7" s="34"/>
      <c r="C7" s="38"/>
      <c r="D7" s="38"/>
      <c r="E7" s="39"/>
      <c r="F7" s="39"/>
      <c r="G7" s="4" t="s">
        <v>180</v>
      </c>
      <c r="H7" s="15">
        <v>530</v>
      </c>
      <c r="I7" s="16">
        <f t="shared" si="0"/>
        <v>530</v>
      </c>
    </row>
    <row r="8" spans="1:9" x14ac:dyDescent="0.25">
      <c r="A8" s="40"/>
      <c r="B8" s="34"/>
      <c r="C8" s="38"/>
      <c r="D8" s="38"/>
      <c r="E8" s="39"/>
      <c r="F8" s="39"/>
      <c r="G8" s="4" t="s">
        <v>181</v>
      </c>
      <c r="H8" s="15">
        <v>699.9</v>
      </c>
      <c r="I8" s="16">
        <f t="shared" si="0"/>
        <v>699.9</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855.77127753662489</v>
      </c>
      <c r="B20" s="7">
        <f>COUNT(H3:H17)</f>
        <v>6</v>
      </c>
      <c r="C20" s="8">
        <f>IF(B20&lt;2,"n/a",(A20/D20))</f>
        <v>0.79413084161079506</v>
      </c>
      <c r="D20" s="9">
        <f>IFERROR(ROUND(AVERAGE(H3:H17),2),"")</f>
        <v>1077.6199999999999</v>
      </c>
      <c r="E20" s="14">
        <f>IFERROR(ROUND(IF(B20&lt;2,"n/a",(IF(C20&lt;=25%,"n/a",AVERAGE(I3:I17)))),2),"n/a")</f>
        <v>733.15</v>
      </c>
      <c r="F20" s="9">
        <f>IFERROR(ROUND(MEDIAN(H3:H17),2),"")</f>
        <v>769.83</v>
      </c>
      <c r="G20" s="10" t="str">
        <f>IFERROR(INDEX(G3:G17,MATCH(H20,H3:H17,0)),"")</f>
        <v>FOCUS ELETRONICOS</v>
      </c>
      <c r="H20" s="11">
        <f>F3</f>
        <v>530</v>
      </c>
    </row>
    <row r="22" spans="1:9" x14ac:dyDescent="0.25">
      <c r="G22" s="12" t="s">
        <v>20</v>
      </c>
      <c r="H22" s="13">
        <f>IF(C20&lt;=25%,D20,MIN(E20:F20))</f>
        <v>733.15</v>
      </c>
    </row>
    <row r="23" spans="1:9" x14ac:dyDescent="0.25">
      <c r="G23" s="12" t="s">
        <v>6</v>
      </c>
      <c r="H23" s="13">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14</v>
      </c>
      <c r="B3" s="33" t="s">
        <v>43</v>
      </c>
      <c r="C3" s="38" t="s">
        <v>7</v>
      </c>
      <c r="D3" s="38">
        <v>2</v>
      </c>
      <c r="E3" s="39">
        <f>IF(C20&lt;=25%,D20,MIN(E20:F20))</f>
        <v>450</v>
      </c>
      <c r="F3" s="39">
        <f>MIN(H3:H17)</f>
        <v>305</v>
      </c>
      <c r="G3" s="4" t="s">
        <v>129</v>
      </c>
      <c r="H3" s="15">
        <v>450</v>
      </c>
      <c r="I3" s="16">
        <f>IF(H3="","",(IF($C$20&lt;25%,"n/a",IF(H3&lt;=($D$20+$A$20),H3,"Descartado"))))</f>
        <v>450</v>
      </c>
    </row>
    <row r="4" spans="1:9" x14ac:dyDescent="0.25">
      <c r="A4" s="40"/>
      <c r="B4" s="34"/>
      <c r="C4" s="38"/>
      <c r="D4" s="38"/>
      <c r="E4" s="39"/>
      <c r="F4" s="39"/>
      <c r="G4" s="4" t="s">
        <v>130</v>
      </c>
      <c r="H4" s="15">
        <v>425.7</v>
      </c>
      <c r="I4" s="16">
        <f t="shared" ref="I4:I17" si="0">IF(H4="","",(IF($C$20&lt;25%,"n/a",IF(H4&lt;=($D$20+$A$20),H4,"Descartado"))))</f>
        <v>425.7</v>
      </c>
    </row>
    <row r="5" spans="1:9" x14ac:dyDescent="0.25">
      <c r="A5" s="40"/>
      <c r="B5" s="34"/>
      <c r="C5" s="38"/>
      <c r="D5" s="38"/>
      <c r="E5" s="39"/>
      <c r="F5" s="39"/>
      <c r="G5" s="4" t="s">
        <v>101</v>
      </c>
      <c r="H5" s="15">
        <v>471.67</v>
      </c>
      <c r="I5" s="16">
        <f t="shared" si="0"/>
        <v>471.67</v>
      </c>
    </row>
    <row r="6" spans="1:9" x14ac:dyDescent="0.25">
      <c r="A6" s="40"/>
      <c r="B6" s="34"/>
      <c r="C6" s="38"/>
      <c r="D6" s="38"/>
      <c r="E6" s="39"/>
      <c r="F6" s="39"/>
      <c r="G6" s="4" t="s">
        <v>103</v>
      </c>
      <c r="H6" s="15">
        <v>749.5</v>
      </c>
      <c r="I6" s="16">
        <f t="shared" si="0"/>
        <v>749.5</v>
      </c>
    </row>
    <row r="7" spans="1:9" x14ac:dyDescent="0.25">
      <c r="A7" s="40"/>
      <c r="B7" s="34"/>
      <c r="C7" s="38"/>
      <c r="D7" s="38"/>
      <c r="E7" s="39"/>
      <c r="F7" s="39"/>
      <c r="G7" s="4" t="s">
        <v>131</v>
      </c>
      <c r="H7" s="15">
        <v>4000</v>
      </c>
      <c r="I7" s="16" t="str">
        <f t="shared" si="0"/>
        <v>Descartado</v>
      </c>
    </row>
    <row r="8" spans="1:9" x14ac:dyDescent="0.25">
      <c r="A8" s="40"/>
      <c r="B8" s="34"/>
      <c r="C8" s="38"/>
      <c r="D8" s="38"/>
      <c r="E8" s="39"/>
      <c r="F8" s="39"/>
      <c r="G8" s="4" t="s">
        <v>132</v>
      </c>
      <c r="H8" s="15">
        <v>305</v>
      </c>
      <c r="I8" s="16">
        <f t="shared" si="0"/>
        <v>305</v>
      </c>
    </row>
    <row r="9" spans="1:9" x14ac:dyDescent="0.25">
      <c r="A9" s="40"/>
      <c r="B9" s="34"/>
      <c r="C9" s="38"/>
      <c r="D9" s="38"/>
      <c r="E9" s="39"/>
      <c r="F9" s="39"/>
      <c r="G9" s="4" t="s">
        <v>171</v>
      </c>
      <c r="H9" s="15">
        <v>441</v>
      </c>
      <c r="I9" s="16">
        <f t="shared" si="0"/>
        <v>441</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1339.5386151795487</v>
      </c>
      <c r="B20" s="7">
        <f>COUNT(H3:H17)</f>
        <v>7</v>
      </c>
      <c r="C20" s="8">
        <f>IF(B20&lt;2,"n/a",(A20/D20))</f>
        <v>1.3703018926699901</v>
      </c>
      <c r="D20" s="9">
        <f>IFERROR(ROUND(AVERAGE(H3:H17),2),"")</f>
        <v>977.55</v>
      </c>
      <c r="E20" s="14">
        <f>IFERROR(ROUND(IF(B20&lt;2,"n/a",(IF(C20&lt;=25%,"n/a",AVERAGE(I3:I17)))),2),"n/a")</f>
        <v>473.81</v>
      </c>
      <c r="F20" s="9">
        <f>IFERROR(ROUND(MEDIAN(H3:H17),2),"")</f>
        <v>450</v>
      </c>
      <c r="G20" s="10" t="str">
        <f>IFERROR(INDEX(G3:G17,MATCH(H20,H3:H17,0)),"")</f>
        <v>ISALTEC COMERCIO DE INSTRUMENTOS DE MEDICAO LTDA</v>
      </c>
      <c r="H20" s="11">
        <f>F3</f>
        <v>305</v>
      </c>
    </row>
    <row r="22" spans="1:9" x14ac:dyDescent="0.25">
      <c r="G22" s="12" t="s">
        <v>20</v>
      </c>
      <c r="H22" s="13">
        <f>IF(C20&lt;=25%,D20,MIN(E20:F20))</f>
        <v>450</v>
      </c>
    </row>
    <row r="23" spans="1:9" x14ac:dyDescent="0.25">
      <c r="G23" s="12" t="s">
        <v>6</v>
      </c>
      <c r="H23" s="13">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15</v>
      </c>
      <c r="B3" s="33" t="s">
        <v>44</v>
      </c>
      <c r="C3" s="38" t="s">
        <v>7</v>
      </c>
      <c r="D3" s="38">
        <v>1</v>
      </c>
      <c r="E3" s="39">
        <f>IF(C20&lt;=25%,D20,MIN(E20:F20))</f>
        <v>793.68</v>
      </c>
      <c r="F3" s="39">
        <f>MIN(H3:H17)</f>
        <v>747.75</v>
      </c>
      <c r="G3" s="4" t="s">
        <v>133</v>
      </c>
      <c r="H3" s="15">
        <v>839.6</v>
      </c>
      <c r="I3" s="16">
        <f>IF(H3="","",(IF($C$20&lt;25%,"n/a",IF(H3&lt;=($D$20+$A$20),H3,"Descartado"))))</f>
        <v>839.6</v>
      </c>
    </row>
    <row r="4" spans="1:9" x14ac:dyDescent="0.25">
      <c r="A4" s="40"/>
      <c r="B4" s="34"/>
      <c r="C4" s="38"/>
      <c r="D4" s="38"/>
      <c r="E4" s="39"/>
      <c r="F4" s="39"/>
      <c r="G4" s="4" t="s">
        <v>134</v>
      </c>
      <c r="H4" s="15">
        <v>747.75</v>
      </c>
      <c r="I4" s="16">
        <f t="shared" ref="I4:I17" si="0">IF(H4="","",(IF($C$20&lt;25%,"n/a",IF(H4&lt;=($D$20+$A$20),H4,"Descartado"))))</f>
        <v>747.75</v>
      </c>
    </row>
    <row r="5" spans="1:9" x14ac:dyDescent="0.25">
      <c r="A5" s="40"/>
      <c r="B5" s="34"/>
      <c r="C5" s="38"/>
      <c r="D5" s="38"/>
      <c r="E5" s="39"/>
      <c r="F5" s="39"/>
      <c r="G5" s="4" t="s">
        <v>171</v>
      </c>
      <c r="H5" s="15">
        <v>1201.19</v>
      </c>
      <c r="I5" s="16" t="str">
        <f t="shared" si="0"/>
        <v>Descartado</v>
      </c>
    </row>
    <row r="6" spans="1:9" x14ac:dyDescent="0.25">
      <c r="A6" s="40"/>
      <c r="B6" s="34"/>
      <c r="C6" s="38"/>
      <c r="D6" s="38"/>
      <c r="E6" s="39"/>
      <c r="F6" s="39"/>
      <c r="G6" s="4"/>
      <c r="H6" s="15"/>
      <c r="I6" s="16" t="str">
        <f t="shared" si="0"/>
        <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239.71913572623566</v>
      </c>
      <c r="B20" s="7">
        <f>COUNT(H3:H17)</f>
        <v>3</v>
      </c>
      <c r="C20" s="8">
        <f>IF(B20&lt;2,"n/a",(A20/D20))</f>
        <v>0.25789839348284116</v>
      </c>
      <c r="D20" s="9">
        <f>IFERROR(ROUND(AVERAGE(H3:H17),2),"")</f>
        <v>929.51</v>
      </c>
      <c r="E20" s="14">
        <f>IFERROR(ROUND(IF(B20&lt;2,"n/a",(IF(C20&lt;=25%,"n/a",AVERAGE(I3:I17)))),2),"n/a")</f>
        <v>793.68</v>
      </c>
      <c r="F20" s="9">
        <f>IFERROR(ROUND(MEDIAN(H3:H17),2),"")</f>
        <v>839.6</v>
      </c>
      <c r="G20" s="10" t="str">
        <f>IFERROR(INDEX(G3:G17,MATCH(H20,H3:H17,0)),"")</f>
        <v>HS-CPQ TECNOLOGIA LTDA</v>
      </c>
      <c r="H20" s="11">
        <f>F3</f>
        <v>747.75</v>
      </c>
    </row>
    <row r="22" spans="1:9" x14ac:dyDescent="0.25">
      <c r="G22" s="12" t="s">
        <v>20</v>
      </c>
      <c r="H22" s="13">
        <f>IF(C20&lt;=25%,D20,MIN(E20:F20))</f>
        <v>793.68</v>
      </c>
    </row>
    <row r="23" spans="1:9" x14ac:dyDescent="0.25">
      <c r="G23" s="12" t="s">
        <v>6</v>
      </c>
      <c r="H23" s="13">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16</v>
      </c>
      <c r="B3" s="33" t="s">
        <v>45</v>
      </c>
      <c r="C3" s="38" t="s">
        <v>7</v>
      </c>
      <c r="D3" s="38">
        <v>1</v>
      </c>
      <c r="E3" s="39">
        <f>IF(C20&lt;=25%,D20,MIN(E20:F20))</f>
        <v>2798</v>
      </c>
      <c r="F3" s="39">
        <f>MIN(H3:H17)</f>
        <v>1999</v>
      </c>
      <c r="G3" s="4" t="s">
        <v>135</v>
      </c>
      <c r="H3" s="15">
        <v>43500</v>
      </c>
      <c r="I3" s="16" t="str">
        <f>IF(H3="","",(IF($C$20&lt;25%,"n/a",IF(H3&lt;=($D$20+$A$20),H3,"Descartado"))))</f>
        <v>Descartado</v>
      </c>
    </row>
    <row r="4" spans="1:9" x14ac:dyDescent="0.25">
      <c r="A4" s="40"/>
      <c r="B4" s="34"/>
      <c r="C4" s="38"/>
      <c r="D4" s="38"/>
      <c r="E4" s="39"/>
      <c r="F4" s="39"/>
      <c r="G4" s="4" t="s">
        <v>136</v>
      </c>
      <c r="H4" s="15">
        <v>3750</v>
      </c>
      <c r="I4" s="16">
        <f t="shared" ref="I4:I17" si="0">IF(H4="","",(IF($C$20&lt;25%,"n/a",IF(H4&lt;=($D$20+$A$20),H4,"Descartado"))))</f>
        <v>3750</v>
      </c>
    </row>
    <row r="5" spans="1:9" x14ac:dyDescent="0.25">
      <c r="A5" s="40"/>
      <c r="B5" s="34"/>
      <c r="C5" s="38"/>
      <c r="D5" s="38"/>
      <c r="E5" s="39"/>
      <c r="F5" s="39"/>
      <c r="G5" s="4" t="s">
        <v>137</v>
      </c>
      <c r="H5" s="15">
        <v>2000</v>
      </c>
      <c r="I5" s="16">
        <f t="shared" si="0"/>
        <v>2000</v>
      </c>
    </row>
    <row r="6" spans="1:9" x14ac:dyDescent="0.25">
      <c r="A6" s="40"/>
      <c r="B6" s="34"/>
      <c r="C6" s="38"/>
      <c r="D6" s="38"/>
      <c r="E6" s="39"/>
      <c r="F6" s="39"/>
      <c r="G6" s="4" t="s">
        <v>138</v>
      </c>
      <c r="H6" s="15">
        <v>19250</v>
      </c>
      <c r="I6" s="16">
        <f t="shared" si="0"/>
        <v>19250</v>
      </c>
    </row>
    <row r="7" spans="1:9" x14ac:dyDescent="0.25">
      <c r="A7" s="40"/>
      <c r="B7" s="34"/>
      <c r="C7" s="38"/>
      <c r="D7" s="38"/>
      <c r="E7" s="39"/>
      <c r="F7" s="39"/>
      <c r="G7" s="4" t="s">
        <v>170</v>
      </c>
      <c r="H7" s="15">
        <v>2778.37</v>
      </c>
      <c r="I7" s="16">
        <f t="shared" si="0"/>
        <v>2778.37</v>
      </c>
    </row>
    <row r="8" spans="1:9" x14ac:dyDescent="0.25">
      <c r="A8" s="40"/>
      <c r="B8" s="34"/>
      <c r="C8" s="38"/>
      <c r="D8" s="38"/>
      <c r="E8" s="39"/>
      <c r="F8" s="39"/>
      <c r="G8" s="4" t="s">
        <v>182</v>
      </c>
      <c r="H8" s="15">
        <v>1999</v>
      </c>
      <c r="I8" s="16">
        <f t="shared" si="0"/>
        <v>1999</v>
      </c>
    </row>
    <row r="9" spans="1:9" x14ac:dyDescent="0.25">
      <c r="A9" s="40"/>
      <c r="B9" s="34"/>
      <c r="C9" s="38"/>
      <c r="D9" s="38"/>
      <c r="E9" s="39"/>
      <c r="F9" s="39"/>
      <c r="G9" s="4" t="s">
        <v>183</v>
      </c>
      <c r="H9" s="15">
        <v>2798</v>
      </c>
      <c r="I9" s="16">
        <f t="shared" si="0"/>
        <v>2798</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15671.837110350742</v>
      </c>
      <c r="B20" s="7">
        <f>COUNT(H3:H17)</f>
        <v>7</v>
      </c>
      <c r="C20" s="8">
        <f>IF(B20&lt;2,"n/a",(A20/D20))</f>
        <v>1.4420286062684309</v>
      </c>
      <c r="D20" s="9">
        <f>IFERROR(ROUND(AVERAGE(H3:H17),2),"")</f>
        <v>10867.91</v>
      </c>
      <c r="E20" s="14">
        <f>IFERROR(ROUND(IF(B20&lt;2,"n/a",(IF(C20&lt;=25%,"n/a",AVERAGE(I3:I17)))),2),"n/a")</f>
        <v>5429.23</v>
      </c>
      <c r="F20" s="9">
        <f>IFERROR(ROUND(MEDIAN(H3:H17),2),"")</f>
        <v>2798</v>
      </c>
      <c r="G20" s="10" t="str">
        <f>IFERROR(INDEX(G3:G17,MATCH(H20,H3:H17,0)),"")</f>
        <v>ROLAND STORE</v>
      </c>
      <c r="H20" s="11">
        <f>F3</f>
        <v>1999</v>
      </c>
    </row>
    <row r="22" spans="1:9" x14ac:dyDescent="0.25">
      <c r="G22" s="12" t="s">
        <v>20</v>
      </c>
      <c r="H22" s="13">
        <f>IF(C20&lt;=25%,D20,MIN(E20:F20))</f>
        <v>2798</v>
      </c>
    </row>
    <row r="23" spans="1:9" x14ac:dyDescent="0.25">
      <c r="G23" s="12" t="s">
        <v>6</v>
      </c>
      <c r="H23" s="13">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17</v>
      </c>
      <c r="B3" s="33" t="s">
        <v>46</v>
      </c>
      <c r="C3" s="38" t="s">
        <v>7</v>
      </c>
      <c r="D3" s="38">
        <v>1</v>
      </c>
      <c r="E3" s="39">
        <f>IF(C20&lt;=25%,D20,MIN(E20:F20))</f>
        <v>420.75</v>
      </c>
      <c r="F3" s="39">
        <f>MIN(H3:H17)</f>
        <v>259.99</v>
      </c>
      <c r="G3" s="4" t="s">
        <v>139</v>
      </c>
      <c r="H3" s="15">
        <v>277.01</v>
      </c>
      <c r="I3" s="16">
        <f>IF(H3="","",(IF($C$20&lt;25%,"n/a",IF(H3&lt;=($D$20+$A$20),H3,"Descartado"))))</f>
        <v>277.01</v>
      </c>
    </row>
    <row r="4" spans="1:9" x14ac:dyDescent="0.25">
      <c r="A4" s="40"/>
      <c r="B4" s="34"/>
      <c r="C4" s="38"/>
      <c r="D4" s="38"/>
      <c r="E4" s="39"/>
      <c r="F4" s="39"/>
      <c r="G4" s="4" t="s">
        <v>140</v>
      </c>
      <c r="H4" s="15">
        <v>319</v>
      </c>
      <c r="I4" s="16">
        <f t="shared" ref="I4:I17" si="0">IF(H4="","",(IF($C$20&lt;25%,"n/a",IF(H4&lt;=($D$20+$A$20),H4,"Descartado"))))</f>
        <v>319</v>
      </c>
    </row>
    <row r="5" spans="1:9" x14ac:dyDescent="0.25">
      <c r="A5" s="40"/>
      <c r="B5" s="34"/>
      <c r="C5" s="38"/>
      <c r="D5" s="38"/>
      <c r="E5" s="39"/>
      <c r="F5" s="39"/>
      <c r="G5" s="4" t="s">
        <v>141</v>
      </c>
      <c r="H5" s="15">
        <v>308.55</v>
      </c>
      <c r="I5" s="16">
        <f t="shared" si="0"/>
        <v>308.55</v>
      </c>
    </row>
    <row r="6" spans="1:9" x14ac:dyDescent="0.25">
      <c r="A6" s="40"/>
      <c r="B6" s="34"/>
      <c r="C6" s="38"/>
      <c r="D6" s="38"/>
      <c r="E6" s="39"/>
      <c r="F6" s="39"/>
      <c r="G6" s="4" t="s">
        <v>68</v>
      </c>
      <c r="H6" s="15">
        <v>637.03</v>
      </c>
      <c r="I6" s="16">
        <f t="shared" si="0"/>
        <v>637.03</v>
      </c>
    </row>
    <row r="7" spans="1:9" x14ac:dyDescent="0.25">
      <c r="A7" s="40"/>
      <c r="B7" s="34"/>
      <c r="C7" s="38"/>
      <c r="D7" s="38"/>
      <c r="E7" s="39"/>
      <c r="F7" s="39"/>
      <c r="G7" s="4" t="s">
        <v>142</v>
      </c>
      <c r="H7" s="15">
        <v>4678</v>
      </c>
      <c r="I7" s="16" t="str">
        <f t="shared" si="0"/>
        <v>Descartado</v>
      </c>
    </row>
    <row r="8" spans="1:9" x14ac:dyDescent="0.25">
      <c r="A8" s="40"/>
      <c r="B8" s="34"/>
      <c r="C8" s="38"/>
      <c r="D8" s="38"/>
      <c r="E8" s="39"/>
      <c r="F8" s="39"/>
      <c r="G8" s="4" t="s">
        <v>110</v>
      </c>
      <c r="H8" s="15">
        <v>573.75</v>
      </c>
      <c r="I8" s="16">
        <f t="shared" si="0"/>
        <v>573.75</v>
      </c>
    </row>
    <row r="9" spans="1:9" x14ac:dyDescent="0.25">
      <c r="A9" s="40"/>
      <c r="B9" s="34"/>
      <c r="C9" s="38"/>
      <c r="D9" s="38"/>
      <c r="E9" s="39"/>
      <c r="F9" s="39"/>
      <c r="G9" s="4" t="s">
        <v>178</v>
      </c>
      <c r="H9" s="15">
        <v>259.99</v>
      </c>
      <c r="I9" s="16">
        <f t="shared" si="0"/>
        <v>259.99</v>
      </c>
    </row>
    <row r="10" spans="1:9" x14ac:dyDescent="0.25">
      <c r="A10" s="40"/>
      <c r="B10" s="34"/>
      <c r="C10" s="38"/>
      <c r="D10" s="38"/>
      <c r="E10" s="39"/>
      <c r="F10" s="39"/>
      <c r="G10" s="4" t="s">
        <v>184</v>
      </c>
      <c r="H10" s="15">
        <v>569.91</v>
      </c>
      <c r="I10" s="16">
        <f t="shared" si="0"/>
        <v>569.91</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1512.8283644504138</v>
      </c>
      <c r="B20" s="7">
        <f>COUNT(H3:H17)</f>
        <v>8</v>
      </c>
      <c r="C20" s="8">
        <f>IF(B20&lt;2,"n/a",(A20/D20))</f>
        <v>1.5875878776069239</v>
      </c>
      <c r="D20" s="9">
        <f>IFERROR(ROUND(AVERAGE(H3:H17),2),"")</f>
        <v>952.91</v>
      </c>
      <c r="E20" s="14">
        <f>IFERROR(ROUND(IF(B20&lt;2,"n/a",(IF(C20&lt;=25%,"n/a",AVERAGE(I3:I17)))),2),"n/a")</f>
        <v>420.75</v>
      </c>
      <c r="F20" s="9">
        <f>IFERROR(ROUND(MEDIAN(H3:H17),2),"")</f>
        <v>444.46</v>
      </c>
      <c r="G20" s="10" t="str">
        <f>IFERROR(INDEX(G3:G17,MATCH(H20,H3:H17,0)),"")</f>
        <v>KABUM</v>
      </c>
      <c r="H20" s="11">
        <f>F3</f>
        <v>259.99</v>
      </c>
    </row>
    <row r="22" spans="1:9" x14ac:dyDescent="0.25">
      <c r="G22" s="12" t="s">
        <v>20</v>
      </c>
      <c r="H22" s="13">
        <f>IF(C20&lt;=25%,D20,MIN(E20:F20))</f>
        <v>420.75</v>
      </c>
    </row>
    <row r="23" spans="1:9" x14ac:dyDescent="0.25">
      <c r="G23" s="12" t="s">
        <v>6</v>
      </c>
      <c r="H23" s="13">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18</v>
      </c>
      <c r="B3" s="33" t="s">
        <v>47</v>
      </c>
      <c r="C3" s="38" t="s">
        <v>7</v>
      </c>
      <c r="D3" s="38">
        <v>1</v>
      </c>
      <c r="E3" s="39">
        <f>IF(C20&lt;=25%,D20,MIN(E20:F20))</f>
        <v>93.27</v>
      </c>
      <c r="F3" s="39">
        <f>MIN(H3:H17)</f>
        <v>31.88</v>
      </c>
      <c r="G3" s="4" t="s">
        <v>143</v>
      </c>
      <c r="H3" s="15">
        <v>60</v>
      </c>
      <c r="I3" s="16">
        <f>IF(H3="","",(IF($C$20&lt;25%,"n/a",IF(H3&lt;=($D$20+$A$20),H3,"Descartado"))))</f>
        <v>60</v>
      </c>
    </row>
    <row r="4" spans="1:9" x14ac:dyDescent="0.25">
      <c r="A4" s="40"/>
      <c r="B4" s="34"/>
      <c r="C4" s="38"/>
      <c r="D4" s="38"/>
      <c r="E4" s="39"/>
      <c r="F4" s="39"/>
      <c r="G4" s="4" t="s">
        <v>144</v>
      </c>
      <c r="H4" s="15">
        <v>212.4</v>
      </c>
      <c r="I4" s="16">
        <f t="shared" ref="I4:I17" si="0">IF(H4="","",(IF($C$20&lt;25%,"n/a",IF(H4&lt;=($D$20+$A$20),H4,"Descartado"))))</f>
        <v>212.4</v>
      </c>
    </row>
    <row r="5" spans="1:9" x14ac:dyDescent="0.25">
      <c r="A5" s="40"/>
      <c r="B5" s="34"/>
      <c r="C5" s="38"/>
      <c r="D5" s="38"/>
      <c r="E5" s="39"/>
      <c r="F5" s="39"/>
      <c r="G5" s="4" t="s">
        <v>145</v>
      </c>
      <c r="H5" s="15">
        <v>34.99</v>
      </c>
      <c r="I5" s="16">
        <f t="shared" si="0"/>
        <v>34.99</v>
      </c>
    </row>
    <row r="6" spans="1:9" x14ac:dyDescent="0.25">
      <c r="A6" s="40"/>
      <c r="B6" s="34"/>
      <c r="C6" s="38"/>
      <c r="D6" s="38"/>
      <c r="E6" s="39"/>
      <c r="F6" s="39"/>
      <c r="G6" s="4" t="s">
        <v>146</v>
      </c>
      <c r="H6" s="15">
        <v>31.88</v>
      </c>
      <c r="I6" s="16">
        <f t="shared" si="0"/>
        <v>31.88</v>
      </c>
    </row>
    <row r="7" spans="1:9" x14ac:dyDescent="0.25">
      <c r="A7" s="40"/>
      <c r="B7" s="34"/>
      <c r="C7" s="38"/>
      <c r="D7" s="38"/>
      <c r="E7" s="39"/>
      <c r="F7" s="39"/>
      <c r="G7" s="4" t="s">
        <v>147</v>
      </c>
      <c r="H7" s="15">
        <v>157</v>
      </c>
      <c r="I7" s="16">
        <f t="shared" si="0"/>
        <v>157</v>
      </c>
    </row>
    <row r="8" spans="1:9" x14ac:dyDescent="0.25">
      <c r="A8" s="40"/>
      <c r="B8" s="34"/>
      <c r="C8" s="38"/>
      <c r="D8" s="38"/>
      <c r="E8" s="39"/>
      <c r="F8" s="39"/>
      <c r="G8" s="4" t="s">
        <v>148</v>
      </c>
      <c r="H8" s="15">
        <v>32.08</v>
      </c>
      <c r="I8" s="16">
        <f t="shared" si="0"/>
        <v>32.08</v>
      </c>
    </row>
    <row r="9" spans="1:9" x14ac:dyDescent="0.25">
      <c r="A9" s="40"/>
      <c r="B9" s="34"/>
      <c r="C9" s="38"/>
      <c r="D9" s="38"/>
      <c r="E9" s="39"/>
      <c r="F9" s="39"/>
      <c r="G9" s="4" t="s">
        <v>149</v>
      </c>
      <c r="H9" s="15">
        <v>625.9</v>
      </c>
      <c r="I9" s="16" t="str">
        <f t="shared" si="0"/>
        <v>Descartado</v>
      </c>
    </row>
    <row r="10" spans="1:9" x14ac:dyDescent="0.25">
      <c r="A10" s="40"/>
      <c r="B10" s="34"/>
      <c r="C10" s="38"/>
      <c r="D10" s="38"/>
      <c r="E10" s="39"/>
      <c r="F10" s="39"/>
      <c r="G10" s="4" t="s">
        <v>178</v>
      </c>
      <c r="H10" s="15">
        <v>115.87</v>
      </c>
      <c r="I10" s="16">
        <f t="shared" si="0"/>
        <v>115.87</v>
      </c>
    </row>
    <row r="11" spans="1:9" x14ac:dyDescent="0.25">
      <c r="A11" s="40"/>
      <c r="B11" s="34"/>
      <c r="C11" s="38"/>
      <c r="D11" s="38"/>
      <c r="E11" s="39"/>
      <c r="F11" s="39"/>
      <c r="G11" s="4" t="s">
        <v>184</v>
      </c>
      <c r="H11" s="15">
        <v>101.9</v>
      </c>
      <c r="I11" s="16">
        <f t="shared" si="0"/>
        <v>101.9</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188.09336850351744</v>
      </c>
      <c r="B20" s="7">
        <f>COUNT(H3:H17)</f>
        <v>9</v>
      </c>
      <c r="C20" s="8">
        <f>IF(B20&lt;2,"n/a",(A20/D20))</f>
        <v>1.233803663519301</v>
      </c>
      <c r="D20" s="9">
        <f>IFERROR(ROUND(AVERAGE(H3:H17),2),"")</f>
        <v>152.44999999999999</v>
      </c>
      <c r="E20" s="14">
        <f>IFERROR(ROUND(IF(B20&lt;2,"n/a",(IF(C20&lt;=25%,"n/a",AVERAGE(I3:I17)))),2),"n/a")</f>
        <v>93.27</v>
      </c>
      <c r="F20" s="9">
        <f>IFERROR(ROUND(MEDIAN(H3:H17),2),"")</f>
        <v>101.9</v>
      </c>
      <c r="G20" s="10" t="str">
        <f>IFERROR(INDEX(G3:G17,MATCH(H20,H3:H17,0)),"")</f>
        <v>46.543.079 MARA JULIO FACCION</v>
      </c>
      <c r="H20" s="11">
        <f>F3</f>
        <v>31.88</v>
      </c>
    </row>
    <row r="22" spans="1:9" x14ac:dyDescent="0.25">
      <c r="G22" s="12" t="s">
        <v>20</v>
      </c>
      <c r="H22" s="13">
        <f>IF(C20&lt;=25%,D20,MIN(E20:F20))</f>
        <v>93.27</v>
      </c>
    </row>
    <row r="23" spans="1:9" x14ac:dyDescent="0.25">
      <c r="G23" s="12" t="s">
        <v>6</v>
      </c>
      <c r="H23" s="13">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19</v>
      </c>
      <c r="B3" s="33" t="s">
        <v>48</v>
      </c>
      <c r="C3" s="38" t="s">
        <v>7</v>
      </c>
      <c r="D3" s="38">
        <v>2</v>
      </c>
      <c r="E3" s="39">
        <f>IF(C20&lt;=25%,D20,MIN(E20:F20))</f>
        <v>741.85</v>
      </c>
      <c r="F3" s="39">
        <f>MIN(H3:H17)</f>
        <v>569.99</v>
      </c>
      <c r="G3" s="4" t="s">
        <v>178</v>
      </c>
      <c r="H3" s="15">
        <v>1096.79</v>
      </c>
      <c r="I3" s="16" t="str">
        <f>IF(H3="","",(IF($C$20&lt;25%,"n/a",IF(H3&lt;=($D$20+$A$20),H3,"Descartado"))))</f>
        <v>Descartado</v>
      </c>
    </row>
    <row r="4" spans="1:9" x14ac:dyDescent="0.25">
      <c r="A4" s="40"/>
      <c r="B4" s="34"/>
      <c r="C4" s="38"/>
      <c r="D4" s="38"/>
      <c r="E4" s="39"/>
      <c r="F4" s="39"/>
      <c r="G4" s="4" t="s">
        <v>171</v>
      </c>
      <c r="H4" s="15">
        <v>998.9</v>
      </c>
      <c r="I4" s="16">
        <f t="shared" ref="I4:I17" si="0">IF(H4="","",(IF($C$20&lt;25%,"n/a",IF(H4&lt;=($D$20+$A$20),H4,"Descartado"))))</f>
        <v>998.9</v>
      </c>
    </row>
    <row r="5" spans="1:9" x14ac:dyDescent="0.25">
      <c r="A5" s="40"/>
      <c r="B5" s="34"/>
      <c r="C5" s="38"/>
      <c r="D5" s="38"/>
      <c r="E5" s="39"/>
      <c r="F5" s="39"/>
      <c r="G5" s="4" t="s">
        <v>185</v>
      </c>
      <c r="H5" s="15">
        <v>569.99</v>
      </c>
      <c r="I5" s="16">
        <f t="shared" si="0"/>
        <v>569.99</v>
      </c>
    </row>
    <row r="6" spans="1:9" x14ac:dyDescent="0.25">
      <c r="A6" s="40"/>
      <c r="B6" s="34"/>
      <c r="C6" s="38"/>
      <c r="D6" s="38"/>
      <c r="E6" s="39"/>
      <c r="F6" s="39"/>
      <c r="G6" s="4" t="s">
        <v>186</v>
      </c>
      <c r="H6" s="15">
        <v>599</v>
      </c>
      <c r="I6" s="16">
        <f t="shared" si="0"/>
        <v>599</v>
      </c>
    </row>
    <row r="7" spans="1:9" x14ac:dyDescent="0.25">
      <c r="A7" s="40"/>
      <c r="B7" s="34"/>
      <c r="C7" s="38"/>
      <c r="D7" s="38"/>
      <c r="E7" s="39"/>
      <c r="F7" s="39"/>
      <c r="G7" s="4" t="s">
        <v>187</v>
      </c>
      <c r="H7" s="15">
        <v>799.49</v>
      </c>
      <c r="I7" s="16">
        <f t="shared" si="0"/>
        <v>799.49</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234.58890453301464</v>
      </c>
      <c r="B20" s="7">
        <f>COUNT(H3:H17)</f>
        <v>5</v>
      </c>
      <c r="C20" s="8">
        <f>IF(B20&lt;2,"n/a",(A20/D20))</f>
        <v>0.28860758649780965</v>
      </c>
      <c r="D20" s="9">
        <f>IFERROR(ROUND(AVERAGE(H3:H17),2),"")</f>
        <v>812.83</v>
      </c>
      <c r="E20" s="14">
        <f>IFERROR(ROUND(IF(B20&lt;2,"n/a",(IF(C20&lt;=25%,"n/a",AVERAGE(I3:I17)))),2),"n/a")</f>
        <v>741.85</v>
      </c>
      <c r="F20" s="9">
        <f>IFERROR(ROUND(MEDIAN(H3:H17),2),"")</f>
        <v>799.49</v>
      </c>
      <c r="G20" s="10" t="str">
        <f>IFERROR(INDEX(G3:G17,MATCH(H20,H3:H17,0)),"")</f>
        <v>RCK AUDIO</v>
      </c>
      <c r="H20" s="11">
        <f>F3</f>
        <v>569.99</v>
      </c>
    </row>
    <row r="22" spans="1:9" x14ac:dyDescent="0.25">
      <c r="G22" s="12" t="s">
        <v>20</v>
      </c>
      <c r="H22" s="13">
        <f>IF(C20&lt;=25%,D20,MIN(E20:F20))</f>
        <v>741.85</v>
      </c>
    </row>
    <row r="23" spans="1:9" x14ac:dyDescent="0.25">
      <c r="G23" s="12" t="s">
        <v>6</v>
      </c>
      <c r="H23" s="13">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2</v>
      </c>
      <c r="B3" s="33" t="s">
        <v>31</v>
      </c>
      <c r="C3" s="38" t="s">
        <v>7</v>
      </c>
      <c r="D3" s="38">
        <v>2</v>
      </c>
      <c r="E3" s="39">
        <f>IF(C20&lt;=25%,D20,MIN(E20:F20))</f>
        <v>1669.25</v>
      </c>
      <c r="F3" s="39">
        <f>MIN(H3:H17)</f>
        <v>285</v>
      </c>
      <c r="G3" s="4" t="s">
        <v>61</v>
      </c>
      <c r="H3" s="15">
        <v>2480</v>
      </c>
      <c r="I3" s="16">
        <f>IF(H3="","",(IF($C$20&lt;25%,"n/a",IF(H3&lt;=($D$20+$A$20),H3,"Descartado"))))</f>
        <v>2480</v>
      </c>
    </row>
    <row r="4" spans="1:9" x14ac:dyDescent="0.25">
      <c r="A4" s="40"/>
      <c r="B4" s="34"/>
      <c r="C4" s="38"/>
      <c r="D4" s="38"/>
      <c r="E4" s="39"/>
      <c r="F4" s="39"/>
      <c r="G4" s="4" t="s">
        <v>62</v>
      </c>
      <c r="H4" s="15">
        <v>616</v>
      </c>
      <c r="I4" s="16">
        <f t="shared" ref="I4:I17" si="0">IF(H4="","",(IF($C$20&lt;25%,"n/a",IF(H4&lt;=($D$20+$A$20),H4,"Descartado"))))</f>
        <v>616</v>
      </c>
    </row>
    <row r="5" spans="1:9" x14ac:dyDescent="0.25">
      <c r="A5" s="40"/>
      <c r="B5" s="34"/>
      <c r="C5" s="38"/>
      <c r="D5" s="38"/>
      <c r="E5" s="39"/>
      <c r="F5" s="39"/>
      <c r="G5" s="4" t="s">
        <v>63</v>
      </c>
      <c r="H5" s="15">
        <v>7900</v>
      </c>
      <c r="I5" s="16" t="str">
        <f t="shared" si="0"/>
        <v>Descartado</v>
      </c>
    </row>
    <row r="6" spans="1:9" x14ac:dyDescent="0.25">
      <c r="A6" s="40"/>
      <c r="B6" s="34"/>
      <c r="C6" s="38"/>
      <c r="D6" s="38"/>
      <c r="E6" s="39"/>
      <c r="F6" s="39"/>
      <c r="G6" s="4" t="s">
        <v>64</v>
      </c>
      <c r="H6" s="15">
        <v>285</v>
      </c>
      <c r="I6" s="16">
        <f t="shared" si="0"/>
        <v>285</v>
      </c>
    </row>
    <row r="7" spans="1:9" x14ac:dyDescent="0.25">
      <c r="A7" s="40"/>
      <c r="B7" s="34"/>
      <c r="C7" s="38"/>
      <c r="D7" s="38"/>
      <c r="E7" s="39"/>
      <c r="F7" s="39"/>
      <c r="G7" s="4" t="s">
        <v>65</v>
      </c>
      <c r="H7" s="15">
        <v>4600</v>
      </c>
      <c r="I7" s="16">
        <f t="shared" si="0"/>
        <v>4600</v>
      </c>
    </row>
    <row r="8" spans="1:9" x14ac:dyDescent="0.25">
      <c r="A8" s="40"/>
      <c r="B8" s="34"/>
      <c r="C8" s="38"/>
      <c r="D8" s="38"/>
      <c r="E8" s="39"/>
      <c r="F8" s="39"/>
      <c r="G8" s="4" t="s">
        <v>170</v>
      </c>
      <c r="H8" s="15">
        <v>1669.25</v>
      </c>
      <c r="I8" s="16">
        <f t="shared" si="0"/>
        <v>1669.25</v>
      </c>
    </row>
    <row r="9" spans="1:9" x14ac:dyDescent="0.25">
      <c r="A9" s="40"/>
      <c r="B9" s="34"/>
      <c r="C9" s="38"/>
      <c r="D9" s="38"/>
      <c r="E9" s="39"/>
      <c r="F9" s="39"/>
      <c r="G9" s="4" t="s">
        <v>171</v>
      </c>
      <c r="H9" s="15">
        <v>679.9</v>
      </c>
      <c r="I9" s="16">
        <f t="shared" si="0"/>
        <v>679.9</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2767.4546281177722</v>
      </c>
      <c r="B20" s="7">
        <f>COUNT(H3:H17)</f>
        <v>7</v>
      </c>
      <c r="C20" s="8">
        <f>IF(B20&lt;2,"n/a",(A20/D20))</f>
        <v>1.0626440892665514</v>
      </c>
      <c r="D20" s="9">
        <f>IFERROR(ROUND(AVERAGE(H3:H17),2),"")</f>
        <v>2604.31</v>
      </c>
      <c r="E20" s="14">
        <f>IFERROR(ROUND(IF(B20&lt;2,"n/a",(IF(C20&lt;=25%,"n/a",AVERAGE(I3:I17)))),2),"n/a")</f>
        <v>1721.69</v>
      </c>
      <c r="F20" s="9">
        <f>IFERROR(ROUND(MEDIAN(H3:H17),2),"")</f>
        <v>1669.25</v>
      </c>
      <c r="G20" s="10" t="str">
        <f>IFERROR(INDEX(G3:G17,MATCH(H20,H3:H17,0)),"")</f>
        <v>PEDRO DIAS FERREIRA JUNIOR</v>
      </c>
      <c r="H20" s="11">
        <f>F3</f>
        <v>285</v>
      </c>
    </row>
    <row r="22" spans="1:9" x14ac:dyDescent="0.25">
      <c r="G22" s="12" t="s">
        <v>20</v>
      </c>
      <c r="H22" s="13">
        <f>IF(C20&lt;=25%,D20,MIN(E20:F20))</f>
        <v>1669.25</v>
      </c>
    </row>
    <row r="23" spans="1:9" x14ac:dyDescent="0.25">
      <c r="G23" s="12" t="s">
        <v>6</v>
      </c>
      <c r="H23" s="13">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20</v>
      </c>
      <c r="B3" s="33" t="s">
        <v>49</v>
      </c>
      <c r="C3" s="38" t="s">
        <v>7</v>
      </c>
      <c r="D3" s="38">
        <v>8</v>
      </c>
      <c r="E3" s="39">
        <f>IF(C20&lt;=25%,D20,MIN(E20:F20))</f>
        <v>1288.28</v>
      </c>
      <c r="F3" s="39">
        <f>MIN(H3:H17)</f>
        <v>990</v>
      </c>
      <c r="G3" s="4" t="s">
        <v>188</v>
      </c>
      <c r="H3" s="15">
        <v>990</v>
      </c>
      <c r="I3" s="16" t="str">
        <f>IF(H3="","",(IF($C$20&lt;25%,"n/a",IF(H3&lt;=($D$20+$A$20),H3,"Descartado"))))</f>
        <v>n/a</v>
      </c>
    </row>
    <row r="4" spans="1:9" x14ac:dyDescent="0.25">
      <c r="A4" s="40"/>
      <c r="B4" s="34"/>
      <c r="C4" s="38"/>
      <c r="D4" s="38"/>
      <c r="E4" s="39"/>
      <c r="F4" s="39"/>
      <c r="G4" s="4" t="s">
        <v>189</v>
      </c>
      <c r="H4" s="15">
        <v>1399</v>
      </c>
      <c r="I4" s="16" t="str">
        <f t="shared" ref="I4:I17" si="0">IF(H4="","",(IF($C$20&lt;25%,"n/a",IF(H4&lt;=($D$20+$A$20),H4,"Descartado"))))</f>
        <v>n/a</v>
      </c>
    </row>
    <row r="5" spans="1:9" x14ac:dyDescent="0.25">
      <c r="A5" s="40"/>
      <c r="B5" s="34"/>
      <c r="C5" s="38"/>
      <c r="D5" s="38"/>
      <c r="E5" s="39"/>
      <c r="F5" s="39"/>
      <c r="G5" s="4" t="s">
        <v>190</v>
      </c>
      <c r="H5" s="15">
        <v>1265.0999999999999</v>
      </c>
      <c r="I5" s="16" t="str">
        <f t="shared" si="0"/>
        <v>n/a</v>
      </c>
    </row>
    <row r="6" spans="1:9" x14ac:dyDescent="0.25">
      <c r="A6" s="40"/>
      <c r="B6" s="34"/>
      <c r="C6" s="38"/>
      <c r="D6" s="38"/>
      <c r="E6" s="39"/>
      <c r="F6" s="39"/>
      <c r="G6" s="4" t="s">
        <v>191</v>
      </c>
      <c r="H6" s="15">
        <v>1499</v>
      </c>
      <c r="I6" s="16" t="str">
        <f t="shared" si="0"/>
        <v>n/a</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220.7337064579543</v>
      </c>
      <c r="B20" s="7">
        <f>COUNT(H3:H17)</f>
        <v>4</v>
      </c>
      <c r="C20" s="8">
        <f>IF(B20&lt;2,"n/a",(A20/D20))</f>
        <v>0.17133985349299399</v>
      </c>
      <c r="D20" s="9">
        <f>IFERROR(ROUND(AVERAGE(H3:H17),2),"")</f>
        <v>1288.28</v>
      </c>
      <c r="E20" s="14" t="str">
        <f>IFERROR(ROUND(IF(B20&lt;2,"n/a",(IF(C20&lt;=25%,"n/a",AVERAGE(I3:I17)))),2),"n/a")</f>
        <v>n/a</v>
      </c>
      <c r="F20" s="9">
        <f>IFERROR(ROUND(MEDIAN(H3:H17),2),"")</f>
        <v>1332.05</v>
      </c>
      <c r="G20" s="10" t="str">
        <f>IFERROR(INDEX(G3:G17,MATCH(H20,H3:H17,0)),"")</f>
        <v>BELLA PHOTO</v>
      </c>
      <c r="H20" s="11">
        <f>F3</f>
        <v>990</v>
      </c>
    </row>
    <row r="22" spans="1:9" x14ac:dyDescent="0.25">
      <c r="G22" s="12" t="s">
        <v>20</v>
      </c>
      <c r="H22" s="13">
        <f>IF(C20&lt;=25%,D20,MIN(E20:F20))</f>
        <v>1288.28</v>
      </c>
    </row>
    <row r="23" spans="1:9" x14ac:dyDescent="0.25">
      <c r="G23" s="12" t="s">
        <v>6</v>
      </c>
      <c r="H23" s="13">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21</v>
      </c>
      <c r="B3" s="33" t="s">
        <v>50</v>
      </c>
      <c r="C3" s="38" t="s">
        <v>7</v>
      </c>
      <c r="D3" s="38">
        <v>2</v>
      </c>
      <c r="E3" s="39">
        <f>IF(C20&lt;=25%,D20,MIN(E20:F20))</f>
        <v>454.84</v>
      </c>
      <c r="F3" s="39">
        <f>MIN(H3:H17)</f>
        <v>136</v>
      </c>
      <c r="G3" s="4" t="s">
        <v>150</v>
      </c>
      <c r="H3" s="15">
        <v>136</v>
      </c>
      <c r="I3" s="16">
        <f>IF(H3="","",(IF($C$20&lt;25%,"n/a",IF(H3&lt;=($D$20+$A$20),H3,"Descartado"))))</f>
        <v>136</v>
      </c>
    </row>
    <row r="4" spans="1:9" x14ac:dyDescent="0.25">
      <c r="A4" s="40"/>
      <c r="B4" s="34"/>
      <c r="C4" s="38"/>
      <c r="D4" s="38"/>
      <c r="E4" s="39"/>
      <c r="F4" s="39"/>
      <c r="G4" s="4" t="s">
        <v>151</v>
      </c>
      <c r="H4" s="15">
        <v>200</v>
      </c>
      <c r="I4" s="16">
        <f t="shared" ref="I4:I17" si="0">IF(H4="","",(IF($C$20&lt;25%,"n/a",IF(H4&lt;=($D$20+$A$20),H4,"Descartado"))))</f>
        <v>200</v>
      </c>
    </row>
    <row r="5" spans="1:9" x14ac:dyDescent="0.25">
      <c r="A5" s="40"/>
      <c r="B5" s="34"/>
      <c r="C5" s="38"/>
      <c r="D5" s="38"/>
      <c r="E5" s="39"/>
      <c r="F5" s="39"/>
      <c r="G5" s="4" t="s">
        <v>152</v>
      </c>
      <c r="H5" s="15">
        <v>300.99</v>
      </c>
      <c r="I5" s="16">
        <f t="shared" si="0"/>
        <v>300.99</v>
      </c>
    </row>
    <row r="6" spans="1:9" x14ac:dyDescent="0.25">
      <c r="A6" s="40"/>
      <c r="B6" s="34"/>
      <c r="C6" s="38"/>
      <c r="D6" s="38"/>
      <c r="E6" s="39"/>
      <c r="F6" s="39"/>
      <c r="G6" s="4" t="s">
        <v>153</v>
      </c>
      <c r="H6" s="15">
        <v>455</v>
      </c>
      <c r="I6" s="16">
        <f t="shared" si="0"/>
        <v>455</v>
      </c>
    </row>
    <row r="7" spans="1:9" x14ac:dyDescent="0.25">
      <c r="A7" s="40"/>
      <c r="B7" s="34"/>
      <c r="C7" s="38"/>
      <c r="D7" s="38"/>
      <c r="E7" s="39"/>
      <c r="F7" s="39"/>
      <c r="G7" s="4" t="s">
        <v>78</v>
      </c>
      <c r="H7" s="15">
        <v>554</v>
      </c>
      <c r="I7" s="16">
        <f t="shared" si="0"/>
        <v>554</v>
      </c>
    </row>
    <row r="8" spans="1:9" x14ac:dyDescent="0.25">
      <c r="A8" s="40"/>
      <c r="B8" s="34"/>
      <c r="C8" s="38"/>
      <c r="D8" s="38"/>
      <c r="E8" s="39"/>
      <c r="F8" s="39"/>
      <c r="G8" s="4" t="s">
        <v>133</v>
      </c>
      <c r="H8" s="15">
        <v>650.94000000000005</v>
      </c>
      <c r="I8" s="16">
        <f t="shared" si="0"/>
        <v>650.94000000000005</v>
      </c>
    </row>
    <row r="9" spans="1:9" x14ac:dyDescent="0.25">
      <c r="A9" s="40"/>
      <c r="B9" s="34"/>
      <c r="C9" s="38"/>
      <c r="D9" s="38"/>
      <c r="E9" s="39"/>
      <c r="F9" s="39"/>
      <c r="G9" s="4" t="s">
        <v>154</v>
      </c>
      <c r="H9" s="15">
        <v>683.75</v>
      </c>
      <c r="I9" s="16">
        <f t="shared" si="0"/>
        <v>683.75</v>
      </c>
    </row>
    <row r="10" spans="1:9" x14ac:dyDescent="0.25">
      <c r="A10" s="40"/>
      <c r="B10" s="34"/>
      <c r="C10" s="38"/>
      <c r="D10" s="38"/>
      <c r="E10" s="39"/>
      <c r="F10" s="39"/>
      <c r="G10" s="4" t="s">
        <v>155</v>
      </c>
      <c r="H10" s="15">
        <v>687</v>
      </c>
      <c r="I10" s="16">
        <f t="shared" si="0"/>
        <v>687</v>
      </c>
    </row>
    <row r="11" spans="1:9" x14ac:dyDescent="0.25">
      <c r="A11" s="40"/>
      <c r="B11" s="34"/>
      <c r="C11" s="38"/>
      <c r="D11" s="38"/>
      <c r="E11" s="39"/>
      <c r="F11" s="39"/>
      <c r="G11" s="4" t="s">
        <v>192</v>
      </c>
      <c r="H11" s="15">
        <v>565.11</v>
      </c>
      <c r="I11" s="16">
        <f t="shared" si="0"/>
        <v>565.11</v>
      </c>
    </row>
    <row r="12" spans="1:9" x14ac:dyDescent="0.25">
      <c r="A12" s="40"/>
      <c r="B12" s="34"/>
      <c r="C12" s="38"/>
      <c r="D12" s="38"/>
      <c r="E12" s="39"/>
      <c r="F12" s="39"/>
      <c r="G12" s="4" t="s">
        <v>168</v>
      </c>
      <c r="H12" s="15">
        <v>750</v>
      </c>
      <c r="I12" s="16" t="str">
        <f t="shared" si="0"/>
        <v>Descartado</v>
      </c>
    </row>
    <row r="13" spans="1:9" x14ac:dyDescent="0.25">
      <c r="A13" s="40"/>
      <c r="B13" s="34"/>
      <c r="C13" s="38"/>
      <c r="D13" s="38"/>
      <c r="E13" s="39"/>
      <c r="F13" s="39"/>
      <c r="G13" s="4" t="s">
        <v>193</v>
      </c>
      <c r="H13" s="15">
        <v>197.99</v>
      </c>
      <c r="I13" s="16">
        <f t="shared" si="0"/>
        <v>197.99</v>
      </c>
    </row>
    <row r="14" spans="1:9" x14ac:dyDescent="0.25">
      <c r="A14" s="40"/>
      <c r="B14" s="34"/>
      <c r="C14" s="38"/>
      <c r="D14" s="38"/>
      <c r="E14" s="39"/>
      <c r="F14" s="39"/>
      <c r="G14" s="4" t="s">
        <v>194</v>
      </c>
      <c r="H14" s="15">
        <v>572.5</v>
      </c>
      <c r="I14" s="16">
        <f t="shared" si="0"/>
        <v>572.5</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216.73003005415001</v>
      </c>
      <c r="B20" s="7">
        <f>COUNT(H3:H17)</f>
        <v>12</v>
      </c>
      <c r="C20" s="8">
        <f>IF(B20&lt;2,"n/a",(A20/D20))</f>
        <v>0.452048285612694</v>
      </c>
      <c r="D20" s="9">
        <f>IFERROR(ROUND(AVERAGE(H3:H17),2),"")</f>
        <v>479.44</v>
      </c>
      <c r="E20" s="14">
        <f>IFERROR(ROUND(IF(B20&lt;2,"n/a",(IF(C20&lt;=25%,"n/a",AVERAGE(I3:I17)))),2),"n/a")</f>
        <v>454.84</v>
      </c>
      <c r="F20" s="9">
        <f>IFERROR(ROUND(MEDIAN(H3:H17),2),"")</f>
        <v>559.55999999999995</v>
      </c>
      <c r="G20" s="10" t="str">
        <f>IFERROR(INDEX(G3:G17,MATCH(H20,H3:H17,0)),"")</f>
        <v>4 NINJAS COMERCIO E DISTRIBUICAO DE PRODUTOS LTDA</v>
      </c>
      <c r="H20" s="11">
        <f>F3</f>
        <v>136</v>
      </c>
    </row>
    <row r="22" spans="1:9" x14ac:dyDescent="0.25">
      <c r="G22" s="12" t="s">
        <v>20</v>
      </c>
      <c r="H22" s="13">
        <f>IF(C20&lt;=25%,D20,MIN(E20:F20))</f>
        <v>454.84</v>
      </c>
    </row>
    <row r="23" spans="1:9" x14ac:dyDescent="0.25">
      <c r="G23" s="12" t="s">
        <v>6</v>
      </c>
      <c r="H23" s="13">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22</v>
      </c>
      <c r="B3" s="33" t="s">
        <v>51</v>
      </c>
      <c r="C3" s="38" t="s">
        <v>7</v>
      </c>
      <c r="D3" s="38">
        <v>15</v>
      </c>
      <c r="E3" s="39">
        <f>IF(C20&lt;=25%,D20,MIN(E20:F20))</f>
        <v>1692.18</v>
      </c>
      <c r="F3" s="39">
        <f>MIN(H3:H17)</f>
        <v>900.9</v>
      </c>
      <c r="G3" s="4" t="s">
        <v>128</v>
      </c>
      <c r="H3" s="15">
        <v>900.9</v>
      </c>
      <c r="I3" s="16">
        <f>IF(H3="","",(IF($C$20&lt;25%,"n/a",IF(H3&lt;=($D$20+$A$20),H3,"Descartado"))))</f>
        <v>900.9</v>
      </c>
    </row>
    <row r="4" spans="1:9" x14ac:dyDescent="0.25">
      <c r="A4" s="40"/>
      <c r="B4" s="34"/>
      <c r="C4" s="38"/>
      <c r="D4" s="38"/>
      <c r="E4" s="39"/>
      <c r="F4" s="39"/>
      <c r="G4" s="4" t="s">
        <v>156</v>
      </c>
      <c r="H4" s="15">
        <v>1650</v>
      </c>
      <c r="I4" s="16">
        <f t="shared" ref="I4:I17" si="0">IF(H4="","",(IF($C$20&lt;25%,"n/a",IF(H4&lt;=($D$20+$A$20),H4,"Descartado"))))</f>
        <v>1650</v>
      </c>
    </row>
    <row r="5" spans="1:9" x14ac:dyDescent="0.25">
      <c r="A5" s="40"/>
      <c r="B5" s="34"/>
      <c r="C5" s="38"/>
      <c r="D5" s="38"/>
      <c r="E5" s="39"/>
      <c r="F5" s="39"/>
      <c r="G5" s="4" t="s">
        <v>137</v>
      </c>
      <c r="H5" s="15">
        <v>2399</v>
      </c>
      <c r="I5" s="16">
        <f t="shared" si="0"/>
        <v>2399</v>
      </c>
    </row>
    <row r="6" spans="1:9" x14ac:dyDescent="0.25">
      <c r="A6" s="40"/>
      <c r="B6" s="34"/>
      <c r="C6" s="38"/>
      <c r="D6" s="38"/>
      <c r="E6" s="39"/>
      <c r="F6" s="39"/>
      <c r="G6" s="4" t="s">
        <v>157</v>
      </c>
      <c r="H6" s="15">
        <v>3034</v>
      </c>
      <c r="I6" s="16" t="str">
        <f t="shared" si="0"/>
        <v>Descartado</v>
      </c>
    </row>
    <row r="7" spans="1:9" x14ac:dyDescent="0.25">
      <c r="A7" s="40"/>
      <c r="B7" s="34"/>
      <c r="C7" s="38"/>
      <c r="D7" s="38"/>
      <c r="E7" s="39"/>
      <c r="F7" s="39"/>
      <c r="G7" s="4" t="s">
        <v>195</v>
      </c>
      <c r="H7" s="15">
        <v>2019</v>
      </c>
      <c r="I7" s="16">
        <f t="shared" si="0"/>
        <v>2019</v>
      </c>
    </row>
    <row r="8" spans="1:9" x14ac:dyDescent="0.25">
      <c r="A8" s="40"/>
      <c r="B8" s="34"/>
      <c r="C8" s="38"/>
      <c r="D8" s="38"/>
      <c r="E8" s="39"/>
      <c r="F8" s="39"/>
      <c r="G8" s="4" t="s">
        <v>196</v>
      </c>
      <c r="H8" s="15">
        <v>1492</v>
      </c>
      <c r="I8" s="16">
        <f t="shared" si="0"/>
        <v>1492</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744.95393258017475</v>
      </c>
      <c r="B20" s="7">
        <f>COUNT(H3:H17)</f>
        <v>6</v>
      </c>
      <c r="C20" s="8">
        <f>IF(B20&lt;2,"n/a",(A20/D20))</f>
        <v>0.3888433843368243</v>
      </c>
      <c r="D20" s="9">
        <f>IFERROR(ROUND(AVERAGE(H3:H17),2),"")</f>
        <v>1915.82</v>
      </c>
      <c r="E20" s="14">
        <f>IFERROR(ROUND(IF(B20&lt;2,"n/a",(IF(C20&lt;=25%,"n/a",AVERAGE(I3:I17)))),2),"n/a")</f>
        <v>1692.18</v>
      </c>
      <c r="F20" s="9">
        <f>IFERROR(ROUND(MEDIAN(H3:H17),2),"")</f>
        <v>1834.5</v>
      </c>
      <c r="G20" s="10" t="str">
        <f>IFERROR(INDEX(G3:G17,MATCH(H20,H3:H17,0)),"")</f>
        <v>AUDIOVISAO ELETRO E CENTRAL DE PRODUTOS LTDA</v>
      </c>
      <c r="H20" s="11">
        <f>F3</f>
        <v>900.9</v>
      </c>
    </row>
    <row r="22" spans="1:9" x14ac:dyDescent="0.25">
      <c r="G22" s="12" t="s">
        <v>20</v>
      </c>
      <c r="H22" s="13">
        <f>IF(C20&lt;=25%,D20,MIN(E20:F20))</f>
        <v>1692.18</v>
      </c>
    </row>
    <row r="23" spans="1:9" x14ac:dyDescent="0.25">
      <c r="G23" s="12" t="s">
        <v>6</v>
      </c>
      <c r="H23" s="13">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23</v>
      </c>
      <c r="B3" s="33" t="s">
        <v>52</v>
      </c>
      <c r="C3" s="38" t="s">
        <v>7</v>
      </c>
      <c r="D3" s="38">
        <v>1</v>
      </c>
      <c r="E3" s="39">
        <f>IF(C20&lt;=25%,D20,MIN(E20:F20))</f>
        <v>2269.12</v>
      </c>
      <c r="F3" s="39">
        <f>MIN(H3:H17)</f>
        <v>1299</v>
      </c>
      <c r="G3" s="4" t="s">
        <v>158</v>
      </c>
      <c r="H3" s="15">
        <v>1299</v>
      </c>
      <c r="I3" s="16">
        <f>IF(H3="","",(IF($C$20&lt;25%,"n/a",IF(H3&lt;=($D$20+$A$20),H3,"Descartado"))))</f>
        <v>1299</v>
      </c>
    </row>
    <row r="4" spans="1:9" x14ac:dyDescent="0.25">
      <c r="A4" s="40"/>
      <c r="B4" s="34"/>
      <c r="C4" s="38"/>
      <c r="D4" s="38"/>
      <c r="E4" s="39"/>
      <c r="F4" s="39"/>
      <c r="G4" s="4" t="s">
        <v>99</v>
      </c>
      <c r="H4" s="15">
        <v>1689</v>
      </c>
      <c r="I4" s="16">
        <f t="shared" ref="I4:I17" si="0">IF(H4="","",(IF($C$20&lt;25%,"n/a",IF(H4&lt;=($D$20+$A$20),H4,"Descartado"))))</f>
        <v>1689</v>
      </c>
    </row>
    <row r="5" spans="1:9" x14ac:dyDescent="0.25">
      <c r="A5" s="40"/>
      <c r="B5" s="34"/>
      <c r="C5" s="38"/>
      <c r="D5" s="38"/>
      <c r="E5" s="39"/>
      <c r="F5" s="39"/>
      <c r="G5" s="4" t="s">
        <v>130</v>
      </c>
      <c r="H5" s="15">
        <v>4779.97</v>
      </c>
      <c r="I5" s="16" t="str">
        <f t="shared" si="0"/>
        <v>Descartado</v>
      </c>
    </row>
    <row r="6" spans="1:9" x14ac:dyDescent="0.25">
      <c r="A6" s="40"/>
      <c r="B6" s="34"/>
      <c r="C6" s="38"/>
      <c r="D6" s="38"/>
      <c r="E6" s="39"/>
      <c r="F6" s="39"/>
      <c r="G6" s="4" t="s">
        <v>159</v>
      </c>
      <c r="H6" s="15">
        <v>4768</v>
      </c>
      <c r="I6" s="16" t="str">
        <f t="shared" si="0"/>
        <v>Descartado</v>
      </c>
    </row>
    <row r="7" spans="1:9" x14ac:dyDescent="0.25">
      <c r="A7" s="40"/>
      <c r="B7" s="34"/>
      <c r="C7" s="38"/>
      <c r="D7" s="38"/>
      <c r="E7" s="39"/>
      <c r="F7" s="39"/>
      <c r="G7" s="4" t="s">
        <v>197</v>
      </c>
      <c r="H7" s="15">
        <v>2249.1</v>
      </c>
      <c r="I7" s="16">
        <f t="shared" si="0"/>
        <v>2249.1</v>
      </c>
    </row>
    <row r="8" spans="1:9" x14ac:dyDescent="0.25">
      <c r="A8" s="40"/>
      <c r="B8" s="34"/>
      <c r="C8" s="38"/>
      <c r="D8" s="38"/>
      <c r="E8" s="39"/>
      <c r="F8" s="39"/>
      <c r="G8" s="4" t="s">
        <v>198</v>
      </c>
      <c r="H8" s="15">
        <v>2554.9899999999998</v>
      </c>
      <c r="I8" s="16">
        <f t="shared" si="0"/>
        <v>2554.9899999999998</v>
      </c>
    </row>
    <row r="9" spans="1:9" x14ac:dyDescent="0.25">
      <c r="A9" s="40"/>
      <c r="B9" s="34"/>
      <c r="C9" s="38"/>
      <c r="D9" s="38"/>
      <c r="E9" s="39"/>
      <c r="F9" s="39"/>
      <c r="G9" s="4" t="s">
        <v>199</v>
      </c>
      <c r="H9" s="15">
        <v>4045.24</v>
      </c>
      <c r="I9" s="16">
        <f t="shared" si="0"/>
        <v>4045.24</v>
      </c>
    </row>
    <row r="10" spans="1:9" x14ac:dyDescent="0.25">
      <c r="A10" s="40"/>
      <c r="B10" s="34"/>
      <c r="C10" s="38"/>
      <c r="D10" s="38"/>
      <c r="E10" s="39"/>
      <c r="F10" s="39"/>
      <c r="G10" s="4" t="s">
        <v>200</v>
      </c>
      <c r="H10" s="15">
        <v>1777.41</v>
      </c>
      <c r="I10" s="16">
        <f t="shared" si="0"/>
        <v>1777.41</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1422.6607395343763</v>
      </c>
      <c r="B20" s="7">
        <f>COUNT(H3:H17)</f>
        <v>8</v>
      </c>
      <c r="C20" s="8">
        <f>IF(B20&lt;2,"n/a",(A20/D20))</f>
        <v>0.4913622370893837</v>
      </c>
      <c r="D20" s="9">
        <f>IFERROR(ROUND(AVERAGE(H3:H17),2),"")</f>
        <v>2895.34</v>
      </c>
      <c r="E20" s="14">
        <f>IFERROR(ROUND(IF(B20&lt;2,"n/a",(IF(C20&lt;=25%,"n/a",AVERAGE(I3:I17)))),2),"n/a")</f>
        <v>2269.12</v>
      </c>
      <c r="F20" s="9">
        <f>IFERROR(ROUND(MEDIAN(H3:H17),2),"")</f>
        <v>2402.0500000000002</v>
      </c>
      <c r="G20" s="10" t="str">
        <f>IFERROR(INDEX(G3:G17,MATCH(H20,H3:H17,0)),"")</f>
        <v>TECNO TRADE COMERCIO E SERVICOS DE EQUIPAMENTOS ELETRONICOS E SONORIZACAO LTDA.</v>
      </c>
      <c r="H20" s="11">
        <f>F3</f>
        <v>1299</v>
      </c>
    </row>
    <row r="22" spans="1:9" x14ac:dyDescent="0.25">
      <c r="G22" s="12" t="s">
        <v>20</v>
      </c>
      <c r="H22" s="13">
        <f>IF(C20&lt;=25%,D20,MIN(E20:F20))</f>
        <v>2269.12</v>
      </c>
    </row>
    <row r="23" spans="1:9" x14ac:dyDescent="0.25">
      <c r="G23" s="12" t="s">
        <v>6</v>
      </c>
      <c r="H23" s="13">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24</v>
      </c>
      <c r="B3" s="33" t="s">
        <v>53</v>
      </c>
      <c r="C3" s="38" t="s">
        <v>7</v>
      </c>
      <c r="D3" s="38">
        <v>6</v>
      </c>
      <c r="E3" s="39">
        <f>IF(C20&lt;=25%,D20,MIN(E20:F20))</f>
        <v>150.47</v>
      </c>
      <c r="F3" s="39">
        <f>MIN(H3:H17)</f>
        <v>116.55</v>
      </c>
      <c r="G3" s="4" t="s">
        <v>178</v>
      </c>
      <c r="H3" s="15">
        <v>116.55</v>
      </c>
      <c r="I3" s="16" t="str">
        <f>IF(H3="","",(IF($C$20&lt;25%,"n/a",IF(H3&lt;=($D$20+$A$20),H3,"Descartado"))))</f>
        <v>n/a</v>
      </c>
    </row>
    <row r="4" spans="1:9" x14ac:dyDescent="0.25">
      <c r="A4" s="40"/>
      <c r="B4" s="34"/>
      <c r="C4" s="38"/>
      <c r="D4" s="38"/>
      <c r="E4" s="39"/>
      <c r="F4" s="39"/>
      <c r="G4" s="4" t="s">
        <v>184</v>
      </c>
      <c r="H4" s="15">
        <v>189.9</v>
      </c>
      <c r="I4" s="16" t="str">
        <f t="shared" ref="I4:I17" si="0">IF(H4="","",(IF($C$20&lt;25%,"n/a",IF(H4&lt;=($D$20+$A$20),H4,"Descartado"))))</f>
        <v>n/a</v>
      </c>
    </row>
    <row r="5" spans="1:9" x14ac:dyDescent="0.25">
      <c r="A5" s="40"/>
      <c r="B5" s="34"/>
      <c r="C5" s="38"/>
      <c r="D5" s="38"/>
      <c r="E5" s="39"/>
      <c r="F5" s="39"/>
      <c r="G5" s="4" t="s">
        <v>201</v>
      </c>
      <c r="H5" s="15">
        <v>144.94999999999999</v>
      </c>
      <c r="I5" s="16" t="str">
        <f t="shared" si="0"/>
        <v>n/a</v>
      </c>
    </row>
    <row r="6" spans="1:9" x14ac:dyDescent="0.25">
      <c r="A6" s="40"/>
      <c r="B6" s="34"/>
      <c r="C6" s="38"/>
      <c r="D6" s="38"/>
      <c r="E6" s="39"/>
      <c r="F6" s="39"/>
      <c r="G6" s="4"/>
      <c r="H6" s="15"/>
      <c r="I6" s="16" t="str">
        <f t="shared" si="0"/>
        <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36.984873033895035</v>
      </c>
      <c r="B20" s="7">
        <f>COUNT(H3:H17)</f>
        <v>3</v>
      </c>
      <c r="C20" s="8">
        <f>IF(B20&lt;2,"n/a",(A20/D20))</f>
        <v>0.24579566048976564</v>
      </c>
      <c r="D20" s="9">
        <f>IFERROR(ROUND(AVERAGE(H3:H17),2),"")</f>
        <v>150.47</v>
      </c>
      <c r="E20" s="14" t="str">
        <f>IFERROR(ROUND(IF(B20&lt;2,"n/a",(IF(C20&lt;=25%,"n/a",AVERAGE(I3:I17)))),2),"n/a")</f>
        <v>n/a</v>
      </c>
      <c r="F20" s="9">
        <f>IFERROR(ROUND(MEDIAN(H3:H17),2),"")</f>
        <v>144.94999999999999</v>
      </c>
      <c r="G20" s="10" t="str">
        <f>IFERROR(INDEX(G3:G17,MATCH(H20,H3:H17,0)),"")</f>
        <v>KABUM</v>
      </c>
      <c r="H20" s="11">
        <f>F3</f>
        <v>116.55</v>
      </c>
    </row>
    <row r="22" spans="1:9" x14ac:dyDescent="0.25">
      <c r="G22" s="12" t="s">
        <v>20</v>
      </c>
      <c r="H22" s="13">
        <f>IF(C20&lt;=25%,D20,MIN(E20:F20))</f>
        <v>150.47</v>
      </c>
    </row>
    <row r="23" spans="1:9" x14ac:dyDescent="0.25">
      <c r="G23" s="12" t="s">
        <v>6</v>
      </c>
      <c r="H23" s="13">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25</v>
      </c>
      <c r="B3" s="33" t="s">
        <v>54</v>
      </c>
      <c r="C3" s="38" t="s">
        <v>7</v>
      </c>
      <c r="D3" s="38">
        <v>2</v>
      </c>
      <c r="E3" s="39">
        <f>IF(C20&lt;=25%,D20,MIN(E20:F20))</f>
        <v>701.53</v>
      </c>
      <c r="F3" s="39">
        <f>MIN(H3:H17)</f>
        <v>549</v>
      </c>
      <c r="G3" s="4" t="s">
        <v>202</v>
      </c>
      <c r="H3" s="15">
        <v>549</v>
      </c>
      <c r="I3" s="16">
        <f>IF(H3="","",(IF($C$20&lt;25%,"n/a",IF(H3&lt;=($D$20+$A$20),H3,"Descartado"))))</f>
        <v>549</v>
      </c>
    </row>
    <row r="4" spans="1:9" x14ac:dyDescent="0.25">
      <c r="A4" s="40"/>
      <c r="B4" s="34"/>
      <c r="C4" s="38"/>
      <c r="D4" s="38"/>
      <c r="E4" s="39"/>
      <c r="F4" s="39"/>
      <c r="G4" s="4" t="s">
        <v>178</v>
      </c>
      <c r="H4" s="15">
        <v>679.9</v>
      </c>
      <c r="I4" s="16">
        <f t="shared" ref="I4:I17" si="0">IF(H4="","",(IF($C$20&lt;25%,"n/a",IF(H4&lt;=($D$20+$A$20),H4,"Descartado"))))</f>
        <v>679.9</v>
      </c>
    </row>
    <row r="5" spans="1:9" x14ac:dyDescent="0.25">
      <c r="A5" s="40"/>
      <c r="B5" s="34"/>
      <c r="C5" s="38"/>
      <c r="D5" s="38"/>
      <c r="E5" s="39"/>
      <c r="F5" s="39"/>
      <c r="G5" s="4" t="s">
        <v>171</v>
      </c>
      <c r="H5" s="15">
        <v>998</v>
      </c>
      <c r="I5" s="16" t="str">
        <f t="shared" si="0"/>
        <v>Descartado</v>
      </c>
    </row>
    <row r="6" spans="1:9" x14ac:dyDescent="0.25">
      <c r="A6" s="40"/>
      <c r="B6" s="34"/>
      <c r="C6" s="38"/>
      <c r="D6" s="38"/>
      <c r="E6" s="39"/>
      <c r="F6" s="39"/>
      <c r="G6" s="4" t="s">
        <v>203</v>
      </c>
      <c r="H6" s="15">
        <v>875.69</v>
      </c>
      <c r="I6" s="16">
        <f t="shared" si="0"/>
        <v>875.69</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199.98817387952403</v>
      </c>
      <c r="B20" s="7">
        <f>COUNT(H3:H17)</f>
        <v>4</v>
      </c>
      <c r="C20" s="8">
        <f>IF(B20&lt;2,"n/a",(A20/D20))</f>
        <v>0.25783300957844907</v>
      </c>
      <c r="D20" s="9">
        <f>IFERROR(ROUND(AVERAGE(H3:H17),2),"")</f>
        <v>775.65</v>
      </c>
      <c r="E20" s="14">
        <f>IFERROR(ROUND(IF(B20&lt;2,"n/a",(IF(C20&lt;=25%,"n/a",AVERAGE(I3:I17)))),2),"n/a")</f>
        <v>701.53</v>
      </c>
      <c r="F20" s="9">
        <f>IFERROR(ROUND(MEDIAN(H3:H17),2),"")</f>
        <v>777.8</v>
      </c>
      <c r="G20" s="10" t="str">
        <f>IFERROR(INDEX(G3:G17,MATCH(H20,H3:H17,0)),"")</f>
        <v>BRASILTRONIC</v>
      </c>
      <c r="H20" s="11">
        <f>F3</f>
        <v>549</v>
      </c>
    </row>
    <row r="22" spans="1:9" x14ac:dyDescent="0.25">
      <c r="G22" s="12" t="s">
        <v>20</v>
      </c>
      <c r="H22" s="13">
        <f>IF(C20&lt;=25%,D20,MIN(E20:F20))</f>
        <v>701.53</v>
      </c>
    </row>
    <row r="23" spans="1:9" x14ac:dyDescent="0.25">
      <c r="G23" s="12" t="s">
        <v>6</v>
      </c>
      <c r="H23" s="13">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26</v>
      </c>
      <c r="B3" s="33" t="s">
        <v>55</v>
      </c>
      <c r="C3" s="38" t="s">
        <v>7</v>
      </c>
      <c r="D3" s="38">
        <v>4</v>
      </c>
      <c r="E3" s="39">
        <f>IF(C20&lt;=25%,D20,MIN(E20:F20))</f>
        <v>314.5</v>
      </c>
      <c r="F3" s="39">
        <f>MIN(H3:H17)</f>
        <v>149.97</v>
      </c>
      <c r="G3" s="4" t="s">
        <v>160</v>
      </c>
      <c r="H3" s="15">
        <v>1257</v>
      </c>
      <c r="I3" s="16" t="str">
        <f>IF(H3="","",(IF($C$20&lt;25%,"n/a",IF(H3&lt;=($D$20+$A$20),H3,"Descartado"))))</f>
        <v>Descartado</v>
      </c>
    </row>
    <row r="4" spans="1:9" x14ac:dyDescent="0.25">
      <c r="A4" s="40"/>
      <c r="B4" s="34"/>
      <c r="C4" s="38"/>
      <c r="D4" s="38"/>
      <c r="E4" s="39"/>
      <c r="F4" s="39"/>
      <c r="G4" s="4" t="s">
        <v>99</v>
      </c>
      <c r="H4" s="15">
        <v>160</v>
      </c>
      <c r="I4" s="16">
        <f t="shared" ref="I4:I17" si="0">IF(H4="","",(IF($C$20&lt;25%,"n/a",IF(H4&lt;=($D$20+$A$20),H4,"Descartado"))))</f>
        <v>160</v>
      </c>
    </row>
    <row r="5" spans="1:9" x14ac:dyDescent="0.25">
      <c r="A5" s="40"/>
      <c r="B5" s="34"/>
      <c r="C5" s="38"/>
      <c r="D5" s="38"/>
      <c r="E5" s="39"/>
      <c r="F5" s="39"/>
      <c r="G5" s="4" t="s">
        <v>161</v>
      </c>
      <c r="H5" s="15">
        <v>330</v>
      </c>
      <c r="I5" s="16">
        <f t="shared" si="0"/>
        <v>330</v>
      </c>
    </row>
    <row r="6" spans="1:9" x14ac:dyDescent="0.25">
      <c r="A6" s="40"/>
      <c r="B6" s="34"/>
      <c r="C6" s="38"/>
      <c r="D6" s="38"/>
      <c r="E6" s="39"/>
      <c r="F6" s="39"/>
      <c r="G6" s="4" t="s">
        <v>107</v>
      </c>
      <c r="H6" s="15">
        <v>259</v>
      </c>
      <c r="I6" s="16">
        <f t="shared" si="0"/>
        <v>259</v>
      </c>
    </row>
    <row r="7" spans="1:9" x14ac:dyDescent="0.25">
      <c r="A7" s="40"/>
      <c r="B7" s="34"/>
      <c r="C7" s="38"/>
      <c r="D7" s="38"/>
      <c r="E7" s="39"/>
      <c r="F7" s="39"/>
      <c r="G7" s="4" t="s">
        <v>113</v>
      </c>
      <c r="H7" s="15">
        <v>1000</v>
      </c>
      <c r="I7" s="16">
        <f t="shared" si="0"/>
        <v>1000</v>
      </c>
    </row>
    <row r="8" spans="1:9" x14ac:dyDescent="0.25">
      <c r="A8" s="40"/>
      <c r="B8" s="34"/>
      <c r="C8" s="38"/>
      <c r="D8" s="38"/>
      <c r="E8" s="39"/>
      <c r="F8" s="39"/>
      <c r="G8" s="4" t="s">
        <v>162</v>
      </c>
      <c r="H8" s="15">
        <v>177.5</v>
      </c>
      <c r="I8" s="16">
        <f t="shared" si="0"/>
        <v>177.5</v>
      </c>
    </row>
    <row r="9" spans="1:9" x14ac:dyDescent="0.25">
      <c r="A9" s="40"/>
      <c r="B9" s="34"/>
      <c r="C9" s="38"/>
      <c r="D9" s="38"/>
      <c r="E9" s="39"/>
      <c r="F9" s="39"/>
      <c r="G9" s="4" t="s">
        <v>101</v>
      </c>
      <c r="H9" s="15">
        <v>160</v>
      </c>
      <c r="I9" s="16">
        <f t="shared" si="0"/>
        <v>160</v>
      </c>
    </row>
    <row r="10" spans="1:9" x14ac:dyDescent="0.25">
      <c r="A10" s="40"/>
      <c r="B10" s="34"/>
      <c r="C10" s="38"/>
      <c r="D10" s="38"/>
      <c r="E10" s="39"/>
      <c r="F10" s="39"/>
      <c r="G10" s="4" t="s">
        <v>163</v>
      </c>
      <c r="H10" s="15">
        <v>1342</v>
      </c>
      <c r="I10" s="16" t="str">
        <f t="shared" si="0"/>
        <v>Descartado</v>
      </c>
    </row>
    <row r="11" spans="1:9" x14ac:dyDescent="0.25">
      <c r="A11" s="40"/>
      <c r="B11" s="34"/>
      <c r="C11" s="38"/>
      <c r="D11" s="38"/>
      <c r="E11" s="39"/>
      <c r="F11" s="39"/>
      <c r="G11" s="4" t="s">
        <v>164</v>
      </c>
      <c r="H11" s="15">
        <v>1650</v>
      </c>
      <c r="I11" s="16" t="str">
        <f t="shared" si="0"/>
        <v>Descartado</v>
      </c>
    </row>
    <row r="12" spans="1:9" x14ac:dyDescent="0.25">
      <c r="A12" s="40"/>
      <c r="B12" s="34"/>
      <c r="C12" s="38"/>
      <c r="D12" s="38"/>
      <c r="E12" s="39"/>
      <c r="F12" s="39"/>
      <c r="G12" s="4" t="s">
        <v>132</v>
      </c>
      <c r="H12" s="15">
        <v>149.97</v>
      </c>
      <c r="I12" s="16">
        <f t="shared" si="0"/>
        <v>149.97</v>
      </c>
    </row>
    <row r="13" spans="1:9" x14ac:dyDescent="0.25">
      <c r="A13" s="40"/>
      <c r="B13" s="34"/>
      <c r="C13" s="38"/>
      <c r="D13" s="38"/>
      <c r="E13" s="39"/>
      <c r="F13" s="39"/>
      <c r="G13" s="4" t="s">
        <v>195</v>
      </c>
      <c r="H13" s="15">
        <v>299</v>
      </c>
      <c r="I13" s="16">
        <f t="shared" si="0"/>
        <v>299</v>
      </c>
    </row>
    <row r="14" spans="1:9" x14ac:dyDescent="0.25">
      <c r="A14" s="40"/>
      <c r="B14" s="34"/>
      <c r="C14" s="38"/>
      <c r="D14" s="38"/>
      <c r="E14" s="39"/>
      <c r="F14" s="39"/>
      <c r="G14" s="4" t="s">
        <v>204</v>
      </c>
      <c r="H14" s="15">
        <v>341.01</v>
      </c>
      <c r="I14" s="16">
        <f t="shared" si="0"/>
        <v>341.01</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552.6252471612205</v>
      </c>
      <c r="B20" s="7">
        <f>COUNT(H3:H17)</f>
        <v>12</v>
      </c>
      <c r="C20" s="8">
        <f>IF(B20&lt;2,"n/a",(A20/D20))</f>
        <v>0.93067456030115114</v>
      </c>
      <c r="D20" s="9">
        <f>IFERROR(ROUND(AVERAGE(H3:H17),2),"")</f>
        <v>593.79</v>
      </c>
      <c r="E20" s="14">
        <f>IFERROR(ROUND(IF(B20&lt;2,"n/a",(IF(C20&lt;=25%,"n/a",AVERAGE(I3:I17)))),2),"n/a")</f>
        <v>319.61</v>
      </c>
      <c r="F20" s="9">
        <f>IFERROR(ROUND(MEDIAN(H3:H17),2),"")</f>
        <v>314.5</v>
      </c>
      <c r="G20" s="10" t="str">
        <f>IFERROR(INDEX(G3:G17,MATCH(H20,H3:H17,0)),"")</f>
        <v>ISALTEC COMERCIO DE INSTRUMENTOS DE MEDICAO LTDA</v>
      </c>
      <c r="H20" s="11">
        <f>F3</f>
        <v>149.97</v>
      </c>
    </row>
    <row r="22" spans="1:9" x14ac:dyDescent="0.25">
      <c r="G22" s="12" t="s">
        <v>20</v>
      </c>
      <c r="H22" s="13">
        <f>IF(C20&lt;=25%,D20,MIN(E20:F20))</f>
        <v>314.5</v>
      </c>
    </row>
    <row r="23" spans="1:9" x14ac:dyDescent="0.25">
      <c r="G23" s="12" t="s">
        <v>6</v>
      </c>
      <c r="H23" s="13">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6" t="s">
        <v>1</v>
      </c>
      <c r="B2" s="6" t="s">
        <v>2</v>
      </c>
      <c r="C2" s="6" t="s">
        <v>3</v>
      </c>
      <c r="D2" s="6" t="s">
        <v>4</v>
      </c>
      <c r="E2" s="6" t="s">
        <v>9</v>
      </c>
      <c r="F2" s="6" t="s">
        <v>10</v>
      </c>
      <c r="G2" s="6" t="s">
        <v>11</v>
      </c>
      <c r="H2" s="6" t="s">
        <v>12</v>
      </c>
      <c r="I2" s="6" t="s">
        <v>13</v>
      </c>
    </row>
    <row r="3" spans="1:9" x14ac:dyDescent="0.25">
      <c r="A3" s="40">
        <v>27</v>
      </c>
      <c r="B3" s="33" t="s">
        <v>56</v>
      </c>
      <c r="C3" s="38" t="s">
        <v>7</v>
      </c>
      <c r="D3" s="38">
        <v>2</v>
      </c>
      <c r="E3" s="39">
        <f>IF(C20&lt;=25%,D20,MIN(E20:F20))</f>
        <v>2336.66</v>
      </c>
      <c r="F3" s="39">
        <f>MIN(H3:H17)</f>
        <v>985</v>
      </c>
      <c r="G3" s="4" t="s">
        <v>161</v>
      </c>
      <c r="H3" s="15">
        <v>985</v>
      </c>
      <c r="I3" s="16">
        <f>IF(H3="","",(IF($C$20&lt;25%,"n/a",IF(H3&lt;=($D$20+$A$20),H3,"Descartado"))))</f>
        <v>985</v>
      </c>
    </row>
    <row r="4" spans="1:9" x14ac:dyDescent="0.25">
      <c r="A4" s="40"/>
      <c r="B4" s="34"/>
      <c r="C4" s="38"/>
      <c r="D4" s="38"/>
      <c r="E4" s="39"/>
      <c r="F4" s="39"/>
      <c r="G4" s="4" t="s">
        <v>165</v>
      </c>
      <c r="H4" s="15">
        <v>1750</v>
      </c>
      <c r="I4" s="16">
        <f t="shared" ref="I4:I17" si="0">IF(H4="","",(IF($C$20&lt;25%,"n/a",IF(H4&lt;=($D$20+$A$20),H4,"Descartado"))))</f>
        <v>1750</v>
      </c>
    </row>
    <row r="5" spans="1:9" x14ac:dyDescent="0.25">
      <c r="A5" s="40"/>
      <c r="B5" s="34"/>
      <c r="C5" s="38"/>
      <c r="D5" s="38"/>
      <c r="E5" s="39"/>
      <c r="F5" s="39"/>
      <c r="G5" s="4" t="s">
        <v>166</v>
      </c>
      <c r="H5" s="15">
        <v>3775.12</v>
      </c>
      <c r="I5" s="16" t="str">
        <f t="shared" si="0"/>
        <v>Descartado</v>
      </c>
    </row>
    <row r="6" spans="1:9" x14ac:dyDescent="0.25">
      <c r="A6" s="40"/>
      <c r="B6" s="34"/>
      <c r="C6" s="38"/>
      <c r="D6" s="38"/>
      <c r="E6" s="39"/>
      <c r="F6" s="39"/>
      <c r="G6" s="4" t="s">
        <v>99</v>
      </c>
      <c r="H6" s="15">
        <v>1449.99</v>
      </c>
      <c r="I6" s="16">
        <f t="shared" si="0"/>
        <v>1449.99</v>
      </c>
    </row>
    <row r="7" spans="1:9" x14ac:dyDescent="0.25">
      <c r="A7" s="40"/>
      <c r="B7" s="34"/>
      <c r="C7" s="38"/>
      <c r="D7" s="38"/>
      <c r="E7" s="39"/>
      <c r="F7" s="39"/>
      <c r="G7" s="4" t="s">
        <v>127</v>
      </c>
      <c r="H7" s="15">
        <v>1738.77</v>
      </c>
      <c r="I7" s="16">
        <f t="shared" si="0"/>
        <v>1738.77</v>
      </c>
    </row>
    <row r="8" spans="1:9" x14ac:dyDescent="0.25">
      <c r="A8" s="40"/>
      <c r="B8" s="34"/>
      <c r="C8" s="38"/>
      <c r="D8" s="38"/>
      <c r="E8" s="39"/>
      <c r="F8" s="39"/>
      <c r="G8" s="4" t="s">
        <v>167</v>
      </c>
      <c r="H8" s="15">
        <v>2582</v>
      </c>
      <c r="I8" s="16">
        <f t="shared" si="0"/>
        <v>2582</v>
      </c>
    </row>
    <row r="9" spans="1:9" x14ac:dyDescent="0.25">
      <c r="A9" s="40"/>
      <c r="B9" s="34"/>
      <c r="C9" s="38"/>
      <c r="D9" s="38"/>
      <c r="E9" s="39"/>
      <c r="F9" s="39"/>
      <c r="G9" s="4" t="s">
        <v>205</v>
      </c>
      <c r="H9" s="15">
        <v>3179.25</v>
      </c>
      <c r="I9" s="16">
        <f t="shared" si="0"/>
        <v>3179.25</v>
      </c>
    </row>
    <row r="10" spans="1:9" x14ac:dyDescent="0.25">
      <c r="A10" s="40"/>
      <c r="B10" s="34"/>
      <c r="C10" s="38"/>
      <c r="D10" s="38"/>
      <c r="E10" s="39"/>
      <c r="F10" s="39"/>
      <c r="G10" s="4" t="s">
        <v>171</v>
      </c>
      <c r="H10" s="15">
        <v>3484.8</v>
      </c>
      <c r="I10" s="16">
        <f t="shared" si="0"/>
        <v>3484.8</v>
      </c>
    </row>
    <row r="11" spans="1:9" x14ac:dyDescent="0.25">
      <c r="A11" s="40"/>
      <c r="B11" s="34"/>
      <c r="C11" s="38"/>
      <c r="D11" s="38"/>
      <c r="E11" s="39"/>
      <c r="F11" s="39"/>
      <c r="G11" s="4" t="s">
        <v>203</v>
      </c>
      <c r="H11" s="15">
        <v>3523.43</v>
      </c>
      <c r="I11" s="16">
        <f t="shared" si="0"/>
        <v>3523.43</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6" t="s">
        <v>14</v>
      </c>
      <c r="B19" s="6" t="s">
        <v>15</v>
      </c>
      <c r="C19" s="6" t="s">
        <v>25</v>
      </c>
      <c r="D19" s="6" t="s">
        <v>16</v>
      </c>
      <c r="E19" s="6" t="s">
        <v>17</v>
      </c>
      <c r="F19" s="6" t="s">
        <v>18</v>
      </c>
      <c r="G19" s="31" t="s">
        <v>19</v>
      </c>
      <c r="H19" s="31"/>
    </row>
    <row r="20" spans="1:9" x14ac:dyDescent="0.25">
      <c r="A20" s="7">
        <f>IF(B20&lt;2,"n/a",(_xlfn.STDEV.S(H3:H17)))</f>
        <v>1039.8846968908506</v>
      </c>
      <c r="B20" s="7">
        <f>COUNT(H3:H17)</f>
        <v>9</v>
      </c>
      <c r="C20" s="8">
        <f>IF(B20&lt;2,"n/a",(A20/D20))</f>
        <v>0.41654036759391244</v>
      </c>
      <c r="D20" s="9">
        <f>IFERROR(ROUND(AVERAGE(H3:H17),2),"")</f>
        <v>2496.48</v>
      </c>
      <c r="E20" s="14">
        <f>IFERROR(ROUND(IF(B20&lt;2,"n/a",(IF(C20&lt;=25%,"n/a",AVERAGE(I3:I17)))),2),"n/a")</f>
        <v>2336.66</v>
      </c>
      <c r="F20" s="9">
        <f>IFERROR(ROUND(MEDIAN(H3:H17),2),"")</f>
        <v>2582</v>
      </c>
      <c r="G20" s="10" t="str">
        <f>IFERROR(INDEX(G3:G17,MATCH(H20,H3:H17,0)),"")</f>
        <v>R JUAREZ DE ALMEIDA</v>
      </c>
      <c r="H20" s="11">
        <f>F3</f>
        <v>985</v>
      </c>
    </row>
    <row r="22" spans="1:9" x14ac:dyDescent="0.25">
      <c r="G22" s="12" t="s">
        <v>20</v>
      </c>
      <c r="H22" s="13">
        <f>IF(C20&lt;=25%,D20,MIN(E20:F20))</f>
        <v>2336.66</v>
      </c>
    </row>
    <row r="23" spans="1:9" x14ac:dyDescent="0.25">
      <c r="G23" s="12" t="s">
        <v>6</v>
      </c>
      <c r="H23" s="13">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view="pageBreakPreview" zoomScaleNormal="100" zoomScaleSheetLayoutView="100" workbookViewId="0">
      <selection activeCell="F9" sqref="F9"/>
    </sheetView>
  </sheetViews>
  <sheetFormatPr defaultRowHeight="15" x14ac:dyDescent="0.25"/>
  <cols>
    <col min="1" max="2" width="6.7109375" style="1" customWidth="1"/>
    <col min="3" max="3" width="36.7109375" style="3" customWidth="1"/>
    <col min="4" max="5" width="12.7109375" style="1" customWidth="1"/>
    <col min="6" max="7" width="15.7109375" style="1" customWidth="1"/>
    <col min="8" max="16384" width="9.140625" style="1"/>
  </cols>
  <sheetData>
    <row r="1" spans="1:7" ht="15.75" x14ac:dyDescent="0.25">
      <c r="A1" s="41" t="s">
        <v>0</v>
      </c>
      <c r="B1" s="41"/>
      <c r="C1" s="41"/>
      <c r="D1" s="41"/>
      <c r="E1" s="41"/>
      <c r="F1" s="41"/>
      <c r="G1" s="41"/>
    </row>
    <row r="2" spans="1:7" ht="24" x14ac:dyDescent="0.25">
      <c r="A2" s="5" t="s">
        <v>29</v>
      </c>
      <c r="B2" s="5" t="s">
        <v>1</v>
      </c>
      <c r="C2" s="5" t="s">
        <v>2</v>
      </c>
      <c r="D2" s="5" t="s">
        <v>3</v>
      </c>
      <c r="E2" s="5" t="s">
        <v>4</v>
      </c>
      <c r="F2" s="5" t="s">
        <v>5</v>
      </c>
      <c r="G2" s="5" t="s">
        <v>6</v>
      </c>
    </row>
    <row r="3" spans="1:7" ht="105" x14ac:dyDescent="0.25">
      <c r="A3" s="20" t="s">
        <v>57</v>
      </c>
      <c r="B3" s="20">
        <f>Item1!A3</f>
        <v>1</v>
      </c>
      <c r="C3" s="22" t="str">
        <f>Item1!B3</f>
        <v>Registro de Preços para Eventual Aquisição de Material Bibliográfico, por meio de registro do maior desconto percentual sobre os preços do catálogo ou das tabelas das editoras, conforme áreas de interesse do Tribunal, constantes no Anexo “A” do TR.</v>
      </c>
      <c r="D3" s="27" t="str">
        <f>Item1!C3</f>
        <v>valor total com desconto</v>
      </c>
      <c r="E3" s="20">
        <f>Item1!D3</f>
        <v>1</v>
      </c>
      <c r="F3" s="21">
        <f>Item1!E3</f>
        <v>29961.62</v>
      </c>
      <c r="G3" s="21">
        <f>ROUND((E3*F3),2)</f>
        <v>29961.62</v>
      </c>
    </row>
    <row r="4" spans="1:7" x14ac:dyDescent="0.25">
      <c r="A4" s="23"/>
      <c r="B4" s="23"/>
      <c r="C4" s="24"/>
      <c r="D4" s="25"/>
      <c r="E4" s="25"/>
      <c r="F4" s="26"/>
      <c r="G4" s="26"/>
    </row>
    <row r="5" spans="1:7" ht="15.75" thickBot="1" x14ac:dyDescent="0.3"/>
    <row r="6" spans="1:7" ht="16.5" thickTop="1" thickBot="1" x14ac:dyDescent="0.3">
      <c r="D6" s="17"/>
      <c r="E6" s="28" t="s">
        <v>209</v>
      </c>
      <c r="F6" s="19">
        <v>38000</v>
      </c>
    </row>
    <row r="7" spans="1:7" ht="16.5" thickTop="1" thickBot="1" x14ac:dyDescent="0.3"/>
    <row r="8" spans="1:7" ht="16.5" thickTop="1" thickBot="1" x14ac:dyDescent="0.3">
      <c r="D8" s="17"/>
      <c r="E8" s="18" t="s">
        <v>210</v>
      </c>
      <c r="F8" s="29">
        <f>ROUND(G3/F6-1,6)</f>
        <v>-0.211536</v>
      </c>
    </row>
    <row r="9" spans="1:7" ht="16.5" thickTop="1" thickBot="1" x14ac:dyDescent="0.3"/>
    <row r="10" spans="1:7" ht="16.5" thickTop="1" thickBot="1" x14ac:dyDescent="0.3">
      <c r="D10" s="17"/>
      <c r="E10" s="18" t="s">
        <v>30</v>
      </c>
      <c r="F10" s="19">
        <f>F6*(1+F8)</f>
        <v>29961.632000000001</v>
      </c>
    </row>
    <row r="11" spans="1:7" ht="15.75" thickTop="1" x14ac:dyDescent="0.25"/>
    <row r="14" spans="1:7" x14ac:dyDescent="0.25">
      <c r="E14" s="30"/>
    </row>
  </sheetData>
  <mergeCells count="1">
    <mergeCell ref="A1:G1"/>
  </mergeCells>
  <pageMargins left="0.51181102362204722" right="0.51181102362204722" top="1.2598425196850394" bottom="0.78740157480314965" header="0.31496062992125984" footer="0.31496062992125984"/>
  <pageSetup paperSize="9" scale="86"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3</v>
      </c>
      <c r="B3" s="33" t="s">
        <v>32</v>
      </c>
      <c r="C3" s="38" t="s">
        <v>7</v>
      </c>
      <c r="D3" s="38">
        <v>6</v>
      </c>
      <c r="E3" s="39">
        <f>IF(C20&lt;=25%,D20,MIN(E20:F20))</f>
        <v>296.49</v>
      </c>
      <c r="F3" s="39">
        <f>MIN(H3:H17)</f>
        <v>171.07</v>
      </c>
      <c r="G3" s="4" t="s">
        <v>66</v>
      </c>
      <c r="H3" s="15">
        <v>235.1</v>
      </c>
      <c r="I3" s="16">
        <f>IF(H3="","",(IF($C$20&lt;25%,"n/a",IF(H3&lt;=($D$20+$A$20),H3,"Descartado"))))</f>
        <v>235.1</v>
      </c>
    </row>
    <row r="4" spans="1:9" x14ac:dyDescent="0.25">
      <c r="A4" s="40"/>
      <c r="B4" s="34"/>
      <c r="C4" s="38"/>
      <c r="D4" s="38"/>
      <c r="E4" s="39"/>
      <c r="F4" s="39"/>
      <c r="G4" s="4" t="s">
        <v>67</v>
      </c>
      <c r="H4" s="15">
        <v>247.6</v>
      </c>
      <c r="I4" s="16">
        <f t="shared" ref="I4:I17" si="0">IF(H4="","",(IF($C$20&lt;25%,"n/a",IF(H4&lt;=($D$20+$A$20),H4,"Descartado"))))</f>
        <v>247.6</v>
      </c>
    </row>
    <row r="5" spans="1:9" x14ac:dyDescent="0.25">
      <c r="A5" s="40"/>
      <c r="B5" s="34"/>
      <c r="C5" s="38"/>
      <c r="D5" s="38"/>
      <c r="E5" s="39"/>
      <c r="F5" s="39"/>
      <c r="G5" s="4" t="s">
        <v>68</v>
      </c>
      <c r="H5" s="15">
        <v>541</v>
      </c>
      <c r="I5" s="16">
        <f t="shared" si="0"/>
        <v>541</v>
      </c>
    </row>
    <row r="6" spans="1:9" x14ac:dyDescent="0.25">
      <c r="A6" s="40"/>
      <c r="B6" s="34"/>
      <c r="C6" s="38"/>
      <c r="D6" s="38"/>
      <c r="E6" s="39"/>
      <c r="F6" s="39"/>
      <c r="G6" s="4" t="s">
        <v>69</v>
      </c>
      <c r="H6" s="15">
        <v>171.07</v>
      </c>
      <c r="I6" s="16">
        <f t="shared" si="0"/>
        <v>171.07</v>
      </c>
    </row>
    <row r="7" spans="1:9" x14ac:dyDescent="0.25">
      <c r="A7" s="40"/>
      <c r="B7" s="34"/>
      <c r="C7" s="38"/>
      <c r="D7" s="38"/>
      <c r="E7" s="39"/>
      <c r="F7" s="39"/>
      <c r="G7" s="4" t="s">
        <v>70</v>
      </c>
      <c r="H7" s="15">
        <v>1000</v>
      </c>
      <c r="I7" s="16" t="str">
        <f t="shared" si="0"/>
        <v>Descartado</v>
      </c>
    </row>
    <row r="8" spans="1:9" x14ac:dyDescent="0.25">
      <c r="A8" s="40"/>
      <c r="B8" s="34"/>
      <c r="C8" s="38"/>
      <c r="D8" s="38"/>
      <c r="E8" s="39"/>
      <c r="F8" s="39"/>
      <c r="G8" s="4" t="s">
        <v>71</v>
      </c>
      <c r="H8" s="15">
        <v>176.78</v>
      </c>
      <c r="I8" s="16">
        <f t="shared" si="0"/>
        <v>176.78</v>
      </c>
    </row>
    <row r="9" spans="1:9" x14ac:dyDescent="0.25">
      <c r="A9" s="40"/>
      <c r="B9" s="34"/>
      <c r="C9" s="38"/>
      <c r="D9" s="38"/>
      <c r="E9" s="39"/>
      <c r="F9" s="39"/>
      <c r="G9" s="4" t="s">
        <v>170</v>
      </c>
      <c r="H9" s="15">
        <v>407.38</v>
      </c>
      <c r="I9" s="16">
        <f t="shared" si="0"/>
        <v>407.38</v>
      </c>
    </row>
    <row r="10" spans="1:9" x14ac:dyDescent="0.25">
      <c r="A10" s="40"/>
      <c r="B10" s="34"/>
      <c r="C10" s="38"/>
      <c r="D10" s="38"/>
      <c r="E10" s="39"/>
      <c r="F10" s="39"/>
      <c r="G10" s="4" t="s">
        <v>168</v>
      </c>
      <c r="H10" s="15">
        <v>884</v>
      </c>
      <c r="I10" s="16" t="str">
        <f t="shared" si="0"/>
        <v>Descartado</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325.1499268661633</v>
      </c>
      <c r="B20" s="7">
        <f>COUNT(H3:H17)</f>
        <v>8</v>
      </c>
      <c r="C20" s="8">
        <f>IF(B20&lt;2,"n/a",(A20/D20))</f>
        <v>0.71013590509568936</v>
      </c>
      <c r="D20" s="9">
        <f>IFERROR(ROUND(AVERAGE(H3:H17),2),"")</f>
        <v>457.87</v>
      </c>
      <c r="E20" s="14">
        <f>IFERROR(ROUND(IF(B20&lt;2,"n/a",(IF(C20&lt;=25%,"n/a",AVERAGE(I3:I17)))),2),"n/a")</f>
        <v>296.49</v>
      </c>
      <c r="F20" s="9">
        <f>IFERROR(ROUND(MEDIAN(H3:H17),2),"")</f>
        <v>327.49</v>
      </c>
      <c r="G20" s="10" t="str">
        <f>IFERROR(INDEX(G3:G17,MATCH(H20,H3:H17,0)),"")</f>
        <v>A C A DOS SANTOS COMERCIO E SERVICOS DE AUTOMACAO</v>
      </c>
      <c r="H20" s="11">
        <f>F3</f>
        <v>171.07</v>
      </c>
    </row>
    <row r="22" spans="1:9" x14ac:dyDescent="0.25">
      <c r="G22" s="12" t="s">
        <v>20</v>
      </c>
      <c r="H22" s="13">
        <f>IF(C20&lt;=25%,D20,MIN(E20:F20))</f>
        <v>296.49</v>
      </c>
    </row>
    <row r="23" spans="1:9" x14ac:dyDescent="0.25">
      <c r="G23" s="12" t="s">
        <v>6</v>
      </c>
      <c r="H23" s="13">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4</v>
      </c>
      <c r="B3" s="33" t="s">
        <v>33</v>
      </c>
      <c r="C3" s="38" t="s">
        <v>7</v>
      </c>
      <c r="D3" s="38">
        <v>2</v>
      </c>
      <c r="E3" s="39">
        <f>IF(C20&lt;=25%,D20,MIN(E20:F20))</f>
        <v>1386.39</v>
      </c>
      <c r="F3" s="39">
        <f>MIN(H3:H17)</f>
        <v>800</v>
      </c>
      <c r="G3" s="4" t="s">
        <v>72</v>
      </c>
      <c r="H3" s="15">
        <v>940</v>
      </c>
      <c r="I3" s="16">
        <f>IF(H3="","",(IF($C$20&lt;25%,"n/a",IF(H3&lt;=($D$20+$A$20),H3,"Descartado"))))</f>
        <v>940</v>
      </c>
    </row>
    <row r="4" spans="1:9" x14ac:dyDescent="0.25">
      <c r="A4" s="40"/>
      <c r="B4" s="34"/>
      <c r="C4" s="38"/>
      <c r="D4" s="38"/>
      <c r="E4" s="39"/>
      <c r="F4" s="39"/>
      <c r="G4" s="4" t="s">
        <v>73</v>
      </c>
      <c r="H4" s="15">
        <v>2144.34</v>
      </c>
      <c r="I4" s="16">
        <f t="shared" ref="I4:I17" si="0">IF(H4="","",(IF($C$20&lt;25%,"n/a",IF(H4&lt;=($D$20+$A$20),H4,"Descartado"))))</f>
        <v>2144.34</v>
      </c>
    </row>
    <row r="5" spans="1:9" x14ac:dyDescent="0.25">
      <c r="A5" s="40"/>
      <c r="B5" s="34"/>
      <c r="C5" s="38"/>
      <c r="D5" s="38"/>
      <c r="E5" s="39"/>
      <c r="F5" s="39"/>
      <c r="G5" s="4" t="s">
        <v>74</v>
      </c>
      <c r="H5" s="15">
        <v>925</v>
      </c>
      <c r="I5" s="16">
        <f t="shared" si="0"/>
        <v>925</v>
      </c>
    </row>
    <row r="6" spans="1:9" x14ac:dyDescent="0.25">
      <c r="A6" s="40"/>
      <c r="B6" s="34"/>
      <c r="C6" s="38"/>
      <c r="D6" s="38"/>
      <c r="E6" s="39"/>
      <c r="F6" s="39"/>
      <c r="G6" s="4" t="s">
        <v>75</v>
      </c>
      <c r="H6" s="15">
        <v>4280.84</v>
      </c>
      <c r="I6" s="16" t="str">
        <f t="shared" si="0"/>
        <v>Descartado</v>
      </c>
    </row>
    <row r="7" spans="1:9" x14ac:dyDescent="0.25">
      <c r="A7" s="40"/>
      <c r="B7" s="34"/>
      <c r="C7" s="38"/>
      <c r="D7" s="38"/>
      <c r="E7" s="39"/>
      <c r="F7" s="39"/>
      <c r="G7" s="4" t="s">
        <v>66</v>
      </c>
      <c r="H7" s="15">
        <v>1402</v>
      </c>
      <c r="I7" s="16">
        <f t="shared" si="0"/>
        <v>1402</v>
      </c>
    </row>
    <row r="8" spans="1:9" x14ac:dyDescent="0.25">
      <c r="A8" s="40"/>
      <c r="B8" s="34"/>
      <c r="C8" s="38"/>
      <c r="D8" s="38"/>
      <c r="E8" s="39"/>
      <c r="F8" s="39"/>
      <c r="G8" s="4" t="s">
        <v>76</v>
      </c>
      <c r="H8" s="15">
        <v>2100</v>
      </c>
      <c r="I8" s="16">
        <f t="shared" si="0"/>
        <v>2100</v>
      </c>
    </row>
    <row r="9" spans="1:9" x14ac:dyDescent="0.25">
      <c r="A9" s="40"/>
      <c r="B9" s="34"/>
      <c r="C9" s="38"/>
      <c r="D9" s="38"/>
      <c r="E9" s="39"/>
      <c r="F9" s="39"/>
      <c r="G9" s="4" t="s">
        <v>77</v>
      </c>
      <c r="H9" s="15">
        <v>3777</v>
      </c>
      <c r="I9" s="16" t="str">
        <f t="shared" si="0"/>
        <v>Descartado</v>
      </c>
    </row>
    <row r="10" spans="1:9" x14ac:dyDescent="0.25">
      <c r="A10" s="40"/>
      <c r="B10" s="34"/>
      <c r="C10" s="38"/>
      <c r="D10" s="38"/>
      <c r="E10" s="39"/>
      <c r="F10" s="39"/>
      <c r="G10" s="4" t="s">
        <v>58</v>
      </c>
      <c r="H10" s="15">
        <v>1375</v>
      </c>
      <c r="I10" s="16">
        <f t="shared" si="0"/>
        <v>1375</v>
      </c>
    </row>
    <row r="11" spans="1:9" x14ac:dyDescent="0.25">
      <c r="A11" s="40"/>
      <c r="B11" s="34"/>
      <c r="C11" s="38"/>
      <c r="D11" s="38"/>
      <c r="E11" s="39"/>
      <c r="F11" s="39"/>
      <c r="G11" s="4" t="s">
        <v>78</v>
      </c>
      <c r="H11" s="15">
        <v>1999</v>
      </c>
      <c r="I11" s="16">
        <f t="shared" si="0"/>
        <v>1999</v>
      </c>
    </row>
    <row r="12" spans="1:9" x14ac:dyDescent="0.25">
      <c r="A12" s="40"/>
      <c r="B12" s="34"/>
      <c r="C12" s="38"/>
      <c r="D12" s="38"/>
      <c r="E12" s="39"/>
      <c r="F12" s="39"/>
      <c r="G12" s="4" t="s">
        <v>79</v>
      </c>
      <c r="H12" s="15">
        <v>877.55</v>
      </c>
      <c r="I12" s="16">
        <f t="shared" si="0"/>
        <v>877.55</v>
      </c>
    </row>
    <row r="13" spans="1:9" x14ac:dyDescent="0.25">
      <c r="A13" s="40"/>
      <c r="B13" s="34"/>
      <c r="C13" s="38"/>
      <c r="D13" s="38"/>
      <c r="E13" s="39"/>
      <c r="F13" s="39"/>
      <c r="G13" s="4" t="s">
        <v>172</v>
      </c>
      <c r="H13" s="15">
        <v>1301.05</v>
      </c>
      <c r="I13" s="16">
        <f t="shared" si="0"/>
        <v>1301.05</v>
      </c>
    </row>
    <row r="14" spans="1:9" x14ac:dyDescent="0.25">
      <c r="A14" s="40"/>
      <c r="B14" s="34"/>
      <c r="C14" s="38"/>
      <c r="D14" s="38"/>
      <c r="E14" s="39"/>
      <c r="F14" s="39"/>
      <c r="G14" s="4" t="s">
        <v>169</v>
      </c>
      <c r="H14" s="15">
        <v>800</v>
      </c>
      <c r="I14" s="16">
        <f t="shared" si="0"/>
        <v>800</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1138.0508742223178</v>
      </c>
      <c r="B20" s="7">
        <f>COUNT(H3:H17)</f>
        <v>12</v>
      </c>
      <c r="C20" s="8">
        <f>IF(B20&lt;2,"n/a",(A20/D20))</f>
        <v>0.62296825862554484</v>
      </c>
      <c r="D20" s="9">
        <f>IFERROR(ROUND(AVERAGE(H3:H17),2),"")</f>
        <v>1826.82</v>
      </c>
      <c r="E20" s="14">
        <f>IFERROR(ROUND(IF(B20&lt;2,"n/a",(IF(C20&lt;=25%,"n/a",AVERAGE(I3:I17)))),2),"n/a")</f>
        <v>1386.39</v>
      </c>
      <c r="F20" s="9">
        <f>IFERROR(ROUND(MEDIAN(H3:H17),2),"")</f>
        <v>1388.5</v>
      </c>
      <c r="G20" s="10" t="str">
        <f>IFERROR(INDEX(G3:G17,MATCH(H20,H3:H17,0)),"")</f>
        <v>LOJA CANON</v>
      </c>
      <c r="H20" s="11">
        <f>F3</f>
        <v>800</v>
      </c>
    </row>
    <row r="22" spans="1:9" x14ac:dyDescent="0.25">
      <c r="G22" s="12" t="s">
        <v>20</v>
      </c>
      <c r="H22" s="13">
        <f>IF(C20&lt;=25%,D20,MIN(E20:F20))</f>
        <v>1386.39</v>
      </c>
    </row>
    <row r="23" spans="1:9" x14ac:dyDescent="0.25">
      <c r="G23" s="12" t="s">
        <v>6</v>
      </c>
      <c r="H23" s="13">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5</v>
      </c>
      <c r="B3" s="33" t="s">
        <v>34</v>
      </c>
      <c r="C3" s="38" t="s">
        <v>7</v>
      </c>
      <c r="D3" s="38">
        <v>1</v>
      </c>
      <c r="E3" s="39">
        <f>IF(C20&lt;=25%,D20,MIN(E20:F20))</f>
        <v>7540.83</v>
      </c>
      <c r="F3" s="39">
        <f>MIN(H3:H17)</f>
        <v>1172.6600000000001</v>
      </c>
      <c r="G3" s="4" t="s">
        <v>80</v>
      </c>
      <c r="H3" s="15">
        <v>9050</v>
      </c>
      <c r="I3" s="16">
        <f>IF(H3="","",(IF($C$20&lt;25%,"n/a",IF(H3&lt;=($D$20+$A$20),H3,"Descartado"))))</f>
        <v>9050</v>
      </c>
    </row>
    <row r="4" spans="1:9" x14ac:dyDescent="0.25">
      <c r="A4" s="40"/>
      <c r="B4" s="34"/>
      <c r="C4" s="38"/>
      <c r="D4" s="38"/>
      <c r="E4" s="39"/>
      <c r="F4" s="39"/>
      <c r="G4" s="4" t="s">
        <v>66</v>
      </c>
      <c r="H4" s="15">
        <v>5737.44</v>
      </c>
      <c r="I4" s="16">
        <f t="shared" ref="I4:I17" si="0">IF(H4="","",(IF($C$20&lt;25%,"n/a",IF(H4&lt;=($D$20+$A$20),H4,"Descartado"))))</f>
        <v>5737.44</v>
      </c>
    </row>
    <row r="5" spans="1:9" x14ac:dyDescent="0.25">
      <c r="A5" s="40"/>
      <c r="B5" s="34"/>
      <c r="C5" s="38"/>
      <c r="D5" s="38"/>
      <c r="E5" s="39"/>
      <c r="F5" s="39"/>
      <c r="G5" s="4" t="s">
        <v>81</v>
      </c>
      <c r="H5" s="15">
        <v>1172.6600000000001</v>
      </c>
      <c r="I5" s="16">
        <f t="shared" si="0"/>
        <v>1172.6600000000001</v>
      </c>
    </row>
    <row r="6" spans="1:9" x14ac:dyDescent="0.25">
      <c r="A6" s="40"/>
      <c r="B6" s="34"/>
      <c r="C6" s="38"/>
      <c r="D6" s="38"/>
      <c r="E6" s="39"/>
      <c r="F6" s="39"/>
      <c r="G6" s="4" t="s">
        <v>74</v>
      </c>
      <c r="H6" s="15">
        <v>3900</v>
      </c>
      <c r="I6" s="16">
        <f t="shared" si="0"/>
        <v>3900</v>
      </c>
    </row>
    <row r="7" spans="1:9" x14ac:dyDescent="0.25">
      <c r="A7" s="40"/>
      <c r="B7" s="34"/>
      <c r="C7" s="38"/>
      <c r="D7" s="38"/>
      <c r="E7" s="39"/>
      <c r="F7" s="39"/>
      <c r="G7" s="4" t="s">
        <v>68</v>
      </c>
      <c r="H7" s="15">
        <v>7969</v>
      </c>
      <c r="I7" s="16">
        <f t="shared" si="0"/>
        <v>7969</v>
      </c>
    </row>
    <row r="8" spans="1:9" x14ac:dyDescent="0.25">
      <c r="A8" s="40"/>
      <c r="B8" s="34"/>
      <c r="C8" s="38"/>
      <c r="D8" s="38"/>
      <c r="E8" s="39"/>
      <c r="F8" s="39"/>
      <c r="G8" s="4" t="s">
        <v>82</v>
      </c>
      <c r="H8" s="15">
        <v>7680</v>
      </c>
      <c r="I8" s="16">
        <f t="shared" si="0"/>
        <v>7680</v>
      </c>
    </row>
    <row r="9" spans="1:9" x14ac:dyDescent="0.25">
      <c r="A9" s="40"/>
      <c r="B9" s="34"/>
      <c r="C9" s="38"/>
      <c r="D9" s="38"/>
      <c r="E9" s="39"/>
      <c r="F9" s="39"/>
      <c r="G9" s="4" t="s">
        <v>83</v>
      </c>
      <c r="H9" s="15">
        <v>10150</v>
      </c>
      <c r="I9" s="16">
        <f t="shared" si="0"/>
        <v>10150</v>
      </c>
    </row>
    <row r="10" spans="1:9" x14ac:dyDescent="0.25">
      <c r="A10" s="40"/>
      <c r="B10" s="34"/>
      <c r="C10" s="38"/>
      <c r="D10" s="38"/>
      <c r="E10" s="39"/>
      <c r="F10" s="39"/>
      <c r="G10" s="4" t="s">
        <v>84</v>
      </c>
      <c r="H10" s="15">
        <v>10040</v>
      </c>
      <c r="I10" s="16">
        <f t="shared" si="0"/>
        <v>10040</v>
      </c>
    </row>
    <row r="11" spans="1:9" x14ac:dyDescent="0.25">
      <c r="A11" s="40"/>
      <c r="B11" s="34"/>
      <c r="C11" s="38"/>
      <c r="D11" s="38"/>
      <c r="E11" s="39"/>
      <c r="F11" s="39"/>
      <c r="G11" s="4" t="s">
        <v>60</v>
      </c>
      <c r="H11" s="15">
        <v>10600</v>
      </c>
      <c r="I11" s="16">
        <f t="shared" si="0"/>
        <v>10600</v>
      </c>
    </row>
    <row r="12" spans="1:9" x14ac:dyDescent="0.25">
      <c r="A12" s="40"/>
      <c r="B12" s="34"/>
      <c r="C12" s="38"/>
      <c r="D12" s="38"/>
      <c r="E12" s="39"/>
      <c r="F12" s="39"/>
      <c r="G12" s="4" t="s">
        <v>59</v>
      </c>
      <c r="H12" s="15">
        <v>8000</v>
      </c>
      <c r="I12" s="16">
        <f t="shared" si="0"/>
        <v>8000</v>
      </c>
    </row>
    <row r="13" spans="1:9" x14ac:dyDescent="0.25">
      <c r="A13" s="40"/>
      <c r="B13" s="34"/>
      <c r="C13" s="38"/>
      <c r="D13" s="38"/>
      <c r="E13" s="39"/>
      <c r="F13" s="39"/>
      <c r="G13" s="4" t="s">
        <v>85</v>
      </c>
      <c r="H13" s="15">
        <v>14086.4</v>
      </c>
      <c r="I13" s="16" t="str">
        <f t="shared" si="0"/>
        <v>Descartado</v>
      </c>
    </row>
    <row r="14" spans="1:9" x14ac:dyDescent="0.25">
      <c r="A14" s="40"/>
      <c r="B14" s="34"/>
      <c r="C14" s="38"/>
      <c r="D14" s="38"/>
      <c r="E14" s="39"/>
      <c r="F14" s="39"/>
      <c r="G14" s="4" t="s">
        <v>86</v>
      </c>
      <c r="H14" s="15">
        <v>8650</v>
      </c>
      <c r="I14" s="16">
        <f t="shared" si="0"/>
        <v>8650</v>
      </c>
    </row>
    <row r="15" spans="1:9" x14ac:dyDescent="0.25">
      <c r="A15" s="40"/>
      <c r="B15" s="34"/>
      <c r="C15" s="38"/>
      <c r="D15" s="38"/>
      <c r="E15" s="39"/>
      <c r="F15" s="39"/>
      <c r="G15" s="4" t="s">
        <v>168</v>
      </c>
      <c r="H15" s="15">
        <v>12399</v>
      </c>
      <c r="I15" s="16" t="str">
        <f t="shared" si="0"/>
        <v>Descartado</v>
      </c>
    </row>
    <row r="16" spans="1:9" x14ac:dyDescent="0.25">
      <c r="A16" s="40"/>
      <c r="B16" s="34"/>
      <c r="C16" s="38"/>
      <c r="D16" s="38"/>
      <c r="E16" s="39"/>
      <c r="F16" s="39"/>
      <c r="G16" s="4" t="s">
        <v>173</v>
      </c>
      <c r="H16" s="15">
        <v>12624</v>
      </c>
      <c r="I16" s="16" t="str">
        <f t="shared" si="0"/>
        <v>Descartado</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3467.035745321074</v>
      </c>
      <c r="B20" s="7">
        <f>COUNT(H3:H17)</f>
        <v>14</v>
      </c>
      <c r="C20" s="8">
        <f>IF(B20&lt;2,"n/a",(A20/D20))</f>
        <v>0.39766607237070245</v>
      </c>
      <c r="D20" s="9">
        <f>IFERROR(ROUND(AVERAGE(H3:H17),2),"")</f>
        <v>8718.4599999999991</v>
      </c>
      <c r="E20" s="14">
        <f>IFERROR(ROUND(IF(B20&lt;2,"n/a",(IF(C20&lt;=25%,"n/a",AVERAGE(I3:I17)))),2),"n/a")</f>
        <v>7540.83</v>
      </c>
      <c r="F20" s="9">
        <f>IFERROR(ROUND(MEDIAN(H3:H17),2),"")</f>
        <v>8850</v>
      </c>
      <c r="G20" s="10" t="str">
        <f>IFERROR(INDEX(G3:G17,MATCH(H20,H3:H17,0)),"")</f>
        <v>INSUMATEK TECNOLOGIA LTDA</v>
      </c>
      <c r="H20" s="11">
        <f>F3</f>
        <v>1172.6600000000001</v>
      </c>
    </row>
    <row r="22" spans="1:9" x14ac:dyDescent="0.25">
      <c r="G22" s="12" t="s">
        <v>20</v>
      </c>
      <c r="H22" s="13">
        <f>IF(C20&lt;=25%,D20,MIN(E20:F20))</f>
        <v>7540.83</v>
      </c>
    </row>
    <row r="23" spans="1:9" x14ac:dyDescent="0.25">
      <c r="G23" s="12" t="s">
        <v>6</v>
      </c>
      <c r="H23" s="13">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6</v>
      </c>
      <c r="B3" s="33" t="s">
        <v>35</v>
      </c>
      <c r="C3" s="38" t="s">
        <v>7</v>
      </c>
      <c r="D3" s="38">
        <v>2</v>
      </c>
      <c r="E3" s="39">
        <f>IF(C20&lt;=25%,D20,MIN(E20:F20))</f>
        <v>1062.4100000000001</v>
      </c>
      <c r="F3" s="39">
        <f>MIN(H3:H17)</f>
        <v>749</v>
      </c>
      <c r="G3" s="4" t="s">
        <v>78</v>
      </c>
      <c r="H3" s="15">
        <v>749</v>
      </c>
      <c r="I3" s="16">
        <f>IF(H3="","",(IF($C$20&lt;25%,"n/a",IF(H3&lt;=($D$20+$A$20),H3,"Descartado"))))</f>
        <v>749</v>
      </c>
    </row>
    <row r="4" spans="1:9" x14ac:dyDescent="0.25">
      <c r="A4" s="40"/>
      <c r="B4" s="34"/>
      <c r="C4" s="38"/>
      <c r="D4" s="38"/>
      <c r="E4" s="39"/>
      <c r="F4" s="39"/>
      <c r="G4" s="4" t="s">
        <v>170</v>
      </c>
      <c r="H4" s="15">
        <v>1539.22</v>
      </c>
      <c r="I4" s="16">
        <f t="shared" ref="I4:I17" si="0">IF(H4="","",(IF($C$20&lt;25%,"n/a",IF(H4&lt;=($D$20+$A$20),H4,"Descartado"))))</f>
        <v>1539.22</v>
      </c>
    </row>
    <row r="5" spans="1:9" x14ac:dyDescent="0.25">
      <c r="A5" s="40"/>
      <c r="B5" s="34"/>
      <c r="C5" s="38"/>
      <c r="D5" s="38"/>
      <c r="E5" s="39"/>
      <c r="F5" s="39"/>
      <c r="G5" s="4" t="s">
        <v>168</v>
      </c>
      <c r="H5" s="15">
        <v>899</v>
      </c>
      <c r="I5" s="16">
        <f t="shared" si="0"/>
        <v>899</v>
      </c>
    </row>
    <row r="6" spans="1:9" x14ac:dyDescent="0.25">
      <c r="A6" s="40"/>
      <c r="B6" s="34"/>
      <c r="C6" s="38"/>
      <c r="D6" s="38"/>
      <c r="E6" s="39"/>
      <c r="F6" s="39"/>
      <c r="G6" s="4" t="s">
        <v>171</v>
      </c>
      <c r="H6" s="15">
        <v>2178.21</v>
      </c>
      <c r="I6" s="16" t="str">
        <f t="shared" si="0"/>
        <v>Descartado</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654.73639511765816</v>
      </c>
      <c r="B20" s="7">
        <f>COUNT(H3:H17)</f>
        <v>4</v>
      </c>
      <c r="C20" s="8">
        <f>IF(B20&lt;2,"n/a",(A20/D20))</f>
        <v>0.48811385095549159</v>
      </c>
      <c r="D20" s="9">
        <f>IFERROR(ROUND(AVERAGE(H3:H17),2),"")</f>
        <v>1341.36</v>
      </c>
      <c r="E20" s="14">
        <f>IFERROR(ROUND(IF(B20&lt;2,"n/a",(IF(C20&lt;=25%,"n/a",AVERAGE(I3:I17)))),2),"n/a")</f>
        <v>1062.4100000000001</v>
      </c>
      <c r="F20" s="9">
        <f>IFERROR(ROUND(MEDIAN(H3:H17),2),"")</f>
        <v>1219.1099999999999</v>
      </c>
      <c r="G20" s="10" t="str">
        <f>IFERROR(INDEX(G3:G17,MATCH(H20,H3:H17,0)),"")</f>
        <v>RAUL MUELLER SCHRAMM</v>
      </c>
      <c r="H20" s="11">
        <f>F3</f>
        <v>749</v>
      </c>
    </row>
    <row r="22" spans="1:9" x14ac:dyDescent="0.25">
      <c r="G22" s="12" t="s">
        <v>20</v>
      </c>
      <c r="H22" s="13">
        <f>IF(C20&lt;=25%,D20,MIN(E20:F20))</f>
        <v>1062.4100000000001</v>
      </c>
    </row>
    <row r="23" spans="1:9" x14ac:dyDescent="0.25">
      <c r="G23" s="12" t="s">
        <v>6</v>
      </c>
      <c r="H23" s="13">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7</v>
      </c>
      <c r="B3" s="33" t="s">
        <v>36</v>
      </c>
      <c r="C3" s="38" t="s">
        <v>7</v>
      </c>
      <c r="D3" s="38">
        <v>2</v>
      </c>
      <c r="E3" s="39">
        <f>IF(C20&lt;=25%,D20,MIN(E20:F20))</f>
        <v>232.66</v>
      </c>
      <c r="F3" s="39">
        <f>MIN(H3:H17)</f>
        <v>188</v>
      </c>
      <c r="G3" s="4" t="s">
        <v>60</v>
      </c>
      <c r="H3" s="15">
        <v>188</v>
      </c>
      <c r="I3" s="16">
        <f>IF(H3="","",(IF($C$20&lt;25%,"n/a",IF(H3&lt;=($D$20+$A$20),H3,"Descartado"))))</f>
        <v>188</v>
      </c>
    </row>
    <row r="4" spans="1:9" x14ac:dyDescent="0.25">
      <c r="A4" s="40"/>
      <c r="B4" s="34"/>
      <c r="C4" s="38"/>
      <c r="D4" s="38"/>
      <c r="E4" s="39"/>
      <c r="F4" s="39"/>
      <c r="G4" s="4" t="s">
        <v>87</v>
      </c>
      <c r="H4" s="15">
        <v>360</v>
      </c>
      <c r="I4" s="16" t="str">
        <f t="shared" ref="I4:I17" si="0">IF(H4="","",(IF($C$20&lt;25%,"n/a",IF(H4&lt;=($D$20+$A$20),H4,"Descartado"))))</f>
        <v>Descartado</v>
      </c>
    </row>
    <row r="5" spans="1:9" x14ac:dyDescent="0.25">
      <c r="A5" s="40"/>
      <c r="B5" s="34"/>
      <c r="C5" s="38"/>
      <c r="D5" s="38"/>
      <c r="E5" s="39"/>
      <c r="F5" s="39"/>
      <c r="G5" s="4" t="s">
        <v>88</v>
      </c>
      <c r="H5" s="15">
        <v>280</v>
      </c>
      <c r="I5" s="16">
        <f t="shared" si="0"/>
        <v>280</v>
      </c>
    </row>
    <row r="6" spans="1:9" x14ac:dyDescent="0.25">
      <c r="A6" s="40"/>
      <c r="B6" s="34"/>
      <c r="C6" s="38"/>
      <c r="D6" s="38"/>
      <c r="E6" s="39"/>
      <c r="F6" s="39"/>
      <c r="G6" s="4" t="s">
        <v>171</v>
      </c>
      <c r="H6" s="15">
        <v>229.99</v>
      </c>
      <c r="I6" s="16">
        <f t="shared" si="0"/>
        <v>229.99</v>
      </c>
    </row>
    <row r="7" spans="1:9" x14ac:dyDescent="0.25">
      <c r="A7" s="40"/>
      <c r="B7" s="34"/>
      <c r="C7" s="38"/>
      <c r="D7" s="38"/>
      <c r="E7" s="39"/>
      <c r="F7" s="39"/>
      <c r="G7" s="4"/>
      <c r="H7" s="15"/>
      <c r="I7" s="16" t="str">
        <f t="shared" si="0"/>
        <v/>
      </c>
    </row>
    <row r="8" spans="1:9" x14ac:dyDescent="0.25">
      <c r="A8" s="40"/>
      <c r="B8" s="34"/>
      <c r="C8" s="38"/>
      <c r="D8" s="38"/>
      <c r="E8" s="39"/>
      <c r="F8" s="39"/>
      <c r="G8" s="4"/>
      <c r="H8" s="15"/>
      <c r="I8" s="16" t="str">
        <f t="shared" si="0"/>
        <v/>
      </c>
    </row>
    <row r="9" spans="1:9" x14ac:dyDescent="0.25">
      <c r="A9" s="40"/>
      <c r="B9" s="34"/>
      <c r="C9" s="38"/>
      <c r="D9" s="38"/>
      <c r="E9" s="39"/>
      <c r="F9" s="39"/>
      <c r="G9" s="4"/>
      <c r="H9" s="15"/>
      <c r="I9" s="16" t="str">
        <f t="shared" si="0"/>
        <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73.945227646324028</v>
      </c>
      <c r="B20" s="7">
        <f>COUNT(H3:H17)</f>
        <v>4</v>
      </c>
      <c r="C20" s="8">
        <f>IF(B20&lt;2,"n/a",(A20/D20))</f>
        <v>0.27956607805793582</v>
      </c>
      <c r="D20" s="9">
        <f>IFERROR(ROUND(AVERAGE(H3:H17),2),"")</f>
        <v>264.5</v>
      </c>
      <c r="E20" s="14">
        <f>IFERROR(ROUND(IF(B20&lt;2,"n/a",(IF(C20&lt;=25%,"n/a",AVERAGE(I3:I17)))),2),"n/a")</f>
        <v>232.66</v>
      </c>
      <c r="F20" s="9">
        <f>IFERROR(ROUND(MEDIAN(H3:H17),2),"")</f>
        <v>255</v>
      </c>
      <c r="G20" s="10" t="str">
        <f>IFERROR(INDEX(G3:G17,MATCH(H20,H3:H17,0)),"")</f>
        <v>MEP COMERCIO DE ELETRONICOS E SERVICOS LTDA</v>
      </c>
      <c r="H20" s="11">
        <f>F3</f>
        <v>188</v>
      </c>
    </row>
    <row r="22" spans="1:9" x14ac:dyDescent="0.25">
      <c r="G22" s="12" t="s">
        <v>20</v>
      </c>
      <c r="H22" s="13">
        <f>IF(C20&lt;=25%,D20,MIN(E20:F20))</f>
        <v>232.66</v>
      </c>
    </row>
    <row r="23" spans="1:9" x14ac:dyDescent="0.25">
      <c r="G23" s="12" t="s">
        <v>6</v>
      </c>
      <c r="H23" s="13">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8</v>
      </c>
      <c r="B3" s="33" t="s">
        <v>37</v>
      </c>
      <c r="C3" s="38" t="s">
        <v>7</v>
      </c>
      <c r="D3" s="38">
        <v>1</v>
      </c>
      <c r="E3" s="39">
        <f>IF(C20&lt;=25%,D20,MIN(E20:F20))</f>
        <v>1797.62</v>
      </c>
      <c r="F3" s="39">
        <f>MIN(H3:H17)</f>
        <v>514</v>
      </c>
      <c r="G3" s="4" t="s">
        <v>89</v>
      </c>
      <c r="H3" s="15">
        <v>1463.54</v>
      </c>
      <c r="I3" s="16">
        <f>IF(H3="","",(IF($C$20&lt;25%,"n/a",IF(H3&lt;=($D$20+$A$20),H3,"Descartado"))))</f>
        <v>1463.54</v>
      </c>
    </row>
    <row r="4" spans="1:9" x14ac:dyDescent="0.25">
      <c r="A4" s="40"/>
      <c r="B4" s="34"/>
      <c r="C4" s="38"/>
      <c r="D4" s="38"/>
      <c r="E4" s="39"/>
      <c r="F4" s="39"/>
      <c r="G4" s="4" t="s">
        <v>90</v>
      </c>
      <c r="H4" s="15">
        <v>514</v>
      </c>
      <c r="I4" s="16">
        <f t="shared" ref="I4:I17" si="0">IF(H4="","",(IF($C$20&lt;25%,"n/a",IF(H4&lt;=($D$20+$A$20),H4,"Descartado"))))</f>
        <v>514</v>
      </c>
    </row>
    <row r="5" spans="1:9" x14ac:dyDescent="0.25">
      <c r="A5" s="40"/>
      <c r="B5" s="34"/>
      <c r="C5" s="38"/>
      <c r="D5" s="38"/>
      <c r="E5" s="39"/>
      <c r="F5" s="39"/>
      <c r="G5" s="4" t="s">
        <v>91</v>
      </c>
      <c r="H5" s="15">
        <v>2565.66</v>
      </c>
      <c r="I5" s="16">
        <f t="shared" si="0"/>
        <v>2565.66</v>
      </c>
    </row>
    <row r="6" spans="1:9" x14ac:dyDescent="0.25">
      <c r="A6" s="40"/>
      <c r="B6" s="34"/>
      <c r="C6" s="38"/>
      <c r="D6" s="38"/>
      <c r="E6" s="39"/>
      <c r="F6" s="39"/>
      <c r="G6" s="4" t="s">
        <v>92</v>
      </c>
      <c r="H6" s="15">
        <v>790</v>
      </c>
      <c r="I6" s="16">
        <f t="shared" si="0"/>
        <v>790</v>
      </c>
    </row>
    <row r="7" spans="1:9" x14ac:dyDescent="0.25">
      <c r="A7" s="40"/>
      <c r="B7" s="34"/>
      <c r="C7" s="38"/>
      <c r="D7" s="38"/>
      <c r="E7" s="39"/>
      <c r="F7" s="39"/>
      <c r="G7" s="4" t="s">
        <v>93</v>
      </c>
      <c r="H7" s="15">
        <v>4858</v>
      </c>
      <c r="I7" s="16" t="str">
        <f t="shared" si="0"/>
        <v>Descartado</v>
      </c>
    </row>
    <row r="8" spans="1:9" x14ac:dyDescent="0.25">
      <c r="A8" s="40"/>
      <c r="B8" s="34"/>
      <c r="C8" s="38"/>
      <c r="D8" s="38"/>
      <c r="E8" s="39"/>
      <c r="F8" s="39"/>
      <c r="G8" s="4" t="s">
        <v>94</v>
      </c>
      <c r="H8" s="15">
        <v>4932</v>
      </c>
      <c r="I8" s="16" t="str">
        <f t="shared" si="0"/>
        <v>Descartado</v>
      </c>
    </row>
    <row r="9" spans="1:9" x14ac:dyDescent="0.25">
      <c r="A9" s="40"/>
      <c r="B9" s="34"/>
      <c r="C9" s="38"/>
      <c r="D9" s="38"/>
      <c r="E9" s="39"/>
      <c r="F9" s="39"/>
      <c r="G9" s="4" t="s">
        <v>95</v>
      </c>
      <c r="H9" s="15">
        <v>1970</v>
      </c>
      <c r="I9" s="16">
        <f t="shared" si="0"/>
        <v>1970</v>
      </c>
    </row>
    <row r="10" spans="1:9" x14ac:dyDescent="0.25">
      <c r="A10" s="40"/>
      <c r="B10" s="34"/>
      <c r="C10" s="38"/>
      <c r="D10" s="38"/>
      <c r="E10" s="39"/>
      <c r="F10" s="39"/>
      <c r="G10" s="4" t="s">
        <v>96</v>
      </c>
      <c r="H10" s="15">
        <v>3137</v>
      </c>
      <c r="I10" s="16">
        <f t="shared" si="0"/>
        <v>3137</v>
      </c>
    </row>
    <row r="11" spans="1:9" x14ac:dyDescent="0.25">
      <c r="A11" s="40"/>
      <c r="B11" s="34"/>
      <c r="C11" s="38"/>
      <c r="D11" s="38"/>
      <c r="E11" s="39"/>
      <c r="F11" s="39"/>
      <c r="G11" s="4" t="s">
        <v>97</v>
      </c>
      <c r="H11" s="15">
        <v>1990</v>
      </c>
      <c r="I11" s="16">
        <f t="shared" si="0"/>
        <v>1990</v>
      </c>
    </row>
    <row r="12" spans="1:9" x14ac:dyDescent="0.25">
      <c r="A12" s="40"/>
      <c r="B12" s="34"/>
      <c r="C12" s="38"/>
      <c r="D12" s="38"/>
      <c r="E12" s="39"/>
      <c r="F12" s="39"/>
      <c r="G12" s="4" t="s">
        <v>171</v>
      </c>
      <c r="H12" s="15">
        <v>1950.72</v>
      </c>
      <c r="I12" s="16">
        <f t="shared" si="0"/>
        <v>1950.72</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1512.9582766135134</v>
      </c>
      <c r="B20" s="7">
        <f>COUNT(H3:H17)</f>
        <v>10</v>
      </c>
      <c r="C20" s="8">
        <f>IF(B20&lt;2,"n/a",(A20/D20))</f>
        <v>0.62594205288736182</v>
      </c>
      <c r="D20" s="9">
        <f>IFERROR(ROUND(AVERAGE(H3:H17),2),"")</f>
        <v>2417.09</v>
      </c>
      <c r="E20" s="14">
        <f>IFERROR(ROUND(IF(B20&lt;2,"n/a",(IF(C20&lt;=25%,"n/a",AVERAGE(I3:I17)))),2),"n/a")</f>
        <v>1797.62</v>
      </c>
      <c r="F20" s="9">
        <f>IFERROR(ROUND(MEDIAN(H3:H17),2),"")</f>
        <v>1980</v>
      </c>
      <c r="G20" s="10" t="str">
        <f>IFERROR(INDEX(G3:G17,MATCH(H20,H3:H17,0)),"")</f>
        <v>37.356.021 GABRIEL JULIAN FINCK</v>
      </c>
      <c r="H20" s="11">
        <f>F3</f>
        <v>514</v>
      </c>
    </row>
    <row r="22" spans="1:9" x14ac:dyDescent="0.25">
      <c r="G22" s="12" t="s">
        <v>20</v>
      </c>
      <c r="H22" s="13">
        <f>IF(C20&lt;=25%,D20,MIN(E20:F20))</f>
        <v>1797.62</v>
      </c>
    </row>
    <row r="23" spans="1:9" x14ac:dyDescent="0.25">
      <c r="G23" s="12" t="s">
        <v>6</v>
      </c>
      <c r="H23" s="13">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8</v>
      </c>
      <c r="B1" s="32"/>
      <c r="C1" s="32"/>
      <c r="D1" s="32"/>
      <c r="E1" s="32"/>
      <c r="F1" s="32"/>
      <c r="G1" s="32"/>
      <c r="H1" s="32"/>
      <c r="I1" s="32"/>
    </row>
    <row r="2" spans="1:9" s="3" customFormat="1" ht="36" x14ac:dyDescent="0.25">
      <c r="A2" s="5" t="s">
        <v>1</v>
      </c>
      <c r="B2" s="5" t="s">
        <v>2</v>
      </c>
      <c r="C2" s="5" t="s">
        <v>3</v>
      </c>
      <c r="D2" s="5" t="s">
        <v>4</v>
      </c>
      <c r="E2" s="5" t="s">
        <v>9</v>
      </c>
      <c r="F2" s="5" t="s">
        <v>10</v>
      </c>
      <c r="G2" s="5" t="s">
        <v>11</v>
      </c>
      <c r="H2" s="5" t="s">
        <v>12</v>
      </c>
      <c r="I2" s="5" t="s">
        <v>13</v>
      </c>
    </row>
    <row r="3" spans="1:9" x14ac:dyDescent="0.25">
      <c r="A3" s="40">
        <v>9</v>
      </c>
      <c r="B3" s="33" t="s">
        <v>38</v>
      </c>
      <c r="C3" s="38" t="s">
        <v>7</v>
      </c>
      <c r="D3" s="38">
        <v>4</v>
      </c>
      <c r="E3" s="39">
        <f>IF(C20&lt;=25%,D20,MIN(E20:F20))</f>
        <v>684.5</v>
      </c>
      <c r="F3" s="39">
        <f>MIN(H3:H17)</f>
        <v>110</v>
      </c>
      <c r="G3" s="4" t="s">
        <v>98</v>
      </c>
      <c r="H3" s="15">
        <v>699</v>
      </c>
      <c r="I3" s="16">
        <f>IF(H3="","",(IF($C$20&lt;25%,"n/a",IF(H3&lt;=($D$20+$A$20),H3,"Descartado"))))</f>
        <v>699</v>
      </c>
    </row>
    <row r="4" spans="1:9" x14ac:dyDescent="0.25">
      <c r="A4" s="40"/>
      <c r="B4" s="34"/>
      <c r="C4" s="38"/>
      <c r="D4" s="38"/>
      <c r="E4" s="39"/>
      <c r="F4" s="39"/>
      <c r="G4" s="4" t="s">
        <v>99</v>
      </c>
      <c r="H4" s="15">
        <v>238.76</v>
      </c>
      <c r="I4" s="16">
        <f t="shared" ref="I4:I17" si="0">IF(H4="","",(IF($C$20&lt;25%,"n/a",IF(H4&lt;=($D$20+$A$20),H4,"Descartado"))))</f>
        <v>238.76</v>
      </c>
    </row>
    <row r="5" spans="1:9" x14ac:dyDescent="0.25">
      <c r="A5" s="40"/>
      <c r="B5" s="34"/>
      <c r="C5" s="38"/>
      <c r="D5" s="38"/>
      <c r="E5" s="39"/>
      <c r="F5" s="39"/>
      <c r="G5" s="4" t="s">
        <v>100</v>
      </c>
      <c r="H5" s="15">
        <v>595</v>
      </c>
      <c r="I5" s="16">
        <f t="shared" si="0"/>
        <v>595</v>
      </c>
    </row>
    <row r="6" spans="1:9" x14ac:dyDescent="0.25">
      <c r="A6" s="40"/>
      <c r="B6" s="34"/>
      <c r="C6" s="38"/>
      <c r="D6" s="38"/>
      <c r="E6" s="39"/>
      <c r="F6" s="39"/>
      <c r="G6" s="4" t="s">
        <v>101</v>
      </c>
      <c r="H6" s="15">
        <v>110</v>
      </c>
      <c r="I6" s="16">
        <f t="shared" si="0"/>
        <v>110</v>
      </c>
    </row>
    <row r="7" spans="1:9" x14ac:dyDescent="0.25">
      <c r="A7" s="40"/>
      <c r="B7" s="34"/>
      <c r="C7" s="38"/>
      <c r="D7" s="38"/>
      <c r="E7" s="39"/>
      <c r="F7" s="39"/>
      <c r="G7" s="4" t="s">
        <v>102</v>
      </c>
      <c r="H7" s="15">
        <v>1064.26</v>
      </c>
      <c r="I7" s="16">
        <f t="shared" si="0"/>
        <v>1064.26</v>
      </c>
    </row>
    <row r="8" spans="1:9" x14ac:dyDescent="0.25">
      <c r="A8" s="40"/>
      <c r="B8" s="34"/>
      <c r="C8" s="38"/>
      <c r="D8" s="38"/>
      <c r="E8" s="39"/>
      <c r="F8" s="39"/>
      <c r="G8" s="4" t="s">
        <v>174</v>
      </c>
      <c r="H8" s="15">
        <v>1400</v>
      </c>
      <c r="I8" s="16">
        <f t="shared" si="0"/>
        <v>1400</v>
      </c>
    </row>
    <row r="9" spans="1:9" x14ac:dyDescent="0.25">
      <c r="A9" s="40"/>
      <c r="B9" s="34"/>
      <c r="C9" s="38"/>
      <c r="D9" s="38"/>
      <c r="E9" s="39"/>
      <c r="F9" s="39"/>
      <c r="G9" s="4" t="s">
        <v>175</v>
      </c>
      <c r="H9" s="15">
        <v>5751</v>
      </c>
      <c r="I9" s="16" t="str">
        <f t="shared" si="0"/>
        <v>Descartado</v>
      </c>
    </row>
    <row r="10" spans="1:9" x14ac:dyDescent="0.25">
      <c r="A10" s="40"/>
      <c r="B10" s="34"/>
      <c r="C10" s="38"/>
      <c r="D10" s="38"/>
      <c r="E10" s="39"/>
      <c r="F10" s="39"/>
      <c r="G10" s="4"/>
      <c r="H10" s="15"/>
      <c r="I10" s="16" t="str">
        <f t="shared" si="0"/>
        <v/>
      </c>
    </row>
    <row r="11" spans="1:9" x14ac:dyDescent="0.25">
      <c r="A11" s="40"/>
      <c r="B11" s="34"/>
      <c r="C11" s="38"/>
      <c r="D11" s="38"/>
      <c r="E11" s="39"/>
      <c r="F11" s="39"/>
      <c r="G11" s="4"/>
      <c r="H11" s="15"/>
      <c r="I11" s="16" t="str">
        <f t="shared" si="0"/>
        <v/>
      </c>
    </row>
    <row r="12" spans="1:9" x14ac:dyDescent="0.25">
      <c r="A12" s="40"/>
      <c r="B12" s="34"/>
      <c r="C12" s="38"/>
      <c r="D12" s="38"/>
      <c r="E12" s="39"/>
      <c r="F12" s="39"/>
      <c r="G12" s="4"/>
      <c r="H12" s="15"/>
      <c r="I12" s="16" t="str">
        <f t="shared" si="0"/>
        <v/>
      </c>
    </row>
    <row r="13" spans="1:9" x14ac:dyDescent="0.25">
      <c r="A13" s="40"/>
      <c r="B13" s="34"/>
      <c r="C13" s="38"/>
      <c r="D13" s="38"/>
      <c r="E13" s="39"/>
      <c r="F13" s="39"/>
      <c r="G13" s="4"/>
      <c r="H13" s="15"/>
      <c r="I13" s="16" t="str">
        <f t="shared" si="0"/>
        <v/>
      </c>
    </row>
    <row r="14" spans="1:9" x14ac:dyDescent="0.25">
      <c r="A14" s="40"/>
      <c r="B14" s="34"/>
      <c r="C14" s="38"/>
      <c r="D14" s="38"/>
      <c r="E14" s="39"/>
      <c r="F14" s="39"/>
      <c r="G14" s="4"/>
      <c r="H14" s="15"/>
      <c r="I14" s="16" t="str">
        <f t="shared" si="0"/>
        <v/>
      </c>
    </row>
    <row r="15" spans="1:9" x14ac:dyDescent="0.25">
      <c r="A15" s="40"/>
      <c r="B15" s="34"/>
      <c r="C15" s="38"/>
      <c r="D15" s="38"/>
      <c r="E15" s="39"/>
      <c r="F15" s="39"/>
      <c r="G15" s="4"/>
      <c r="H15" s="15"/>
      <c r="I15" s="16" t="str">
        <f t="shared" si="0"/>
        <v/>
      </c>
    </row>
    <row r="16" spans="1:9" x14ac:dyDescent="0.25">
      <c r="A16" s="40"/>
      <c r="B16" s="34"/>
      <c r="C16" s="38"/>
      <c r="D16" s="38"/>
      <c r="E16" s="39"/>
      <c r="F16" s="39"/>
      <c r="G16" s="4"/>
      <c r="H16" s="15"/>
      <c r="I16" s="16" t="str">
        <f t="shared" si="0"/>
        <v/>
      </c>
    </row>
    <row r="17" spans="1:9" x14ac:dyDescent="0.25">
      <c r="A17" s="40"/>
      <c r="B17" s="34"/>
      <c r="C17" s="38"/>
      <c r="D17" s="38"/>
      <c r="E17" s="39"/>
      <c r="F17" s="39"/>
      <c r="G17" s="4"/>
      <c r="H17" s="15"/>
      <c r="I17" s="16" t="str">
        <f t="shared" si="0"/>
        <v/>
      </c>
    </row>
    <row r="19" spans="1:9" s="3" customFormat="1" ht="24" x14ac:dyDescent="0.25">
      <c r="A19" s="5" t="s">
        <v>14</v>
      </c>
      <c r="B19" s="5" t="s">
        <v>15</v>
      </c>
      <c r="C19" s="5" t="s">
        <v>25</v>
      </c>
      <c r="D19" s="5" t="s">
        <v>16</v>
      </c>
      <c r="E19" s="5" t="s">
        <v>17</v>
      </c>
      <c r="F19" s="5" t="s">
        <v>18</v>
      </c>
      <c r="G19" s="31" t="s">
        <v>19</v>
      </c>
      <c r="H19" s="31"/>
    </row>
    <row r="20" spans="1:9" x14ac:dyDescent="0.25">
      <c r="A20" s="7">
        <f>IF(B20&lt;2,"n/a",(_xlfn.STDEV.S(H3:H17)))</f>
        <v>1966.1911479764506</v>
      </c>
      <c r="B20" s="7">
        <f>COUNT(H3:H17)</f>
        <v>7</v>
      </c>
      <c r="C20" s="8">
        <f>IF(B20&lt;2,"n/a",(A20/D20))</f>
        <v>1.3961550163506455</v>
      </c>
      <c r="D20" s="9">
        <f>IFERROR(ROUND(AVERAGE(H3:H17),2),"")</f>
        <v>1408.29</v>
      </c>
      <c r="E20" s="14">
        <f>IFERROR(ROUND(IF(B20&lt;2,"n/a",(IF(C20&lt;=25%,"n/a",AVERAGE(I3:I17)))),2),"n/a")</f>
        <v>684.5</v>
      </c>
      <c r="F20" s="9">
        <f>IFERROR(ROUND(MEDIAN(H3:H17),2),"")</f>
        <v>699</v>
      </c>
      <c r="G20" s="10" t="str">
        <f>IFERROR(INDEX(G3:G17,MATCH(H20,H3:H17,0)),"")</f>
        <v>CR3 COMERCIO ELETRONICO LTDA</v>
      </c>
      <c r="H20" s="11">
        <f>F3</f>
        <v>110</v>
      </c>
    </row>
    <row r="22" spans="1:9" x14ac:dyDescent="0.25">
      <c r="G22" s="12" t="s">
        <v>20</v>
      </c>
      <c r="H22" s="13">
        <f>IF(C20&lt;=25%,D20,MIN(E20:F20))</f>
        <v>684.5</v>
      </c>
    </row>
    <row r="23" spans="1:9" x14ac:dyDescent="0.25">
      <c r="G23" s="12" t="s">
        <v>6</v>
      </c>
      <c r="H23" s="13">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2024-01-17T19:08:55Z</cp:lastPrinted>
  <dcterms:created xsi:type="dcterms:W3CDTF">2023-11-07T17:10:34Z</dcterms:created>
  <dcterms:modified xsi:type="dcterms:W3CDTF">2025-08-26T14:53:08Z</dcterms:modified>
</cp:coreProperties>
</file>