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state="hidden" r:id="rId9"/>
    <sheet name="Item10" sheetId="12" state="hidden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total!$A$1:$G$19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5" i="9"/>
  <c r="I11" i="9"/>
  <c r="I17" i="9"/>
  <c r="I15" i="6"/>
  <c r="I14" i="6"/>
  <c r="I7" i="6"/>
  <c r="I17" i="6"/>
  <c r="I16" i="6"/>
  <c r="I12" i="6"/>
  <c r="I12" i="5"/>
  <c r="I17" i="5"/>
  <c r="I11" i="5"/>
  <c r="I16" i="5"/>
  <c r="I13" i="5"/>
  <c r="I15" i="5"/>
  <c r="I14" i="5"/>
  <c r="A20" i="4"/>
  <c r="C20" i="4" s="1"/>
  <c r="C20" i="1"/>
  <c r="I7" i="8" l="1"/>
  <c r="I5" i="6"/>
  <c r="I6" i="6"/>
  <c r="I3" i="6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H22" i="12"/>
  <c r="H23" i="12" s="1"/>
  <c r="E3" i="12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E3" i="6" l="1"/>
  <c r="F6" i="23" s="1"/>
  <c r="G6" i="23" s="1"/>
  <c r="E3" i="20"/>
  <c r="E3" i="8"/>
  <c r="F8" i="23" s="1"/>
  <c r="G8" i="23" s="1"/>
  <c r="E3" i="21"/>
  <c r="E3" i="19"/>
  <c r="E3" i="15"/>
  <c r="H22" i="13"/>
  <c r="H23" i="13" s="1"/>
  <c r="E3" i="10"/>
  <c r="F10" i="23" s="1"/>
  <c r="G10" i="23" s="1"/>
  <c r="H22" i="5"/>
  <c r="H23" i="5" s="1"/>
  <c r="H22" i="4"/>
  <c r="H23" i="4" s="1"/>
  <c r="E3" i="1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16" i="23" l="1"/>
  <c r="F15" i="23"/>
  <c r="F13" i="23"/>
</calcChain>
</file>

<file path=xl/sharedStrings.xml><?xml version="1.0" encoding="utf-8"?>
<sst xmlns="http://schemas.openxmlformats.org/spreadsheetml/2006/main" count="865" uniqueCount="111">
  <si>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</si>
  <si>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</si>
  <si>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</si>
  <si>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</si>
  <si>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</si>
  <si>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</si>
  <si>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</si>
  <si>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</si>
  <si>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</si>
  <si>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</si>
  <si>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</si>
  <si>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</si>
  <si>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</si>
  <si>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</si>
  <si>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</si>
  <si>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</si>
  <si>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</si>
  <si>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</si>
  <si>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</si>
  <si>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</si>
  <si>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</si>
  <si>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</si>
  <si>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</si>
  <si>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</si>
  <si>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</si>
  <si>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</si>
  <si>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</si>
  <si>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</si>
  <si>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</si>
  <si>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valor total do item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</si>
  <si>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</si>
  <si>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</si>
  <si>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</si>
  <si>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</si>
  <si>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</si>
  <si>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</si>
  <si>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</si>
  <si>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</si>
  <si>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</si>
  <si>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</si>
  <si>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</si>
  <si>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</si>
  <si>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</si>
  <si>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</si>
  <si>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</si>
  <si>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</si>
  <si>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</si>
  <si>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</si>
  <si>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</si>
  <si>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</si>
  <si>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</si>
  <si>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</si>
  <si>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</si>
  <si>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</si>
  <si>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</si>
  <si>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</si>
  <si>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</si>
  <si>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</si>
  <si>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</si>
  <si>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</si>
  <si>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</si>
  <si>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</si>
  <si>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</si>
  <si>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</si>
  <si>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</si>
  <si>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</si>
  <si>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</si>
  <si>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</si>
  <si>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</si>
  <si>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</si>
  <si>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</si>
  <si>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</si>
  <si>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</si>
  <si>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</si>
  <si>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</si>
  <si>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</si>
  <si>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</si>
  <si>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</si>
  <si>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</si>
  <si>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</si>
  <si>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</si>
  <si>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</si>
  <si>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</si>
  <si>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</si>
  <si>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</si>
  <si>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</si>
  <si>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</si>
  <si>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</si>
  <si>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</si>
  <si>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</si>
  <si>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</si>
  <si>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</si>
  <si>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</si>
  <si>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</si>
  <si>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</si>
  <si>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componente</t>
  </si>
  <si>
    <t>Auditoria de Fase 1 e Planejamento</t>
  </si>
  <si>
    <t>Auditoria de Fase 2</t>
  </si>
  <si>
    <t>Auditoria de Manutenção 1° Ano</t>
  </si>
  <si>
    <t>Auditoria de Manutenção 2° Ano</t>
  </si>
  <si>
    <t>Prestação de serviços de auditoria de certificação (auditorias de fase 1 e 2) e auditorias de manutenção na norma ISO 27001:2022</t>
  </si>
  <si>
    <t>Prestação de serviços de auditoria de certificação (auditorias de fase 1 e 2) e auditorias de manutenção na norma ISO 27.701:2019</t>
  </si>
  <si>
    <t>item 1</t>
  </si>
  <si>
    <t>item 2</t>
  </si>
  <si>
    <t>DSG CERTIFICACOES DE PRODUTOS LTDA</t>
  </si>
  <si>
    <t>BSI BRASIL SISTEMAS DE GESTÃO LTDA</t>
  </si>
  <si>
    <t>CBG CERTIFICADORA BRASILEIRA DE GESTÃO LTDA ME</t>
  </si>
  <si>
    <t>QMS DO BRASIL SERVICOS DE CERTIFICACAO LTDA</t>
  </si>
  <si>
    <t xml:space="preserve">total item </t>
  </si>
  <si>
    <t>TÜV NORD BRASIL AVALIAÇÕES DA QUALIDADE LTDA</t>
  </si>
  <si>
    <t>ONC ORGANISMO NACIONAL DE CERTIFICAÇÃO DE SISTEMAS DE GESTÃO EMPRESARIAL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</si>
</sst>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8" fillId="2" borderId="2" xfId="0" applyFont="1" applyFill="1" applyBorder="1" applyAlignment="1">
      <alignment horizontal="right" vertical="top"/>
    </xf>
    <xf numFmtId="44" fontId="8" fillId="2" borderId="1" xfId="1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</v>
      </c>
      <c r="B3" s="35" t="s">
        <v>96</v>
      </c>
      <c r="C3" s="37" t="s">
        <v>7</v>
      </c>
      <c r="D3" s="37">
        <v>1</v>
      </c>
      <c r="E3" s="38">
        <f>IF(C20&lt;=25%,D20,MIN(E20:F20))</f>
        <v>5669.5</v>
      </c>
      <c r="F3" s="38">
        <f>MIN(H3:H17)</f>
        <v>2500</v>
      </c>
      <c r="G3" s="5" t="s">
        <v>104</v>
      </c>
      <c r="H3" s="16">
        <v>13825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9125</v>
      </c>
      <c r="I4" s="17">
        <f t="shared" ref="I4:I17" si="0">IF(H4="","",(IF($C$20&lt;25%,"n/a",IF(H4&lt;=($D$20+$A$20),H4,"Descartado"))))</f>
        <v>9125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2500</v>
      </c>
      <c r="I5" s="17">
        <f t="shared" si="0"/>
        <v>2500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8000</v>
      </c>
      <c r="I6" s="17">
        <f t="shared" si="0"/>
        <v>8000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13790.58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3053</v>
      </c>
      <c r="I8" s="17">
        <f t="shared" si="0"/>
        <v>3053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4951.2245798455415</v>
      </c>
      <c r="B20" s="8">
        <f>COUNT(H3:H17)</f>
        <v>6</v>
      </c>
      <c r="C20" s="9">
        <f>IF(B20&lt;2,"n/a",(A20/D20))</f>
        <v>0.59067895529911285</v>
      </c>
      <c r="D20" s="10">
        <f>IFERROR(ROUND(AVERAGE(H3:H17),2),"")</f>
        <v>8382.26</v>
      </c>
      <c r="E20" s="15">
        <f>IFERROR(ROUND(IF(B20&lt;2,"n/a",(IF(C20&lt;=25%,"n/a",AVERAGE(I3:I17)))),2),"n/a")</f>
        <v>5669.5</v>
      </c>
      <c r="F20" s="10">
        <f>IFERROR(ROUND(MEDIAN(H3:H17),2),"")</f>
        <v>8562.5</v>
      </c>
      <c r="G20" s="11" t="str">
        <f>IFERROR(INDEX(G3:G17,MATCH(H20,H3:H17,0)),"")</f>
        <v>CBG CERTIFICADORA BRASILEIRA DE GESTÃO LTDA ME</v>
      </c>
      <c r="H20" s="12">
        <f>F3</f>
        <v>2500</v>
      </c>
    </row>
    <row r="22" spans="1:9" x14ac:dyDescent="0.25">
      <c r="G22" s="13" t="s">
        <v>20</v>
      </c>
      <c r="H22" s="14">
        <f>IF(C20&lt;=25%,D20,MIN(E20:F20))</f>
        <v>5669.5</v>
      </c>
    </row>
    <row r="23" spans="1:9" x14ac:dyDescent="0.25">
      <c r="G23" s="13" t="s">
        <v>6</v>
      </c>
      <c r="H23" s="14">
        <f>ROUND(H22,2)*D3</f>
        <v>5669.5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10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11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12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15</v>
      </c>
      <c r="B3" s="35" t="s">
        <v>89</v>
      </c>
      <c r="C3" s="37" t="s">
        <v>7</v>
      </c>
      <c r="D3" s="37"/>
      <c r="E3" s="38">
        <f>IF(C20&lt;=25%,D20,MIN(E20:F20))</f>
        <v>4065.18</v>
      </c>
      <c r="F3" s="38">
        <f>MIN(H3:H17)</f>
        <v>2900</v>
      </c>
      <c r="G3" s="5" t="s">
        <v>90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9"/>
      <c r="B4" s="36"/>
      <c r="C4" s="37"/>
      <c r="D4" s="37"/>
      <c r="E4" s="38"/>
      <c r="F4" s="38"/>
      <c r="G4" s="5" t="s">
        <v>91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9"/>
      <c r="B5" s="36"/>
      <c r="C5" s="37"/>
      <c r="D5" s="37"/>
      <c r="E5" s="38"/>
      <c r="F5" s="38"/>
      <c r="G5" s="5" t="s">
        <v>92</v>
      </c>
      <c r="H5" s="16">
        <v>2987.5</v>
      </c>
      <c r="I5" s="17">
        <f t="shared" si="0"/>
        <v>2987.5</v>
      </c>
    </row>
    <row r="6" spans="1:9" x14ac:dyDescent="0.25">
      <c r="A6" s="39"/>
      <c r="B6" s="36"/>
      <c r="C6" s="37"/>
      <c r="D6" s="37"/>
      <c r="E6" s="38"/>
      <c r="F6" s="38"/>
      <c r="G6" s="5" t="s">
        <v>93</v>
      </c>
      <c r="H6" s="16">
        <v>5366.52</v>
      </c>
      <c r="I6" s="17">
        <f t="shared" si="0"/>
        <v>5366.52</v>
      </c>
    </row>
    <row r="7" spans="1:9" x14ac:dyDescent="0.25">
      <c r="A7" s="39"/>
      <c r="B7" s="36"/>
      <c r="C7" s="37"/>
      <c r="D7" s="37"/>
      <c r="E7" s="38"/>
      <c r="F7" s="38"/>
      <c r="G7" s="5" t="s">
        <v>94</v>
      </c>
      <c r="H7" s="16">
        <v>5847.17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16</v>
      </c>
      <c r="B3" s="35" t="s">
        <v>52</v>
      </c>
      <c r="C3" s="37" t="s">
        <v>7</v>
      </c>
      <c r="D3" s="37">
        <v>1000</v>
      </c>
      <c r="E3" s="38">
        <f>IF(C20&lt;=25%,D20,MIN(E20:F20))</f>
        <v>4.68</v>
      </c>
      <c r="F3" s="38">
        <f>MIN(H3:H17)</f>
        <v>3.57</v>
      </c>
      <c r="G3" s="5" t="s">
        <v>62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9"/>
      <c r="B4" s="36"/>
      <c r="C4" s="37"/>
      <c r="D4" s="37"/>
      <c r="E4" s="38"/>
      <c r="F4" s="38"/>
      <c r="G4" s="5" t="s">
        <v>63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9"/>
      <c r="B5" s="36"/>
      <c r="C5" s="37"/>
      <c r="D5" s="37"/>
      <c r="E5" s="38"/>
      <c r="F5" s="38"/>
      <c r="G5" s="5" t="s">
        <v>64</v>
      </c>
      <c r="H5" s="16">
        <v>6.79</v>
      </c>
      <c r="I5" s="17">
        <f t="shared" si="0"/>
        <v>6.79</v>
      </c>
    </row>
    <row r="6" spans="1:9" x14ac:dyDescent="0.25">
      <c r="A6" s="39"/>
      <c r="B6" s="36"/>
      <c r="C6" s="37"/>
      <c r="D6" s="37"/>
      <c r="E6" s="38"/>
      <c r="F6" s="38"/>
      <c r="G6" s="5" t="s">
        <v>65</v>
      </c>
      <c r="H6" s="16">
        <v>17.46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17</v>
      </c>
      <c r="B3" s="35" t="s">
        <v>53</v>
      </c>
      <c r="C3" s="37" t="s">
        <v>54</v>
      </c>
      <c r="D3" s="37">
        <v>100</v>
      </c>
      <c r="E3" s="38">
        <f>IF(C20&lt;=25%,D20,MIN(E20:F20))</f>
        <v>112.83</v>
      </c>
      <c r="F3" s="38">
        <f>MIN(H3:H17)</f>
        <v>95.67</v>
      </c>
      <c r="G3" s="5" t="s">
        <v>66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9"/>
      <c r="B4" s="36"/>
      <c r="C4" s="37"/>
      <c r="D4" s="37"/>
      <c r="E4" s="38"/>
      <c r="F4" s="38"/>
      <c r="G4" s="5" t="s">
        <v>67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9"/>
      <c r="B5" s="36"/>
      <c r="C5" s="37"/>
      <c r="D5" s="37"/>
      <c r="E5" s="38"/>
      <c r="F5" s="38"/>
      <c r="G5" s="5" t="s">
        <v>68</v>
      </c>
      <c r="H5" s="16">
        <v>543.89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18</v>
      </c>
      <c r="B3" s="35" t="s">
        <v>55</v>
      </c>
      <c r="C3" s="37" t="s">
        <v>56</v>
      </c>
      <c r="D3" s="37">
        <v>100</v>
      </c>
      <c r="E3" s="38">
        <f>IF(C20&lt;=25%,D20,MIN(E20:F20))</f>
        <v>83.03</v>
      </c>
      <c r="F3" s="38">
        <f>MIN(H3:H17)</f>
        <v>45</v>
      </c>
      <c r="G3" s="5" t="s">
        <v>69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9"/>
      <c r="B4" s="36"/>
      <c r="C4" s="37"/>
      <c r="D4" s="37"/>
      <c r="E4" s="38"/>
      <c r="F4" s="38"/>
      <c r="G4" s="5" t="s">
        <v>70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9"/>
      <c r="B5" s="36"/>
      <c r="C5" s="37"/>
      <c r="D5" s="37"/>
      <c r="E5" s="38"/>
      <c r="F5" s="38"/>
      <c r="G5" s="5" t="s">
        <v>71</v>
      </c>
      <c r="H5" s="16">
        <v>45</v>
      </c>
      <c r="I5" s="17">
        <f t="shared" si="0"/>
        <v>45</v>
      </c>
    </row>
    <row r="6" spans="1:9" x14ac:dyDescent="0.25">
      <c r="A6" s="39"/>
      <c r="B6" s="36"/>
      <c r="C6" s="37"/>
      <c r="D6" s="37"/>
      <c r="E6" s="38"/>
      <c r="F6" s="38"/>
      <c r="G6" s="5" t="s">
        <v>72</v>
      </c>
      <c r="H6" s="16">
        <v>67.25</v>
      </c>
      <c r="I6" s="17">
        <f t="shared" si="0"/>
        <v>67.25</v>
      </c>
    </row>
    <row r="7" spans="1:9" x14ac:dyDescent="0.25">
      <c r="A7" s="39"/>
      <c r="B7" s="36"/>
      <c r="C7" s="37"/>
      <c r="D7" s="37"/>
      <c r="E7" s="38"/>
      <c r="F7" s="38"/>
      <c r="G7" s="5" t="s">
        <v>73</v>
      </c>
      <c r="H7" s="16">
        <v>91.8</v>
      </c>
      <c r="I7" s="17">
        <f t="shared" si="0"/>
        <v>91.8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19</v>
      </c>
      <c r="B3" s="35" t="s">
        <v>58</v>
      </c>
      <c r="C3" s="37" t="s">
        <v>7</v>
      </c>
      <c r="D3" s="37">
        <v>50</v>
      </c>
      <c r="E3" s="38">
        <f>IF(C20&lt;=25%,D20,MIN(E20:F20))</f>
        <v>68.7</v>
      </c>
      <c r="F3" s="38">
        <f>MIN(H3:H17)</f>
        <v>58.5</v>
      </c>
      <c r="G3" s="5" t="s">
        <v>74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75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76</v>
      </c>
      <c r="H5" s="16">
        <v>85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</v>
      </c>
      <c r="B3" s="35" t="s">
        <v>97</v>
      </c>
      <c r="C3" s="37" t="s">
        <v>7</v>
      </c>
      <c r="D3" s="37">
        <v>1</v>
      </c>
      <c r="E3" s="38">
        <f>IF(C20&lt;=25%,D20,MIN(E20:F20))</f>
        <v>26633.83</v>
      </c>
      <c r="F3" s="38">
        <f>MIN(H3:H17)</f>
        <v>19844.5</v>
      </c>
      <c r="G3" s="5" t="s">
        <v>104</v>
      </c>
      <c r="H3" s="16">
        <v>49375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25550</v>
      </c>
      <c r="I4" s="17">
        <f t="shared" ref="I4:I17" si="0">IF(H4="","",(IF($C$20&lt;25%,"n/a",IF(H4&lt;=($D$20+$A$20),H4,"Descartado"))))</f>
        <v>25550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27500</v>
      </c>
      <c r="I5" s="17">
        <f t="shared" si="0"/>
        <v>27500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27450</v>
      </c>
      <c r="I6" s="17">
        <f t="shared" si="0"/>
        <v>27450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32824.65</v>
      </c>
      <c r="I7" s="17">
        <f t="shared" si="0"/>
        <v>32824.65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19844.5</v>
      </c>
      <c r="I8" s="17">
        <f t="shared" si="0"/>
        <v>19844.5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10178.208778255148</v>
      </c>
      <c r="B20" s="8">
        <f>COUNT(H3:H17)</f>
        <v>6</v>
      </c>
      <c r="C20" s="9">
        <f>IF(B20&lt;2,"n/a",(A20/D20))</f>
        <v>0.33454505462475381</v>
      </c>
      <c r="D20" s="10">
        <f>IFERROR(ROUND(AVERAGE(H3:H17),2),"")</f>
        <v>30424.03</v>
      </c>
      <c r="E20" s="15">
        <f>IFERROR(ROUND(IF(B20&lt;2,"n/a",(IF(C20&lt;=25%,"n/a",AVERAGE(I3:I17)))),2),"n/a")</f>
        <v>26633.83</v>
      </c>
      <c r="F20" s="10">
        <f>IFERROR(ROUND(MEDIAN(H3:H17),2),"")</f>
        <v>27475</v>
      </c>
      <c r="G20" s="11" t="str">
        <f>IFERROR(INDEX(G3:G17,MATCH(H20,H3:H17,0)),"")</f>
        <v>ONC ORGANISMO NACIONAL DE CERTIFICAÇÃO DE SISTEMAS DE GESTÃO EMPRESARIAL LTDA</v>
      </c>
      <c r="H20" s="12">
        <f>F3</f>
        <v>19844.5</v>
      </c>
    </row>
    <row r="22" spans="1:9" x14ac:dyDescent="0.25">
      <c r="G22" s="13" t="s">
        <v>20</v>
      </c>
      <c r="H22" s="14">
        <f>IF(C20&lt;=25%,D20,MIN(E20:F20))</f>
        <v>26633.83</v>
      </c>
    </row>
    <row r="23" spans="1:9" x14ac:dyDescent="0.25">
      <c r="G23" s="13" t="s">
        <v>6</v>
      </c>
      <c r="H23" s="14">
        <f>ROUND(H22,2)*D3</f>
        <v>26633.83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20</v>
      </c>
      <c r="B3" s="35" t="s">
        <v>59</v>
      </c>
      <c r="C3" s="37" t="s">
        <v>57</v>
      </c>
      <c r="D3" s="37">
        <v>50</v>
      </c>
      <c r="E3" s="38">
        <f>IF(C20&lt;=25%,D20,MIN(E20:F20))</f>
        <v>169.47</v>
      </c>
      <c r="F3" s="38">
        <f>MIN(H3:H17)</f>
        <v>53.9</v>
      </c>
      <c r="G3" s="5" t="s">
        <v>77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9"/>
      <c r="B4" s="36"/>
      <c r="C4" s="37"/>
      <c r="D4" s="37"/>
      <c r="E4" s="38"/>
      <c r="F4" s="38"/>
      <c r="G4" s="5" t="s">
        <v>78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9"/>
      <c r="B5" s="36"/>
      <c r="C5" s="37"/>
      <c r="D5" s="37"/>
      <c r="E5" s="38"/>
      <c r="F5" s="38"/>
      <c r="G5" s="5" t="s">
        <v>79</v>
      </c>
      <c r="H5" s="16">
        <v>340</v>
      </c>
      <c r="I5" s="17">
        <f t="shared" si="0"/>
        <v>340</v>
      </c>
    </row>
    <row r="6" spans="1:9" x14ac:dyDescent="0.25">
      <c r="A6" s="39"/>
      <c r="B6" s="36"/>
      <c r="C6" s="37"/>
      <c r="D6" s="37"/>
      <c r="E6" s="38"/>
      <c r="F6" s="38"/>
      <c r="G6" s="5" t="s">
        <v>80</v>
      </c>
      <c r="H6" s="16">
        <v>489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21</v>
      </c>
      <c r="B3" s="35" t="s">
        <v>60</v>
      </c>
      <c r="C3" s="37" t="s">
        <v>57</v>
      </c>
      <c r="D3" s="37">
        <v>50</v>
      </c>
      <c r="E3" s="38">
        <f>IF(C20&lt;=25%,D20,MIN(E20:F20))</f>
        <v>203.92</v>
      </c>
      <c r="F3" s="38">
        <f>MIN(H3:H17)</f>
        <v>108.9</v>
      </c>
      <c r="G3" s="5" t="s">
        <v>81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9"/>
      <c r="B4" s="36"/>
      <c r="C4" s="37"/>
      <c r="D4" s="37"/>
      <c r="E4" s="38"/>
      <c r="F4" s="38"/>
      <c r="G4" s="5" t="s">
        <v>82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9"/>
      <c r="B5" s="36"/>
      <c r="C5" s="37"/>
      <c r="D5" s="37"/>
      <c r="E5" s="38"/>
      <c r="F5" s="38"/>
      <c r="G5" s="5" t="s">
        <v>83</v>
      </c>
      <c r="H5" s="16">
        <v>307.89999999999998</v>
      </c>
      <c r="I5" s="17">
        <f t="shared" si="0"/>
        <v>307.89999999999998</v>
      </c>
    </row>
    <row r="6" spans="1:9" x14ac:dyDescent="0.25">
      <c r="A6" s="39"/>
      <c r="B6" s="36"/>
      <c r="C6" s="37"/>
      <c r="D6" s="37"/>
      <c r="E6" s="38"/>
      <c r="F6" s="38"/>
      <c r="G6" s="5" t="s">
        <v>80</v>
      </c>
      <c r="H6" s="16">
        <v>259.89999999999998</v>
      </c>
      <c r="I6" s="17">
        <f t="shared" si="0"/>
        <v>259.89999999999998</v>
      </c>
    </row>
    <row r="7" spans="1:9" x14ac:dyDescent="0.25">
      <c r="A7" s="39"/>
      <c r="B7" s="36"/>
      <c r="C7" s="37"/>
      <c r="D7" s="37"/>
      <c r="E7" s="38"/>
      <c r="F7" s="38"/>
      <c r="G7" s="5" t="s">
        <v>84</v>
      </c>
      <c r="H7" s="16">
        <v>379.9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22</v>
      </c>
      <c r="B3" s="35" t="s">
        <v>61</v>
      </c>
      <c r="C3" s="37" t="s">
        <v>54</v>
      </c>
      <c r="D3" s="37">
        <v>100</v>
      </c>
      <c r="E3" s="38">
        <f>IF(C20&lt;=25%,D20,MIN(E20:F20))</f>
        <v>64.989999999999995</v>
      </c>
      <c r="F3" s="38">
        <f>MIN(H3:H17)</f>
        <v>30.8</v>
      </c>
      <c r="G3" s="5" t="s">
        <v>85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9"/>
      <c r="B4" s="36"/>
      <c r="C4" s="37"/>
      <c r="D4" s="37"/>
      <c r="E4" s="38"/>
      <c r="F4" s="38"/>
      <c r="G4" s="5" t="s">
        <v>75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9"/>
      <c r="B5" s="36"/>
      <c r="C5" s="37"/>
      <c r="D5" s="37"/>
      <c r="E5" s="38"/>
      <c r="F5" s="38"/>
      <c r="G5" s="5" t="s">
        <v>86</v>
      </c>
      <c r="H5" s="16">
        <v>83.25</v>
      </c>
      <c r="I5" s="17">
        <f t="shared" si="0"/>
        <v>83.25</v>
      </c>
    </row>
    <row r="6" spans="1:9" x14ac:dyDescent="0.25">
      <c r="A6" s="39"/>
      <c r="B6" s="36"/>
      <c r="C6" s="37"/>
      <c r="D6" s="37"/>
      <c r="E6" s="38"/>
      <c r="F6" s="38"/>
      <c r="G6" s="5" t="s">
        <v>87</v>
      </c>
      <c r="H6" s="16">
        <v>89.9</v>
      </c>
      <c r="I6" s="17">
        <f t="shared" si="0"/>
        <v>89.9</v>
      </c>
    </row>
    <row r="7" spans="1:9" x14ac:dyDescent="0.25">
      <c r="A7" s="39"/>
      <c r="B7" s="36"/>
      <c r="C7" s="37"/>
      <c r="D7" s="37"/>
      <c r="E7" s="38"/>
      <c r="F7" s="38"/>
      <c r="G7" s="5" t="s">
        <v>88</v>
      </c>
      <c r="H7" s="16">
        <v>122.9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25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26</v>
      </c>
      <c r="B3" s="35" t="s">
        <v>31</v>
      </c>
      <c r="C3" s="37" t="s">
        <v>7</v>
      </c>
      <c r="D3" s="37">
        <v>4</v>
      </c>
      <c r="E3" s="38">
        <f>IF(C20&lt;=25%,D20,MIN(E20:F20))</f>
        <v>314.5</v>
      </c>
      <c r="F3" s="38">
        <f>MIN(H3:H17)</f>
        <v>149.97</v>
      </c>
      <c r="G3" s="5" t="s">
        <v>39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33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9"/>
      <c r="B5" s="36"/>
      <c r="C5" s="37"/>
      <c r="D5" s="37"/>
      <c r="E5" s="38"/>
      <c r="F5" s="38"/>
      <c r="G5" s="5" t="s">
        <v>40</v>
      </c>
      <c r="H5" s="16">
        <v>330</v>
      </c>
      <c r="I5" s="17">
        <f t="shared" si="0"/>
        <v>330</v>
      </c>
    </row>
    <row r="6" spans="1:9" x14ac:dyDescent="0.25">
      <c r="A6" s="39"/>
      <c r="B6" s="36"/>
      <c r="C6" s="37"/>
      <c r="D6" s="37"/>
      <c r="E6" s="38"/>
      <c r="F6" s="38"/>
      <c r="G6" s="5" t="s">
        <v>35</v>
      </c>
      <c r="H6" s="16">
        <v>259</v>
      </c>
      <c r="I6" s="17">
        <f t="shared" si="0"/>
        <v>259</v>
      </c>
    </row>
    <row r="7" spans="1:9" x14ac:dyDescent="0.25">
      <c r="A7" s="39"/>
      <c r="B7" s="36"/>
      <c r="C7" s="37"/>
      <c r="D7" s="37"/>
      <c r="E7" s="38"/>
      <c r="F7" s="38"/>
      <c r="G7" s="5" t="s">
        <v>36</v>
      </c>
      <c r="H7" s="16">
        <v>1000</v>
      </c>
      <c r="I7" s="17">
        <f t="shared" si="0"/>
        <v>1000</v>
      </c>
    </row>
    <row r="8" spans="1:9" x14ac:dyDescent="0.25">
      <c r="A8" s="39"/>
      <c r="B8" s="36"/>
      <c r="C8" s="37"/>
      <c r="D8" s="37"/>
      <c r="E8" s="38"/>
      <c r="F8" s="38"/>
      <c r="G8" s="5" t="s">
        <v>41</v>
      </c>
      <c r="H8" s="16">
        <v>177.5</v>
      </c>
      <c r="I8" s="17">
        <f t="shared" si="0"/>
        <v>177.5</v>
      </c>
    </row>
    <row r="9" spans="1:9" x14ac:dyDescent="0.25">
      <c r="A9" s="39"/>
      <c r="B9" s="36"/>
      <c r="C9" s="37"/>
      <c r="D9" s="37"/>
      <c r="E9" s="38"/>
      <c r="F9" s="38"/>
      <c r="G9" s="5" t="s">
        <v>34</v>
      </c>
      <c r="H9" s="16">
        <v>160</v>
      </c>
      <c r="I9" s="17">
        <f t="shared" si="0"/>
        <v>160</v>
      </c>
    </row>
    <row r="10" spans="1:9" x14ac:dyDescent="0.25">
      <c r="A10" s="39"/>
      <c r="B10" s="36"/>
      <c r="C10" s="37"/>
      <c r="D10" s="37"/>
      <c r="E10" s="38"/>
      <c r="F10" s="38"/>
      <c r="G10" s="5" t="s">
        <v>42</v>
      </c>
      <c r="H10" s="16">
        <v>1342</v>
      </c>
      <c r="I10" s="17" t="str">
        <f t="shared" si="0"/>
        <v>Descartado</v>
      </c>
    </row>
    <row r="11" spans="1:9" x14ac:dyDescent="0.25">
      <c r="A11" s="39"/>
      <c r="B11" s="36"/>
      <c r="C11" s="37"/>
      <c r="D11" s="37"/>
      <c r="E11" s="38"/>
      <c r="F11" s="38"/>
      <c r="G11" s="5" t="s">
        <v>43</v>
      </c>
      <c r="H11" s="16">
        <v>1650</v>
      </c>
      <c r="I11" s="17" t="str">
        <f t="shared" si="0"/>
        <v>Descartado</v>
      </c>
    </row>
    <row r="12" spans="1:9" x14ac:dyDescent="0.25">
      <c r="A12" s="39"/>
      <c r="B12" s="36"/>
      <c r="C12" s="37"/>
      <c r="D12" s="37"/>
      <c r="E12" s="38"/>
      <c r="F12" s="38"/>
      <c r="G12" s="5" t="s">
        <v>38</v>
      </c>
      <c r="H12" s="16">
        <v>149.97</v>
      </c>
      <c r="I12" s="17">
        <f t="shared" si="0"/>
        <v>149.97</v>
      </c>
    </row>
    <row r="13" spans="1:9" x14ac:dyDescent="0.25">
      <c r="A13" s="39"/>
      <c r="B13" s="36"/>
      <c r="C13" s="37"/>
      <c r="D13" s="37"/>
      <c r="E13" s="38"/>
      <c r="F13" s="38"/>
      <c r="G13" s="5" t="s">
        <v>48</v>
      </c>
      <c r="H13" s="16">
        <v>299</v>
      </c>
      <c r="I13" s="17">
        <f t="shared" si="0"/>
        <v>299</v>
      </c>
    </row>
    <row r="14" spans="1:9" x14ac:dyDescent="0.25">
      <c r="A14" s="39"/>
      <c r="B14" s="36"/>
      <c r="C14" s="37"/>
      <c r="D14" s="37"/>
      <c r="E14" s="38"/>
      <c r="F14" s="38"/>
      <c r="G14" s="5" t="s">
        <v>50</v>
      </c>
      <c r="H14" s="16">
        <v>341.01</v>
      </c>
      <c r="I14" s="17">
        <f t="shared" si="0"/>
        <v>341.01</v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27</v>
      </c>
      <c r="B3" s="35" t="s">
        <v>32</v>
      </c>
      <c r="C3" s="37" t="s">
        <v>7</v>
      </c>
      <c r="D3" s="37">
        <v>2</v>
      </c>
      <c r="E3" s="38">
        <f>IF(C20&lt;=25%,D20,MIN(E20:F20))</f>
        <v>2336.66</v>
      </c>
      <c r="F3" s="38">
        <f>MIN(H3:H17)</f>
        <v>985</v>
      </c>
      <c r="G3" s="5" t="s">
        <v>40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9"/>
      <c r="B4" s="36"/>
      <c r="C4" s="37"/>
      <c r="D4" s="37"/>
      <c r="E4" s="38"/>
      <c r="F4" s="38"/>
      <c r="G4" s="5" t="s">
        <v>44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9"/>
      <c r="B5" s="36"/>
      <c r="C5" s="37"/>
      <c r="D5" s="37"/>
      <c r="E5" s="38"/>
      <c r="F5" s="38"/>
      <c r="G5" s="5" t="s">
        <v>45</v>
      </c>
      <c r="H5" s="16">
        <v>3775.12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33</v>
      </c>
      <c r="H6" s="16">
        <v>1449.99</v>
      </c>
      <c r="I6" s="17">
        <f t="shared" si="0"/>
        <v>1449.99</v>
      </c>
    </row>
    <row r="7" spans="1:9" x14ac:dyDescent="0.25">
      <c r="A7" s="39"/>
      <c r="B7" s="36"/>
      <c r="C7" s="37"/>
      <c r="D7" s="37"/>
      <c r="E7" s="38"/>
      <c r="F7" s="38"/>
      <c r="G7" s="5" t="s">
        <v>37</v>
      </c>
      <c r="H7" s="16">
        <v>1738.77</v>
      </c>
      <c r="I7" s="17">
        <f t="shared" si="0"/>
        <v>1738.77</v>
      </c>
    </row>
    <row r="8" spans="1:9" x14ac:dyDescent="0.25">
      <c r="A8" s="39"/>
      <c r="B8" s="36"/>
      <c r="C8" s="37"/>
      <c r="D8" s="37"/>
      <c r="E8" s="38"/>
      <c r="F8" s="38"/>
      <c r="G8" s="5" t="s">
        <v>46</v>
      </c>
      <c r="H8" s="16">
        <v>2582</v>
      </c>
      <c r="I8" s="17">
        <f t="shared" si="0"/>
        <v>2582</v>
      </c>
    </row>
    <row r="9" spans="1:9" x14ac:dyDescent="0.25">
      <c r="A9" s="39"/>
      <c r="B9" s="36"/>
      <c r="C9" s="37"/>
      <c r="D9" s="37"/>
      <c r="E9" s="38"/>
      <c r="F9" s="38"/>
      <c r="G9" s="5" t="s">
        <v>51</v>
      </c>
      <c r="H9" s="16">
        <v>3179.25</v>
      </c>
      <c r="I9" s="17">
        <f t="shared" si="0"/>
        <v>3179.25</v>
      </c>
    </row>
    <row r="10" spans="1:9" x14ac:dyDescent="0.25">
      <c r="A10" s="39"/>
      <c r="B10" s="36"/>
      <c r="C10" s="37"/>
      <c r="D10" s="37"/>
      <c r="E10" s="38"/>
      <c r="F10" s="38"/>
      <c r="G10" s="5" t="s">
        <v>47</v>
      </c>
      <c r="H10" s="16">
        <v>3484.8</v>
      </c>
      <c r="I10" s="17">
        <f t="shared" si="0"/>
        <v>3484.8</v>
      </c>
    </row>
    <row r="11" spans="1:9" x14ac:dyDescent="0.25">
      <c r="A11" s="39"/>
      <c r="B11" s="36"/>
      <c r="C11" s="37"/>
      <c r="D11" s="37"/>
      <c r="E11" s="38"/>
      <c r="F11" s="38"/>
      <c r="G11" s="5" t="s">
        <v>49</v>
      </c>
      <c r="H11" s="16">
        <v>3523.43</v>
      </c>
      <c r="I11" s="17">
        <f t="shared" si="0"/>
        <v>3523.43</v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Normal="100" zoomScaleSheetLayoutView="100" workbookViewId="0">
      <selection activeCell="C45" sqref="C45"/>
    </sheetView>
  </sheetViews>
  <sheetFormatPr defaultRowHeight="15" x14ac:dyDescent="0.25"/>
  <cols>
    <col min="1" max="1" width="15.7109375" style="1" customWidth="1"/>
    <col min="2" max="2" width="12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40" t="s">
        <v>0</v>
      </c>
      <c r="B1" s="40"/>
      <c r="C1" s="40"/>
      <c r="D1" s="40"/>
      <c r="E1" s="40"/>
      <c r="F1" s="40"/>
      <c r="G1" s="40"/>
    </row>
    <row r="2" spans="1:7" ht="24" x14ac:dyDescent="0.25">
      <c r="A2" s="6" t="s">
        <v>1</v>
      </c>
      <c r="B2" s="6" t="s">
        <v>95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29</v>
      </c>
    </row>
    <row r="3" spans="1:7" x14ac:dyDescent="0.25">
      <c r="A3" s="21">
        <v>1</v>
      </c>
      <c r="B3" s="21">
        <f>Item1!A3</f>
        <v>1</v>
      </c>
      <c r="C3" s="23" t="str">
        <f>Item1!B3</f>
        <v>Auditoria de Fase 1 e Planejamento</v>
      </c>
      <c r="D3" s="21" t="str">
        <f>Item1!C3</f>
        <v>unidade</v>
      </c>
      <c r="E3" s="21">
        <f>Item1!D3</f>
        <v>1</v>
      </c>
      <c r="F3" s="22">
        <f>Item1!E3</f>
        <v>5669.5</v>
      </c>
      <c r="G3" s="22">
        <f>ROUND((E3*F3),2)</f>
        <v>5669.5</v>
      </c>
    </row>
    <row r="4" spans="1:7" x14ac:dyDescent="0.25">
      <c r="A4" s="21">
        <v>1</v>
      </c>
      <c r="B4" s="21">
        <f>Item2!A3</f>
        <v>2</v>
      </c>
      <c r="C4" s="23" t="str">
        <f>Item2!B3</f>
        <v>Auditoria de Fase 2</v>
      </c>
      <c r="D4" s="21" t="str">
        <f>Item2!C3</f>
        <v>unidade</v>
      </c>
      <c r="E4" s="21">
        <f>Item2!D3</f>
        <v>1</v>
      </c>
      <c r="F4" s="22">
        <f>Item2!E3</f>
        <v>26633.83</v>
      </c>
      <c r="G4" s="22">
        <f t="shared" ref="G4:G10" si="0">ROUND((E4*F4),2)</f>
        <v>26633.83</v>
      </c>
    </row>
    <row r="5" spans="1:7" x14ac:dyDescent="0.25">
      <c r="A5" s="21">
        <v>1</v>
      </c>
      <c r="B5" s="21">
        <f>Item3!A3</f>
        <v>3</v>
      </c>
      <c r="C5" s="23" t="str">
        <f>Item3!B3</f>
        <v>Auditoria de Manutenção 1° Ano</v>
      </c>
      <c r="D5" s="21" t="str">
        <f>Item3!C3</f>
        <v>unidade</v>
      </c>
      <c r="E5" s="21">
        <f>Item3!D3</f>
        <v>1</v>
      </c>
      <c r="F5" s="22">
        <f>Item3!E3</f>
        <v>12542.74</v>
      </c>
      <c r="G5" s="22">
        <f t="shared" si="0"/>
        <v>12542.74</v>
      </c>
    </row>
    <row r="6" spans="1:7" x14ac:dyDescent="0.25">
      <c r="A6" s="21">
        <v>1</v>
      </c>
      <c r="B6" s="21">
        <f>Item4!A3</f>
        <v>4</v>
      </c>
      <c r="C6" s="23" t="str">
        <f>Item4!B3</f>
        <v>Auditoria de Manutenção 2° Ano</v>
      </c>
      <c r="D6" s="21" t="str">
        <f>Item4!C3</f>
        <v>unidade</v>
      </c>
      <c r="E6" s="21">
        <f>Item4!D3</f>
        <v>1</v>
      </c>
      <c r="F6" s="22">
        <f>Item4!E3</f>
        <v>12542.74</v>
      </c>
      <c r="G6" s="22">
        <f t="shared" si="0"/>
        <v>12542.74</v>
      </c>
    </row>
    <row r="7" spans="1:7" x14ac:dyDescent="0.25">
      <c r="A7" s="21">
        <v>2</v>
      </c>
      <c r="B7" s="21">
        <f>Item5!A3</f>
        <v>5</v>
      </c>
      <c r="C7" s="23" t="str">
        <f>Item5!B3</f>
        <v>Auditoria de Fase 1 e Planejamento</v>
      </c>
      <c r="D7" s="21" t="str">
        <f>Item5!C3</f>
        <v>unidade</v>
      </c>
      <c r="E7" s="21">
        <f>Item5!D3</f>
        <v>1</v>
      </c>
      <c r="F7" s="22">
        <f>Item5!E3</f>
        <v>3260.29</v>
      </c>
      <c r="G7" s="22">
        <f t="shared" si="0"/>
        <v>3260.29</v>
      </c>
    </row>
    <row r="8" spans="1:7" x14ac:dyDescent="0.25">
      <c r="A8" s="21">
        <v>2</v>
      </c>
      <c r="B8" s="21">
        <f>Item6!A3</f>
        <v>6</v>
      </c>
      <c r="C8" s="23" t="str">
        <f>Item6!B3</f>
        <v>Auditoria de Fase 2</v>
      </c>
      <c r="D8" s="21" t="str">
        <f>Item6!C3</f>
        <v>unidade</v>
      </c>
      <c r="E8" s="21">
        <f>Item6!D3</f>
        <v>1</v>
      </c>
      <c r="F8" s="22">
        <f>Item6!E3</f>
        <v>11789.22</v>
      </c>
      <c r="G8" s="22">
        <f t="shared" si="0"/>
        <v>11789.22</v>
      </c>
    </row>
    <row r="9" spans="1:7" x14ac:dyDescent="0.25">
      <c r="A9" s="21">
        <v>2</v>
      </c>
      <c r="B9" s="21">
        <f>Item7!A3</f>
        <v>7</v>
      </c>
      <c r="C9" s="23" t="str">
        <f>Item7!B3</f>
        <v>Auditoria de Manutenção 1° Ano</v>
      </c>
      <c r="D9" s="21" t="str">
        <f>Item7!C3</f>
        <v>unidade</v>
      </c>
      <c r="E9" s="21">
        <f>Item7!D3</f>
        <v>1</v>
      </c>
      <c r="F9" s="22">
        <f>Item7!E3</f>
        <v>5563.11</v>
      </c>
      <c r="G9" s="22">
        <f t="shared" si="0"/>
        <v>5563.11</v>
      </c>
    </row>
    <row r="10" spans="1:7" x14ac:dyDescent="0.25">
      <c r="A10" s="21">
        <v>2</v>
      </c>
      <c r="B10" s="21">
        <f>Item8!A3</f>
        <v>8</v>
      </c>
      <c r="C10" s="23" t="str">
        <f>Item8!B3</f>
        <v>Auditoria de Manutenção 2° Ano</v>
      </c>
      <c r="D10" s="21" t="str">
        <f>Item8!C3</f>
        <v>unidade</v>
      </c>
      <c r="E10" s="21">
        <f>Item8!D3</f>
        <v>1</v>
      </c>
      <c r="F10" s="22">
        <f>Item8!E3</f>
        <v>5563.11</v>
      </c>
      <c r="G10" s="22">
        <f t="shared" si="0"/>
        <v>5563.11</v>
      </c>
    </row>
    <row r="11" spans="1:7" x14ac:dyDescent="0.25">
      <c r="A11" s="24"/>
      <c r="B11" s="24"/>
      <c r="C11" s="25"/>
      <c r="D11" s="26"/>
      <c r="E11" s="26"/>
      <c r="F11" s="27"/>
      <c r="G11" s="27"/>
    </row>
    <row r="12" spans="1:7" ht="15.75" thickBot="1" x14ac:dyDescent="0.3"/>
    <row r="13" spans="1:7" ht="16.5" thickTop="1" thickBot="1" x14ac:dyDescent="0.3">
      <c r="D13" s="18"/>
      <c r="E13" s="19" t="s">
        <v>30</v>
      </c>
      <c r="F13" s="20">
        <f>SUM(G:G)</f>
        <v>83564.539999999994</v>
      </c>
    </row>
    <row r="14" spans="1:7" ht="15.75" thickTop="1" x14ac:dyDescent="0.25">
      <c r="F14" s="3"/>
    </row>
    <row r="15" spans="1:7" ht="60" x14ac:dyDescent="0.25">
      <c r="B15" s="31" t="s">
        <v>102</v>
      </c>
      <c r="C15" s="30" t="s">
        <v>100</v>
      </c>
      <c r="D15" s="28" t="s">
        <v>108</v>
      </c>
      <c r="E15" s="32">
        <v>1</v>
      </c>
      <c r="F15" s="29">
        <f>SUMIF(A:A,E15,G:G)</f>
        <v>57388.81</v>
      </c>
    </row>
    <row r="16" spans="1:7" ht="60" x14ac:dyDescent="0.25">
      <c r="B16" s="31" t="s">
        <v>103</v>
      </c>
      <c r="C16" s="30" t="s">
        <v>101</v>
      </c>
      <c r="D16" s="28" t="s">
        <v>108</v>
      </c>
      <c r="E16" s="32">
        <v>2</v>
      </c>
      <c r="F16" s="29">
        <f>SUMIF(A:A,E16,G:G)</f>
        <v>26175.73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7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3</v>
      </c>
      <c r="B3" s="35" t="s">
        <v>98</v>
      </c>
      <c r="C3" s="37" t="s">
        <v>7</v>
      </c>
      <c r="D3" s="37">
        <v>1</v>
      </c>
      <c r="E3" s="38">
        <f>IF(C20&lt;=25%,D20,MIN(E20:F20))</f>
        <v>12542.74</v>
      </c>
      <c r="F3" s="38">
        <f>MIN(H3:H17)</f>
        <v>7632.5</v>
      </c>
      <c r="G3" s="5" t="s">
        <v>104</v>
      </c>
      <c r="H3" s="16">
        <v>21725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12775</v>
      </c>
      <c r="I4" s="17">
        <f t="shared" ref="I4:I17" si="0">IF(H4="","",(IF($C$20&lt;25%,"n/a",IF(H4&lt;=($D$20+$A$20),H4,"Descartado"))))</f>
        <v>12775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10000</v>
      </c>
      <c r="I5" s="17">
        <f t="shared" si="0"/>
        <v>10000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15800</v>
      </c>
      <c r="I6" s="17">
        <f t="shared" si="0"/>
        <v>15800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16506.2</v>
      </c>
      <c r="I7" s="17">
        <f t="shared" si="0"/>
        <v>16506.2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7632.5</v>
      </c>
      <c r="I8" s="17">
        <f t="shared" si="0"/>
        <v>7632.5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5044.0116654966914</v>
      </c>
      <c r="B20" s="8">
        <f>COUNT(H3:H17)</f>
        <v>6</v>
      </c>
      <c r="C20" s="9">
        <f>IF(B20&lt;2,"n/a",(A20/D20))</f>
        <v>0.35841459928549541</v>
      </c>
      <c r="D20" s="10">
        <f>IFERROR(ROUND(AVERAGE(H3:H17),2),"")</f>
        <v>14073.12</v>
      </c>
      <c r="E20" s="15">
        <f>IFERROR(ROUND(IF(B20&lt;2,"n/a",(IF(C20&lt;=25%,"n/a",AVERAGE(I3:I17)))),2),"n/a")</f>
        <v>12542.74</v>
      </c>
      <c r="F20" s="10">
        <f>IFERROR(ROUND(MEDIAN(H3:H17),2),"")</f>
        <v>14287.5</v>
      </c>
      <c r="G20" s="11" t="str">
        <f>IFERROR(INDEX(G3:G17,MATCH(H20,H3:H17,0)),"")</f>
        <v>ONC ORGANISMO NACIONAL DE CERTIFICAÇÃO DE SISTEMAS DE GESTÃO EMPRESARIAL LTDA</v>
      </c>
      <c r="H20" s="12">
        <f>F3</f>
        <v>7632.5</v>
      </c>
    </row>
    <row r="22" spans="1:9" x14ac:dyDescent="0.25">
      <c r="G22" s="13" t="s">
        <v>20</v>
      </c>
      <c r="H22" s="14">
        <f>IF(C20&lt;=25%,D20,MIN(E20:F20))</f>
        <v>12542.74</v>
      </c>
    </row>
    <row r="23" spans="1:9" x14ac:dyDescent="0.25">
      <c r="G23" s="13" t="s">
        <v>6</v>
      </c>
      <c r="H23" s="14">
        <f>ROUND(H22,2)*D3</f>
        <v>12542.74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4</v>
      </c>
      <c r="B3" s="35" t="s">
        <v>99</v>
      </c>
      <c r="C3" s="37" t="s">
        <v>7</v>
      </c>
      <c r="D3" s="37">
        <v>1</v>
      </c>
      <c r="E3" s="38">
        <f>IF(C20&lt;=25%,D20,MIN(E20:F20))</f>
        <v>12542.74</v>
      </c>
      <c r="F3" s="38">
        <f>MIN(H3:H17)</f>
        <v>7632.5</v>
      </c>
      <c r="G3" s="5" t="s">
        <v>104</v>
      </c>
      <c r="H3" s="16">
        <v>21725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12775</v>
      </c>
      <c r="I4" s="17">
        <f t="shared" ref="I4:I17" si="0">IF(H4="","",(IF($C$20&lt;25%,"n/a",IF(H4&lt;=($D$20+$A$20),H4,"Descartado"))))</f>
        <v>12775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10000</v>
      </c>
      <c r="I5" s="17">
        <f t="shared" si="0"/>
        <v>10000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15800</v>
      </c>
      <c r="I6" s="17">
        <f t="shared" si="0"/>
        <v>15800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16506.2</v>
      </c>
      <c r="I7" s="17">
        <f t="shared" si="0"/>
        <v>16506.2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7632.5</v>
      </c>
      <c r="I8" s="17">
        <f t="shared" si="0"/>
        <v>7632.5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5044.0116654966914</v>
      </c>
      <c r="B20" s="8">
        <f>COUNT(H3:H17)</f>
        <v>6</v>
      </c>
      <c r="C20" s="9">
        <f>IF(B20&lt;2,"n/a",(A20/D20))</f>
        <v>0.35841459928549541</v>
      </c>
      <c r="D20" s="10">
        <f>IFERROR(ROUND(AVERAGE(H3:H17),2),"")</f>
        <v>14073.12</v>
      </c>
      <c r="E20" s="15">
        <f>IFERROR(ROUND(IF(B20&lt;2,"n/a",(IF(C20&lt;=25%,"n/a",AVERAGE(I3:I17)))),2),"n/a")</f>
        <v>12542.74</v>
      </c>
      <c r="F20" s="10">
        <f>IFERROR(ROUND(MEDIAN(H3:H17),2),"")</f>
        <v>14287.5</v>
      </c>
      <c r="G20" s="11" t="str">
        <f>IFERROR(INDEX(G3:G17,MATCH(H20,H3:H17,0)),"")</f>
        <v>ONC ORGANISMO NACIONAL DE CERTIFICAÇÃO DE SISTEMAS DE GESTÃO EMPRESARIAL LTDA</v>
      </c>
      <c r="H20" s="12">
        <f>F3</f>
        <v>7632.5</v>
      </c>
    </row>
    <row r="22" spans="1:9" x14ac:dyDescent="0.25">
      <c r="G22" s="13" t="s">
        <v>20</v>
      </c>
      <c r="H22" s="14">
        <f>IF(C20&lt;=25%,D20,MIN(E20:F20))</f>
        <v>12542.74</v>
      </c>
    </row>
    <row r="23" spans="1:9" x14ac:dyDescent="0.25">
      <c r="G23" s="13" t="s">
        <v>6</v>
      </c>
      <c r="H23" s="14">
        <f>ROUND(H22,2)*D3</f>
        <v>12542.74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5</v>
      </c>
      <c r="B3" s="35" t="s">
        <v>96</v>
      </c>
      <c r="C3" s="37" t="s">
        <v>7</v>
      </c>
      <c r="D3" s="37">
        <v>1</v>
      </c>
      <c r="E3" s="38">
        <f>IF(C20&lt;=25%,D20,MIN(E20:F20))</f>
        <v>3260.29</v>
      </c>
      <c r="F3" s="38">
        <f>MIN(H3:H17)</f>
        <v>2298.4299999999998</v>
      </c>
      <c r="G3" s="5" t="s">
        <v>104</v>
      </c>
      <c r="H3" s="16">
        <v>13825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3650</v>
      </c>
      <c r="I4" s="17">
        <f t="shared" ref="I4:I17" si="0">IF(H4="","",(IF($C$20&lt;25%,"n/a",IF(H4&lt;=($D$20+$A$20),H4,"Descartado"))))</f>
        <v>3650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2500</v>
      </c>
      <c r="I5" s="17">
        <f t="shared" si="0"/>
        <v>2500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4800</v>
      </c>
      <c r="I6" s="17">
        <f t="shared" si="0"/>
        <v>4800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2298.4299999999998</v>
      </c>
      <c r="I7" s="17">
        <f t="shared" si="0"/>
        <v>2298.4299999999998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3053</v>
      </c>
      <c r="I8" s="17">
        <f t="shared" si="0"/>
        <v>3053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4406.3533760714954</v>
      </c>
      <c r="B20" s="8">
        <f>COUNT(H3:H17)</f>
        <v>6</v>
      </c>
      <c r="C20" s="9">
        <f>IF(B20&lt;2,"n/a",(A20/D20))</f>
        <v>0.87757258434387408</v>
      </c>
      <c r="D20" s="10">
        <f>IFERROR(ROUND(AVERAGE(H3:H17),2),"")</f>
        <v>5021.07</v>
      </c>
      <c r="E20" s="15">
        <f>IFERROR(ROUND(IF(B20&lt;2,"n/a",(IF(C20&lt;=25%,"n/a",AVERAGE(I3:I17)))),2),"n/a")</f>
        <v>3260.29</v>
      </c>
      <c r="F20" s="10">
        <f>IFERROR(ROUND(MEDIAN(H3:H17),2),"")</f>
        <v>3351.5</v>
      </c>
      <c r="G20" s="11" t="str">
        <f>IFERROR(INDEX(G3:G17,MATCH(H20,H3:H17,0)),"")</f>
        <v>TÜV NORD BRASIL AVALIAÇÕES DA QUALIDADE LTDA</v>
      </c>
      <c r="H20" s="12">
        <f>F3</f>
        <v>2298.4299999999998</v>
      </c>
    </row>
    <row r="22" spans="1:9" x14ac:dyDescent="0.25">
      <c r="G22" s="13" t="s">
        <v>20</v>
      </c>
      <c r="H22" s="14">
        <f>IF(C20&lt;=25%,D20,MIN(E20:F20))</f>
        <v>3260.29</v>
      </c>
    </row>
    <row r="23" spans="1:9" x14ac:dyDescent="0.25">
      <c r="G23" s="13" t="s">
        <v>6</v>
      </c>
      <c r="H23" s="14">
        <f>ROUND(H22,2)*D3</f>
        <v>3260.29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6</v>
      </c>
      <c r="B3" s="35" t="s">
        <v>97</v>
      </c>
      <c r="C3" s="37" t="s">
        <v>7</v>
      </c>
      <c r="D3" s="37">
        <v>1</v>
      </c>
      <c r="E3" s="38">
        <f>IF(C20&lt;=25%,D20,MIN(E20:F20))</f>
        <v>11789.22</v>
      </c>
      <c r="F3" s="38">
        <f>MIN(H3:H17)</f>
        <v>2500</v>
      </c>
      <c r="G3" s="5" t="s">
        <v>104</v>
      </c>
      <c r="H3" s="16">
        <v>49375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16425</v>
      </c>
      <c r="I4" s="17">
        <f t="shared" ref="I4:I17" si="0">IF(H4="","",(IF($C$20&lt;25%,"n/a",IF(H4&lt;=($D$20+$A$20),H4,"Descartado"))))</f>
        <v>16425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2500</v>
      </c>
      <c r="I5" s="17">
        <f t="shared" si="0"/>
        <v>2500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15800</v>
      </c>
      <c r="I6" s="17">
        <f t="shared" si="0"/>
        <v>15800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4376.62</v>
      </c>
      <c r="I7" s="17">
        <f t="shared" si="0"/>
        <v>4376.62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19844.5</v>
      </c>
      <c r="I8" s="17">
        <f t="shared" si="0"/>
        <v>19844.5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16857.892670983525</v>
      </c>
      <c r="B20" s="8">
        <f>COUNT(H3:H17)</f>
        <v>6</v>
      </c>
      <c r="C20" s="9">
        <f>IF(B20&lt;2,"n/a",(A20/D20))</f>
        <v>0.93377317392860371</v>
      </c>
      <c r="D20" s="10">
        <f>IFERROR(ROUND(AVERAGE(H3:H17),2),"")</f>
        <v>18053.52</v>
      </c>
      <c r="E20" s="15">
        <f>IFERROR(ROUND(IF(B20&lt;2,"n/a",(IF(C20&lt;=25%,"n/a",AVERAGE(I3:I17)))),2),"n/a")</f>
        <v>11789.22</v>
      </c>
      <c r="F20" s="10">
        <f>IFERROR(ROUND(MEDIAN(H3:H17),2),"")</f>
        <v>16112.5</v>
      </c>
      <c r="G20" s="11" t="str">
        <f>IFERROR(INDEX(G3:G17,MATCH(H20,H3:H17,0)),"")</f>
        <v>CBG CERTIFICADORA BRASILEIRA DE GESTÃO LTDA ME</v>
      </c>
      <c r="H20" s="12">
        <f>F3</f>
        <v>2500</v>
      </c>
    </row>
    <row r="22" spans="1:9" x14ac:dyDescent="0.25">
      <c r="G22" s="13" t="s">
        <v>20</v>
      </c>
      <c r="H22" s="14">
        <f>IF(C20&lt;=25%,D20,MIN(E20:F20))</f>
        <v>11789.22</v>
      </c>
    </row>
    <row r="23" spans="1:9" x14ac:dyDescent="0.25">
      <c r="G23" s="13" t="s">
        <v>6</v>
      </c>
      <c r="H23" s="14">
        <f>ROUND(H22,2)*D3</f>
        <v>11789.22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7</v>
      </c>
      <c r="B3" s="35" t="s">
        <v>98</v>
      </c>
      <c r="C3" s="37" t="s">
        <v>7</v>
      </c>
      <c r="D3" s="37">
        <v>1</v>
      </c>
      <c r="E3" s="38">
        <f>IF(C20&lt;=25%,D20,MIN(E20:F20))</f>
        <v>5563.11</v>
      </c>
      <c r="F3" s="38">
        <f>MIN(H3:H17)</f>
        <v>2358.0300000000002</v>
      </c>
      <c r="G3" s="5" t="s">
        <v>104</v>
      </c>
      <c r="H3" s="16">
        <v>21725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5475</v>
      </c>
      <c r="I4" s="17">
        <f t="shared" ref="I4:I17" si="0">IF(H4="","",(IF($C$20&lt;25%,"n/a",IF(H4&lt;=($D$20+$A$20),H4,"Descartado"))))</f>
        <v>5475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2500</v>
      </c>
      <c r="I5" s="17">
        <f t="shared" si="0"/>
        <v>2500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9850</v>
      </c>
      <c r="I6" s="17">
        <f t="shared" si="0"/>
        <v>9850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2358.0300000000002</v>
      </c>
      <c r="I7" s="17">
        <f t="shared" si="0"/>
        <v>2358.0300000000002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7632.5</v>
      </c>
      <c r="I8" s="17">
        <f t="shared" si="0"/>
        <v>7632.5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7211.0345020773557</v>
      </c>
      <c r="B20" s="8">
        <f>COUNT(H3:H17)</f>
        <v>6</v>
      </c>
      <c r="C20" s="9">
        <f>IF(B20&lt;2,"n/a",(A20/D20))</f>
        <v>0.87334917111280397</v>
      </c>
      <c r="D20" s="10">
        <f>IFERROR(ROUND(AVERAGE(H3:H17),2),"")</f>
        <v>8256.76</v>
      </c>
      <c r="E20" s="15">
        <f>IFERROR(ROUND(IF(B20&lt;2,"n/a",(IF(C20&lt;=25%,"n/a",AVERAGE(I3:I17)))),2),"n/a")</f>
        <v>5563.11</v>
      </c>
      <c r="F20" s="10">
        <f>IFERROR(ROUND(MEDIAN(H3:H17),2),"")</f>
        <v>6553.75</v>
      </c>
      <c r="G20" s="11" t="str">
        <f>IFERROR(INDEX(G3:G17,MATCH(H20,H3:H17,0)),"")</f>
        <v>TÜV NORD BRASIL AVALIAÇÕES DA QUALIDADE LTDA</v>
      </c>
      <c r="H20" s="12">
        <f>F3</f>
        <v>2358.0300000000002</v>
      </c>
    </row>
    <row r="22" spans="1:9" x14ac:dyDescent="0.25">
      <c r="G22" s="13" t="s">
        <v>20</v>
      </c>
      <c r="H22" s="14">
        <f>IF(C20&lt;=25%,D20,MIN(E20:F20))</f>
        <v>5563.11</v>
      </c>
    </row>
    <row r="23" spans="1:9" x14ac:dyDescent="0.25">
      <c r="G23" s="13" t="s">
        <v>6</v>
      </c>
      <c r="H23" s="14">
        <f>ROUND(H22,2)*D3</f>
        <v>5563.11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8</v>
      </c>
      <c r="B3" s="35" t="s">
        <v>99</v>
      </c>
      <c r="C3" s="37" t="s">
        <v>7</v>
      </c>
      <c r="D3" s="37">
        <v>1</v>
      </c>
      <c r="E3" s="38">
        <f>IF(C20&lt;=25%,D20,MIN(E20:F20))</f>
        <v>5563.11</v>
      </c>
      <c r="F3" s="38">
        <f>MIN(H3:H17)</f>
        <v>2358.0300000000002</v>
      </c>
      <c r="G3" s="5" t="s">
        <v>104</v>
      </c>
      <c r="H3" s="16">
        <v>21725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105</v>
      </c>
      <c r="H4" s="16">
        <v>5475</v>
      </c>
      <c r="I4" s="17">
        <f t="shared" ref="I4:I17" si="0">IF(H4="","",(IF($C$20&lt;25%,"n/a",IF(H4&lt;=($D$20+$A$20),H4,"Descartado"))))</f>
        <v>5475</v>
      </c>
    </row>
    <row r="5" spans="1:9" x14ac:dyDescent="0.25">
      <c r="A5" s="39"/>
      <c r="B5" s="36"/>
      <c r="C5" s="37"/>
      <c r="D5" s="37"/>
      <c r="E5" s="38"/>
      <c r="F5" s="38"/>
      <c r="G5" s="5" t="s">
        <v>106</v>
      </c>
      <c r="H5" s="16">
        <v>2500</v>
      </c>
      <c r="I5" s="17">
        <f t="shared" si="0"/>
        <v>2500</v>
      </c>
    </row>
    <row r="6" spans="1:9" x14ac:dyDescent="0.25">
      <c r="A6" s="39"/>
      <c r="B6" s="36"/>
      <c r="C6" s="37"/>
      <c r="D6" s="37"/>
      <c r="E6" s="38"/>
      <c r="F6" s="38"/>
      <c r="G6" s="5" t="s">
        <v>107</v>
      </c>
      <c r="H6" s="16">
        <v>9850</v>
      </c>
      <c r="I6" s="17">
        <f t="shared" si="0"/>
        <v>9850</v>
      </c>
    </row>
    <row r="7" spans="1:9" x14ac:dyDescent="0.25">
      <c r="A7" s="39"/>
      <c r="B7" s="36"/>
      <c r="C7" s="37"/>
      <c r="D7" s="37"/>
      <c r="E7" s="38"/>
      <c r="F7" s="38"/>
      <c r="G7" s="5" t="s">
        <v>109</v>
      </c>
      <c r="H7" s="16">
        <v>2358.0300000000002</v>
      </c>
      <c r="I7" s="17">
        <f t="shared" si="0"/>
        <v>2358.0300000000002</v>
      </c>
    </row>
    <row r="8" spans="1:9" x14ac:dyDescent="0.25">
      <c r="A8" s="39"/>
      <c r="B8" s="36"/>
      <c r="C8" s="37"/>
      <c r="D8" s="37"/>
      <c r="E8" s="38"/>
      <c r="F8" s="38"/>
      <c r="G8" s="5" t="s">
        <v>110</v>
      </c>
      <c r="H8" s="16">
        <v>7632.5</v>
      </c>
      <c r="I8" s="17">
        <f t="shared" si="0"/>
        <v>7632.5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7211.0345020773557</v>
      </c>
      <c r="B20" s="8">
        <f>COUNT(H3:H17)</f>
        <v>6</v>
      </c>
      <c r="C20" s="9">
        <f>IF(B20&lt;2,"n/a",(A20/D20))</f>
        <v>0.87334917111280397</v>
      </c>
      <c r="D20" s="10">
        <f>IFERROR(ROUND(AVERAGE(H3:H17),2),"")</f>
        <v>8256.76</v>
      </c>
      <c r="E20" s="15">
        <f>IFERROR(ROUND(IF(B20&lt;2,"n/a",(IF(C20&lt;=25%,"n/a",AVERAGE(I3:I17)))),2),"n/a")</f>
        <v>5563.11</v>
      </c>
      <c r="F20" s="10">
        <f>IFERROR(ROUND(MEDIAN(H3:H17),2),"")</f>
        <v>6553.75</v>
      </c>
      <c r="G20" s="11" t="str">
        <f>IFERROR(INDEX(G3:G17,MATCH(H20,H3:H17,0)),"")</f>
        <v>TÜV NORD BRASIL AVALIAÇÕES DA QUALIDADE LTDA</v>
      </c>
      <c r="H20" s="12">
        <f>F3</f>
        <v>2358.0300000000002</v>
      </c>
    </row>
    <row r="22" spans="1:9" x14ac:dyDescent="0.25">
      <c r="G22" s="13" t="s">
        <v>20</v>
      </c>
      <c r="H22" s="14">
        <f>IF(C20&lt;=25%,D20,MIN(E20:F20))</f>
        <v>5563.11</v>
      </c>
    </row>
    <row r="23" spans="1:9" x14ac:dyDescent="0.25">
      <c r="G23" s="13" t="s">
        <v>6</v>
      </c>
      <c r="H23" s="14">
        <f>ROUND(H22,2)*D3</f>
        <v>5563.11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9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2025-08-01T10:59:53Z</dcterms:modified>
</cp:coreProperties>
</file>