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firstSheet="16" activeTab="27"/>
  </bookViews>
  <sheets>
    <sheet name="Item1" sheetId="1" r:id="rId1"/>
    <sheet name="Item2" sheetId="4" r:id="rId2"/>
    <sheet name="Item3" sheetId="5" r:id="rId3"/>
    <sheet name="Item4" sheetId="6" r:id="rId4"/>
    <sheet name="Item5" sheetId="7" r:id="rId5"/>
    <sheet name="Item6" sheetId="8" r:id="rId6"/>
    <sheet name="Item7" sheetId="9" r:id="rId7"/>
    <sheet name="Item8" sheetId="10" r:id="rId8"/>
    <sheet name="Item9" sheetId="11" r:id="rId9"/>
    <sheet name="Item10" sheetId="12" r:id="rId10"/>
    <sheet name="Item11" sheetId="13" r:id="rId11"/>
    <sheet name="Item12" sheetId="14" r:id="rId12"/>
    <sheet name="Item13" sheetId="15" r:id="rId13"/>
    <sheet name="Item14" sheetId="16" r:id="rId14"/>
    <sheet name="Item15" sheetId="17" r:id="rId15"/>
    <sheet name="Item16" sheetId="18" r:id="rId16"/>
    <sheet name="Item17" sheetId="19" r:id="rId17"/>
    <sheet name="Item18" sheetId="20" r:id="rId18"/>
    <sheet name="Item19" sheetId="21" r:id="rId19"/>
    <sheet name="Item20" sheetId="22" r:id="rId20"/>
    <sheet name="Item21" sheetId="24" r:id="rId21"/>
    <sheet name="Item22" sheetId="25" r:id="rId22"/>
    <sheet name="Item23" sheetId="26" r:id="rId23"/>
    <sheet name="Item24" sheetId="27" r:id="rId24"/>
    <sheet name="Item25" sheetId="28" r:id="rId25"/>
    <sheet name="Item26" sheetId="29" r:id="rId26"/>
    <sheet name="Item27" sheetId="30" r:id="rId27"/>
    <sheet name="total" sheetId="23" r:id="rId28"/>
  </sheets>
  <definedNames>
    <definedName name="_xlnm.Print_Area" localSheetId="27">total!$A$1:$G$40</definedName>
    <definedName name="_xlnm.Print_Titles" localSheetId="27">total!$1:$2</definedName>
  </definedNames>
  <calcPr calcId="145621"/>
</workbook>
</file>

<file path=xl/calcChain.xml><?xml version="1.0" encoding="utf-8"?>
<calcChain xmlns="http://schemas.openxmlformats.org/spreadsheetml/2006/main">
  <c r="B29" i="23" l="1"/>
  <c r="B28" i="23"/>
  <c r="G29" i="23"/>
  <c r="G28" i="23"/>
  <c r="F29" i="23" l="1"/>
  <c r="F28" i="23"/>
  <c r="E29" i="23"/>
  <c r="E28" i="23"/>
  <c r="D29" i="23"/>
  <c r="D28" i="23"/>
  <c r="C29" i="23"/>
  <c r="C28" i="23"/>
  <c r="C25" i="23" l="1"/>
  <c r="C24" i="23"/>
  <c r="C18" i="23"/>
  <c r="C27" i="23"/>
  <c r="C26" i="23"/>
  <c r="F39" i="23" l="1"/>
  <c r="C23" i="23" l="1"/>
  <c r="D23" i="23"/>
  <c r="E23" i="23"/>
  <c r="D24" i="23"/>
  <c r="E24" i="23"/>
  <c r="D25" i="23"/>
  <c r="E25" i="23"/>
  <c r="D26" i="23"/>
  <c r="E26" i="23"/>
  <c r="D27" i="23"/>
  <c r="E27" i="23"/>
  <c r="B27" i="23"/>
  <c r="B26" i="23"/>
  <c r="B25" i="23"/>
  <c r="B24" i="23"/>
  <c r="B23" i="23"/>
  <c r="F20" i="30"/>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E33" i="23"/>
  <c r="C4" i="23"/>
  <c r="D4" i="23"/>
  <c r="E4" i="23"/>
  <c r="C5" i="23"/>
  <c r="D5" i="23"/>
  <c r="E5" i="23"/>
  <c r="C6" i="23"/>
  <c r="D6" i="23"/>
  <c r="E6" i="23"/>
  <c r="C7" i="23"/>
  <c r="D7" i="23"/>
  <c r="E7" i="23"/>
  <c r="C8" i="23"/>
  <c r="D8" i="23"/>
  <c r="E8" i="23"/>
  <c r="C9" i="23"/>
  <c r="D9" i="23"/>
  <c r="E9" i="23"/>
  <c r="C10" i="23"/>
  <c r="D10" i="23"/>
  <c r="E10" i="23"/>
  <c r="C11" i="23"/>
  <c r="D11" i="23"/>
  <c r="E11" i="23"/>
  <c r="C12" i="23"/>
  <c r="D12" i="23"/>
  <c r="E12" i="23"/>
  <c r="C13" i="23"/>
  <c r="D13" i="23"/>
  <c r="E13" i="23"/>
  <c r="C14" i="23"/>
  <c r="D14" i="23"/>
  <c r="E14" i="23"/>
  <c r="C15" i="23"/>
  <c r="D15" i="23"/>
  <c r="E15" i="23"/>
  <c r="C16" i="23"/>
  <c r="D16" i="23"/>
  <c r="E16" i="23"/>
  <c r="C17" i="23"/>
  <c r="D17" i="23"/>
  <c r="E17" i="23"/>
  <c r="D18" i="23"/>
  <c r="E18" i="23"/>
  <c r="C19" i="23"/>
  <c r="D19" i="23"/>
  <c r="E19" i="23"/>
  <c r="C20" i="23"/>
  <c r="D20" i="23"/>
  <c r="E20" i="23"/>
  <c r="C21" i="23"/>
  <c r="D21" i="23"/>
  <c r="E21" i="23"/>
  <c r="C22" i="23"/>
  <c r="D22" i="23"/>
  <c r="E22" i="23"/>
  <c r="B22" i="23"/>
  <c r="B21" i="23"/>
  <c r="B20" i="23"/>
  <c r="B19" i="23"/>
  <c r="B18" i="23"/>
  <c r="B17" i="23"/>
  <c r="B16" i="23"/>
  <c r="B15" i="23"/>
  <c r="B14" i="23"/>
  <c r="B13" i="23"/>
  <c r="B12" i="23"/>
  <c r="B11" i="23"/>
  <c r="B10" i="23"/>
  <c r="B9" i="23"/>
  <c r="B8" i="23"/>
  <c r="B7" i="23"/>
  <c r="B6" i="23"/>
  <c r="B5" i="23"/>
  <c r="B4" i="23"/>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s="1"/>
  <c r="F3" i="16"/>
  <c r="H20" i="16" s="1"/>
  <c r="G20" i="16" s="1"/>
  <c r="F20" i="15"/>
  <c r="D20" i="15"/>
  <c r="B20" i="15"/>
  <c r="A20" i="15" s="1"/>
  <c r="F3" i="15"/>
  <c r="H20" i="15" s="1"/>
  <c r="G20" i="15" s="1"/>
  <c r="F20" i="14"/>
  <c r="D20" i="14"/>
  <c r="B20" i="14"/>
  <c r="A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s="1"/>
  <c r="F3" i="6"/>
  <c r="H20" i="6" s="1"/>
  <c r="G20" i="6" s="1"/>
  <c r="F20" i="5"/>
  <c r="D20" i="5"/>
  <c r="B20" i="5"/>
  <c r="A20" i="5" s="1"/>
  <c r="F3" i="5"/>
  <c r="H20" i="5" s="1"/>
  <c r="G20" i="5" s="1"/>
  <c r="F20" i="4"/>
  <c r="D20" i="4"/>
  <c r="B20" i="4"/>
  <c r="F3" i="4"/>
  <c r="H20" i="4" s="1"/>
  <c r="G20" i="4" s="1"/>
  <c r="F20" i="1"/>
  <c r="D20" i="1"/>
  <c r="B20" i="1"/>
  <c r="A20" i="1" s="1"/>
  <c r="F3" i="1"/>
  <c r="H20" i="1" s="1"/>
  <c r="G20" i="1" s="1"/>
  <c r="C20" i="14" l="1"/>
  <c r="I4" i="14" s="1"/>
  <c r="E20" i="28"/>
  <c r="H22" i="28" s="1"/>
  <c r="H23" i="28" s="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I15" i="27"/>
  <c r="I9" i="27"/>
  <c r="I3" i="27"/>
  <c r="I14" i="27"/>
  <c r="I8" i="27"/>
  <c r="I7" i="27"/>
  <c r="I12" i="25"/>
  <c r="I6" i="25"/>
  <c r="I15" i="25"/>
  <c r="I9" i="25"/>
  <c r="I3" i="25"/>
  <c r="I17" i="25"/>
  <c r="I11" i="25"/>
  <c r="I5" i="25"/>
  <c r="I16" i="25"/>
  <c r="I10" i="25"/>
  <c r="I4" i="25"/>
  <c r="I13" i="25"/>
  <c r="I14" i="25"/>
  <c r="I8" i="25"/>
  <c r="I7" i="25"/>
  <c r="I15" i="20"/>
  <c r="I14" i="20"/>
  <c r="I12" i="20"/>
  <c r="I17" i="20"/>
  <c r="I11" i="20"/>
  <c r="I16" i="20"/>
  <c r="I13" i="22"/>
  <c r="I17" i="22"/>
  <c r="C20" i="19"/>
  <c r="C20" i="21"/>
  <c r="I15" i="12"/>
  <c r="I14" i="12"/>
  <c r="I13" i="12"/>
  <c r="I17" i="12"/>
  <c r="I16" i="12"/>
  <c r="I17" i="16"/>
  <c r="I15" i="14"/>
  <c r="I16" i="14"/>
  <c r="I17" i="14"/>
  <c r="I15" i="18"/>
  <c r="I9" i="18"/>
  <c r="I14" i="18"/>
  <c r="I8" i="18"/>
  <c r="I10" i="18"/>
  <c r="I13" i="18"/>
  <c r="I7" i="18"/>
  <c r="I16" i="18"/>
  <c r="I12" i="18"/>
  <c r="I17" i="18"/>
  <c r="I11" i="18"/>
  <c r="C20" i="11"/>
  <c r="C20" i="13"/>
  <c r="C20" i="15"/>
  <c r="C20" i="17"/>
  <c r="I15" i="8"/>
  <c r="I9" i="8"/>
  <c r="I14" i="8"/>
  <c r="I8" i="8"/>
  <c r="I12" i="8"/>
  <c r="I13" i="8"/>
  <c r="I17" i="8"/>
  <c r="I11" i="8"/>
  <c r="I16" i="8"/>
  <c r="I10" i="8"/>
  <c r="I16" i="9"/>
  <c r="C20" i="10"/>
  <c r="I7" i="9"/>
  <c r="I13" i="9"/>
  <c r="I9" i="9"/>
  <c r="I15" i="9"/>
  <c r="I15" i="7"/>
  <c r="I10" i="9"/>
  <c r="I17" i="7"/>
  <c r="I11" i="9"/>
  <c r="I17" i="9"/>
  <c r="I15" i="6"/>
  <c r="I3" i="6"/>
  <c r="I14" i="6"/>
  <c r="I7" i="6"/>
  <c r="I17" i="6"/>
  <c r="I16" i="6"/>
  <c r="I12" i="6"/>
  <c r="I6" i="6"/>
  <c r="I5" i="6"/>
  <c r="I12" i="5"/>
  <c r="I17" i="5"/>
  <c r="I11" i="5"/>
  <c r="I16" i="5"/>
  <c r="I8" i="5"/>
  <c r="I13" i="5"/>
  <c r="I15" i="5"/>
  <c r="I14" i="5"/>
  <c r="A20" i="4"/>
  <c r="C20" i="4" s="1"/>
  <c r="C20" i="1"/>
  <c r="I11" i="12" l="1"/>
  <c r="I6" i="9"/>
  <c r="I5" i="9"/>
  <c r="I7" i="8"/>
  <c r="I16" i="22"/>
  <c r="I15" i="22"/>
  <c r="I14" i="22"/>
  <c r="I10" i="22"/>
  <c r="I13" i="20"/>
  <c r="I5" i="18"/>
  <c r="I3" i="18"/>
  <c r="I16" i="16"/>
  <c r="I8" i="16"/>
  <c r="I14" i="16"/>
  <c r="I15" i="16"/>
  <c r="I13" i="16"/>
  <c r="I12" i="16"/>
  <c r="I11" i="16"/>
  <c r="I10" i="16"/>
  <c r="I6" i="16"/>
  <c r="I14" i="14"/>
  <c r="I7" i="14"/>
  <c r="I10" i="14"/>
  <c r="I12" i="14"/>
  <c r="I9" i="14"/>
  <c r="I13" i="14"/>
  <c r="I8" i="14"/>
  <c r="I11" i="14"/>
  <c r="I5" i="14"/>
  <c r="I6" i="14"/>
  <c r="I3" i="14"/>
  <c r="E20" i="27"/>
  <c r="H22" i="27" s="1"/>
  <c r="H23" i="27" s="1"/>
  <c r="E3" i="28"/>
  <c r="F27" i="23" s="1"/>
  <c r="G27" i="23" s="1"/>
  <c r="I3" i="9"/>
  <c r="E20" i="24"/>
  <c r="E3" i="24" s="1"/>
  <c r="F23" i="23" s="1"/>
  <c r="G23" i="23" s="1"/>
  <c r="I8" i="20"/>
  <c r="I3" i="20"/>
  <c r="I7" i="20"/>
  <c r="I6" i="20"/>
  <c r="I4" i="20"/>
  <c r="I10" i="20"/>
  <c r="I9" i="20"/>
  <c r="I4" i="18"/>
  <c r="I4" i="16"/>
  <c r="I3" i="16"/>
  <c r="I5" i="16"/>
  <c r="I7" i="16"/>
  <c r="I10" i="12"/>
  <c r="I12" i="12"/>
  <c r="I4" i="12"/>
  <c r="I8" i="12"/>
  <c r="I6" i="12"/>
  <c r="I7" i="12"/>
  <c r="I3" i="12"/>
  <c r="I5" i="12"/>
  <c r="I6" i="8"/>
  <c r="I5" i="8"/>
  <c r="I3" i="8"/>
  <c r="I11" i="6"/>
  <c r="I9" i="6"/>
  <c r="I4" i="6"/>
  <c r="I13" i="6"/>
  <c r="I10" i="6"/>
  <c r="I3" i="5"/>
  <c r="I10" i="5"/>
  <c r="I4" i="5"/>
  <c r="I9" i="5"/>
  <c r="I7" i="5"/>
  <c r="I5" i="5"/>
  <c r="E20" i="30"/>
  <c r="E3" i="30" s="1"/>
  <c r="E20" i="29"/>
  <c r="H22" i="29" s="1"/>
  <c r="H23" i="29" s="1"/>
  <c r="E3" i="26"/>
  <c r="F25" i="23" s="1"/>
  <c r="G25" i="23" s="1"/>
  <c r="E20" i="25"/>
  <c r="H22" i="25" s="1"/>
  <c r="H23" i="25" s="1"/>
  <c r="I11" i="22"/>
  <c r="I12" i="22"/>
  <c r="I9" i="22"/>
  <c r="I6" i="22"/>
  <c r="I5" i="22"/>
  <c r="I8" i="22"/>
  <c r="I4" i="22"/>
  <c r="I7" i="22"/>
  <c r="E20" i="18"/>
  <c r="H22" i="18" s="1"/>
  <c r="H23" i="18" s="1"/>
  <c r="I4" i="9"/>
  <c r="I10" i="7"/>
  <c r="I14" i="7"/>
  <c r="I8" i="7"/>
  <c r="I6" i="7"/>
  <c r="I4" i="7"/>
  <c r="I12" i="7"/>
  <c r="I9" i="7"/>
  <c r="I3" i="7"/>
  <c r="I13" i="7"/>
  <c r="I7" i="7"/>
  <c r="I5" i="7"/>
  <c r="I11" i="7"/>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E20" i="12" l="1"/>
  <c r="H22" i="12" s="1"/>
  <c r="H23" i="12" s="1"/>
  <c r="E20" i="9"/>
  <c r="H22" i="9" s="1"/>
  <c r="H23" i="9" s="1"/>
  <c r="E20" i="6"/>
  <c r="H22" i="6" s="1"/>
  <c r="H23" i="6" s="1"/>
  <c r="E20" i="22"/>
  <c r="H22" i="22" s="1"/>
  <c r="H23" i="22" s="1"/>
  <c r="E20" i="16"/>
  <c r="H22" i="16" s="1"/>
  <c r="H23" i="16" s="1"/>
  <c r="E20" i="14"/>
  <c r="H22" i="14" s="1"/>
  <c r="H23" i="14" s="1"/>
  <c r="E3" i="27"/>
  <c r="F26" i="23" s="1"/>
  <c r="G26" i="23" s="1"/>
  <c r="E20" i="8"/>
  <c r="H22" i="8" s="1"/>
  <c r="H23" i="8" s="1"/>
  <c r="H22" i="24"/>
  <c r="H23" i="24" s="1"/>
  <c r="E20" i="20"/>
  <c r="H22" i="20" s="1"/>
  <c r="H23" i="20" s="1"/>
  <c r="E20" i="5"/>
  <c r="E3" i="5" s="1"/>
  <c r="F5" i="23" s="1"/>
  <c r="G5" i="23" s="1"/>
  <c r="H22" i="30"/>
  <c r="H23" i="30" s="1"/>
  <c r="E3" i="29"/>
  <c r="E3" i="25"/>
  <c r="F24" i="23" s="1"/>
  <c r="G24" i="23" s="1"/>
  <c r="E20" i="21"/>
  <c r="H22" i="21" s="1"/>
  <c r="H23" i="21" s="1"/>
  <c r="E20" i="19"/>
  <c r="H22" i="19" s="1"/>
  <c r="H23" i="19" s="1"/>
  <c r="E3" i="18"/>
  <c r="F18" i="23" s="1"/>
  <c r="G18" i="23" s="1"/>
  <c r="E20" i="15"/>
  <c r="H22" i="15" s="1"/>
  <c r="H23" i="15" s="1"/>
  <c r="E20" i="13"/>
  <c r="E3" i="13" s="1"/>
  <c r="F13" i="23" s="1"/>
  <c r="G13" i="23" s="1"/>
  <c r="E20" i="11"/>
  <c r="H22" i="11" s="1"/>
  <c r="H23" i="11" s="1"/>
  <c r="E20" i="10"/>
  <c r="H22" i="10" s="1"/>
  <c r="H23" i="10" s="1"/>
  <c r="E20" i="7"/>
  <c r="E20" i="4"/>
  <c r="E3" i="4" s="1"/>
  <c r="F4" i="23" s="1"/>
  <c r="G4" i="23" s="1"/>
  <c r="E20" i="17"/>
  <c r="E20" i="1"/>
  <c r="E3" i="12" l="1"/>
  <c r="F12" i="23" s="1"/>
  <c r="G12" i="23" s="1"/>
  <c r="E3" i="9"/>
  <c r="F9" i="23" s="1"/>
  <c r="G9" i="23" s="1"/>
  <c r="E3" i="6"/>
  <c r="F6" i="23" s="1"/>
  <c r="G6" i="23" s="1"/>
  <c r="E3" i="22"/>
  <c r="F22" i="23" s="1"/>
  <c r="G22" i="23" s="1"/>
  <c r="E3" i="20"/>
  <c r="F20" i="23" s="1"/>
  <c r="G20" i="23" s="1"/>
  <c r="E3" i="16"/>
  <c r="F16" i="23" s="1"/>
  <c r="G16" i="23" s="1"/>
  <c r="F38" i="23" s="1"/>
  <c r="E3" i="14"/>
  <c r="F14" i="23" s="1"/>
  <c r="G14" i="23" s="1"/>
  <c r="E3" i="8"/>
  <c r="F8" i="23" s="1"/>
  <c r="G8" i="23" s="1"/>
  <c r="E3" i="21"/>
  <c r="F21" i="23" s="1"/>
  <c r="G21" i="23" s="1"/>
  <c r="E3" i="19"/>
  <c r="F19" i="23" s="1"/>
  <c r="G19" i="23" s="1"/>
  <c r="E3" i="15"/>
  <c r="F15" i="23" s="1"/>
  <c r="G15" i="23" s="1"/>
  <c r="H22" i="13"/>
  <c r="H23" i="13" s="1"/>
  <c r="E3" i="10"/>
  <c r="F10" i="23" s="1"/>
  <c r="G10" i="23" s="1"/>
  <c r="H22" i="5"/>
  <c r="H23" i="5" s="1"/>
  <c r="H22" i="4"/>
  <c r="H23" i="4" s="1"/>
  <c r="E3" i="11"/>
  <c r="F11" i="23" s="1"/>
  <c r="G11" i="23" s="1"/>
  <c r="H22" i="7"/>
  <c r="H23" i="7" s="1"/>
  <c r="E3" i="7"/>
  <c r="F7" i="23" s="1"/>
  <c r="G7" i="23" s="1"/>
  <c r="H22" i="17"/>
  <c r="H23" i="17" s="1"/>
  <c r="E3" i="17"/>
  <c r="F17" i="23" s="1"/>
  <c r="G17" i="23" s="1"/>
  <c r="E3" i="1"/>
  <c r="F3" i="23" s="1"/>
  <c r="G3" i="23" s="1"/>
  <c r="H22" i="1"/>
  <c r="H23" i="1" s="1"/>
  <c r="F37" i="23" l="1"/>
  <c r="F36" i="23"/>
  <c r="F35" i="23"/>
  <c r="F31" i="23"/>
</calcChain>
</file>

<file path=xl/sharedStrings.xml><?xml version="1.0" encoding="utf-8"?>
<sst xmlns="http://schemas.openxmlformats.org/spreadsheetml/2006/main" count="1013" uniqueCount="233">
  <si>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</si>
  <si>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</si>
  <si>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</si>
  <si>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</si>
  <si>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</si>
  <si>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</si>
  <si>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</si>
  <si>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</si>
  <si>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</si>
  <si>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</si>
  <si>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</si>
  <si>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</si>
  <si>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</si>
  <si>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</si>
  <si>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</si>
  <si>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</si>
  <si>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</si>
  <si>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</si>
  <si>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</si>
  <si>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</si>
  <si>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</si>
  <si>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</si>
  <si>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</si>
  <si>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</si>
  <si>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</si>
  <si>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</si>
  <si>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</si>
  <si>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</si>
  <si>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</si>
  <si>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</si>
  <si>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</si>
  <si>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lote</t>
  </si>
  <si>
    <t>qtde lotes</t>
  </si>
  <si>
    <t>total estimado</t>
  </si>
  <si>
    <t>Mesa de escritório com tampo em formato
retangular código: 623620</t>
  </si>
  <si>
    <t>Mesa de escritório com tampo em formato
retangular código: 483246</t>
  </si>
  <si>
    <t xml:space="preserve">Mesa de escritório com tampo em formato
peninsular 329681
</t>
  </si>
  <si>
    <t>Armário baixo código: 266920</t>
  </si>
  <si>
    <t>Cadeiradediálogo–sembraços código: 486777</t>
  </si>
  <si>
    <t>QUADRO DE AVISO, com as seguintes
especificações:
 Confeccionado em cortiça ou Celotex revestido
com feltro na cor azul ou verde;
 Moldura em alumínio, dotada de furos ou
dispositivo para fixação em parede;
 Dimensões podendo variar de: 1.000 mm a
1.200 mm (largura) x 800 mm a 900 mm
(altura); Código: 486401</t>
  </si>
  <si>
    <t>DESCANÇO PÉS - APOIO ERGONÔMICO PARA OS
PÉS, com as
seguintes especificações:
Base (apoio para os pés) confeccionada em
plástico de alta resistência e antiderrapante;
 Cor preta;
 O apoio para os pés não devem apresentar
quinas vivas;
 Estrutura tubular metálica
 Com pés e/ou sapatas antiderrapantes;
 Dimensões da base podendo variar: 400 a 510
mm (largura) e 280 a 420 mm (profundidade);
 Inclinação ajustável; Código: 328454</t>
  </si>
  <si>
    <t>GRADE DE PROTEÇÃO/GUARDA CORPO - GRADIS
DE CONTENÇÃO DE PÚBLICO, com as seguintes
especificações:
Altura de 1,2 metros e 2 metros de
comprimento admitindo-se variações de
0,1 metros.
Cor prata
Estrutura em tubo estrutural Pés de Apoio Fixo em tubo estrutural.
Acabamento Galvanizado
Trava Encaixe laminado
Garantia mínima de 12 meses. Código: 481592</t>
  </si>
  <si>
    <t>ESTANTE EM AÇO FECHADA,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Fechamento lateral e no fundo com painéis
confeccionados em, no mínimo, chapa de aço
26;
 Colunas sustentando as prateleiras chapa de aço
14, estrutura em perfil “L” com dimensões
mínimas de 30 x 30 mm, com encaixes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Sapatas protetoras em nylon ou polímero
resistente para evitar danos ao piso.
Código: 460829</t>
  </si>
  <si>
    <t>OFFICE MAX COM. MÓVEIS EIRELI - EPP</t>
  </si>
  <si>
    <t>OFFICE MAX COM.DE MÓVEIS EIRELI - EPP</t>
  </si>
  <si>
    <t>Armário alto código: 393010</t>
  </si>
  <si>
    <t>Gaveteiro volante código: 462075</t>
  </si>
  <si>
    <t>Mesa de reunião com tampo em formato elíptico código: 437104</t>
  </si>
  <si>
    <t>Mesa de reunião com tampo em formato circular código: 262911</t>
  </si>
  <si>
    <t>Mesa de escritório com tampo em formato “L” código: 476425</t>
  </si>
  <si>
    <t>Cadeira giratória operacional com espaldar
médio código: 485840</t>
  </si>
  <si>
    <t xml:space="preserve">Cadeira giratória operacional com espaldar
alto código: 445779
</t>
  </si>
  <si>
    <t xml:space="preserve">Cadeira giratória operacional com espaldar
altoeapoiodecabeça código: 484126
</t>
  </si>
  <si>
    <t>CONFORTEC SOLUCOES ERGONOMICAS LTDA</t>
  </si>
  <si>
    <t>MARZO VITORINO INDÚSTRIA E COMERCIO DE MÓVEIS LTDA</t>
  </si>
  <si>
    <t>FOX INDÚSTRIA METALURGICA LTDA</t>
  </si>
  <si>
    <t>COMERCIAL JANDAIA LTDA</t>
  </si>
  <si>
    <t>ACOBOM LTDA</t>
  </si>
  <si>
    <t>SANTISSIMA TRINDADE COMERCIO E SERVICOS LTDA</t>
  </si>
  <si>
    <t>FOX INDUSTRIA METALURGICA LTDA</t>
  </si>
  <si>
    <t>JUSTO MOVEIS E TRANSPORTES LTDA</t>
  </si>
  <si>
    <t>SENA E PRATES LTDA</t>
  </si>
  <si>
    <t>D.S.E INDÚSTRIA E COMERCIO DE MÓVEIS DE ACO LTDA</t>
  </si>
  <si>
    <t>NILKO TECNOLOGIA LTDA</t>
  </si>
  <si>
    <t>MAX MOVE COMERCIO DE MOVEIS E TRANSPORTES LTDA</t>
  </si>
  <si>
    <t>ESTRELA COMERCIAL DE TRES RIOS LTDA</t>
  </si>
  <si>
    <t>ALER COMERCIO DE MOVEIS LTDA</t>
  </si>
  <si>
    <t>DVR CORPORATIVO COMERCIO DE MOVEIS LTDA</t>
  </si>
  <si>
    <t>GEISA GOMES DA SILVA</t>
  </si>
  <si>
    <t>META X INDUSTRIA E COMERCIO LTDA</t>
  </si>
  <si>
    <t>VITRINE AMBIENTES PARA ESCRITORIO LTDA</t>
  </si>
  <si>
    <t>59.228.078 FELIPE ABDO ASSAD SOUSA</t>
  </si>
  <si>
    <t>2WE MOVEIS COMERCIAIS LTDA</t>
  </si>
  <si>
    <t>BELCHAIR COMERCIO DE MOVEIS LTDA</t>
  </si>
  <si>
    <t>59.989.144 WELLYSON MONTEIRO DA SILVA</t>
  </si>
  <si>
    <t>COMSUL - COMERCIAL SUCESSO LTDA</t>
  </si>
  <si>
    <t>MOBILIARE ASSENTOS CORPORATIVOS LTDA</t>
  </si>
  <si>
    <t>FLEXFORM INDUSTRIA E COMERCIO DE MOVEIS LTDA</t>
  </si>
  <si>
    <t>WSB COMERCIO DE MOVEIS LTDA</t>
  </si>
  <si>
    <t>FERRAMAX COMERCIO E SERVICOS LTDA</t>
  </si>
  <si>
    <t>ATMA MOVEIS LTDA</t>
  </si>
  <si>
    <t>ORISVALDO SILVA JUNIOR</t>
  </si>
  <si>
    <t>CIRURGICA CASTELI DISTRIBUIDORA DE MEDICAMENTO LTDA</t>
  </si>
  <si>
    <t>EQUIPAR COMERCIO E SERVICOS LTDA388,50</t>
  </si>
  <si>
    <t>58.491.452 BEATRIZ FELICIANO COUTINHO SANTOS</t>
  </si>
  <si>
    <t>L.M. COMERCIO DE MOVEIS LTDA</t>
  </si>
  <si>
    <t>HG COMERCIO DE MOVEIS E EQUIPAMENTOS PARA ESCRITORIOS LTDA</t>
  </si>
  <si>
    <t>ALFA CADEIRAS ALTAS</t>
  </si>
  <si>
    <t>SERAPIAO COMERCIO DE UTILIDADES LTDA</t>
  </si>
  <si>
    <t>GENIAL PRODUTOS E SERVICOS EM ALVENARIA EM GERAL LTDA</t>
  </si>
  <si>
    <t>A.N.D CAPELLI LTDA</t>
  </si>
  <si>
    <t>FS COMERCIO DE MOVEIS LTDA</t>
  </si>
  <si>
    <t>MV MOVEIS LTDA</t>
  </si>
  <si>
    <t>METAFLEX INDUSTRIA E DISTRIBUICAO DE MOVEIS LTDA</t>
  </si>
  <si>
    <t>CARPETEC COMERCIO DE TAPETES LTDA</t>
  </si>
  <si>
    <t>UNIBRASIL COMERCIO DE MOVEIS PARA ESCRITORIO LTDA</t>
  </si>
  <si>
    <t>UNIMOVEIS INDUSTRIA E COMERCIO DE MOVEIS HOSPITALARES LTDA</t>
  </si>
  <si>
    <t>DECIO DRUCZKOWSKI INDUSTRIA E COMERCIO DE MOVEIS</t>
  </si>
  <si>
    <t>BETEL MOVEIS LTDA</t>
  </si>
  <si>
    <t>ROGER EDUARDO DOS SANTOS</t>
  </si>
  <si>
    <t>GRUPO IDEIA DIAS PEREIRA SERVICOS E DISTRIBUICAO LTDA</t>
  </si>
  <si>
    <t>MORAC CORPORATION LTDA</t>
  </si>
  <si>
    <t>59.185.117 JEFFERSON PINHEIRO SANTOS</t>
  </si>
  <si>
    <t>VALE COMERCIO DE MATERIAIS LTDA</t>
  </si>
  <si>
    <t>GM INDÚSTRIA E COMERCIO VAREJISTA DE MOVEIS LTDA</t>
  </si>
  <si>
    <t>TECNO-FLEX DE MOGI MIRIM INDUSTRIA E COMERCIO DE MOVEIS LTDA</t>
  </si>
  <si>
    <t>ATENA COMERCIO COMPRA E VENDA LTDA</t>
  </si>
  <si>
    <t>LITOMAQ OFFICE COMERCIO E SERVICOS LTDA</t>
  </si>
  <si>
    <t>ELIS COMERCIO E DISTRIBUIDORA DE COSMETICOS LTDA</t>
  </si>
  <si>
    <t>PROPAGA MULTIVENDAS E SERVICOS INTEGRADOS LTDA</t>
  </si>
  <si>
    <t>JOSE CLEMENCIO SANCHES GARCIA</t>
  </si>
  <si>
    <t>OFFICELAB HUB LTDA</t>
  </si>
  <si>
    <t>IHARD TECNOLOGIA LTDA</t>
  </si>
  <si>
    <t>ADRIMAQ MAQUINAS E EQUIPAMENTOS PARA ESCRITORIO LTDA</t>
  </si>
  <si>
    <t>61.494.683 RAPHAELA DE OLIVEIRA GOMES</t>
  </si>
  <si>
    <t>M.R COMERCIO E SERVICOS LTDA</t>
  </si>
  <si>
    <t>FLORIANRIUS COMERCIO &amp; INSTALAÇÕES DE MOVEIS LTDA</t>
  </si>
  <si>
    <t>D&amp;P PREVIDENCIA LTDA</t>
  </si>
  <si>
    <t>F N DE ALMEIDA LTDA</t>
  </si>
  <si>
    <t>FORTLINE INDUSTRIA E COMERCIO DE MOVEIS LTDA</t>
  </si>
  <si>
    <t>DENTAL SÃO CRISTOVAO LTDA</t>
  </si>
  <si>
    <t>TERRA DO ESCRITORIO COMERCIO DE MOVEIS LTDA</t>
  </si>
  <si>
    <t>A.C. DE ALMEIDA INFORMATICA E TECNOLOGIA LTDA</t>
  </si>
  <si>
    <t>GOGLIATH REPRESENTACAO LTDA</t>
  </si>
  <si>
    <t>C G DE OLIVEIRA PAPEL E LETRAS</t>
  </si>
  <si>
    <t>MBEM COMERCIO E DISTRIBUICAO DE MATERIAIS ESCOLARES LTDA</t>
  </si>
  <si>
    <t>GNC SERVICOS &amp; VENDAS LTDA</t>
  </si>
  <si>
    <t>INVICTA DISTRIBUIDORA DE PRODUTOS E SERVICOS LTDA</t>
  </si>
  <si>
    <t>FLEXFORM INNOVATING WORK</t>
  </si>
  <si>
    <t>A.C. DE ALMEIDA INFORMÁTICA E TECNOLOGIA LTDA</t>
  </si>
  <si>
    <t>GNC SERVIÇOS &amp; VENDAS LTDA</t>
  </si>
  <si>
    <t>INVICTA DISTRIBUIDORA DE PRODUTOS E SERVIÇOS LTDA</t>
  </si>
  <si>
    <t>BF SHOP LTDA</t>
  </si>
  <si>
    <t>DARLU INDUSTRIA TEXTIL LTDA</t>
  </si>
  <si>
    <t>IDESAN COMERCIAL LTDA</t>
  </si>
  <si>
    <t>RBQ COMERCIAL LTDA</t>
  </si>
  <si>
    <t>BRAVEN COMERCIO E DISTRIBUIDORA LTDA</t>
  </si>
  <si>
    <t>BRASIL POLTRONAS E CADEIRAS LTDA</t>
  </si>
  <si>
    <t>SEAOPEN REFRIGERACAO E MOVEIS LTDA</t>
  </si>
  <si>
    <t>MOBILHE MOVEIS CORPORATIVOS LTDA</t>
  </si>
  <si>
    <t>MARCELA DE OLIVEIRA BERARDI</t>
  </si>
  <si>
    <t>MOVIMENTE LTDA</t>
  </si>
  <si>
    <t>51.662.031 OTAVIO FELIPE ALVES PASSOS</t>
  </si>
  <si>
    <t>REVOLUTION CORPORATION LTDA</t>
  </si>
  <si>
    <t>ANDRE PANINI ALBISSU</t>
  </si>
  <si>
    <t>MIN'AGUA COMERCIAL E DISTRIBUIDORA LTDA</t>
  </si>
  <si>
    <t>LMM COMERCIO E FABRICACAO DE MOVEIS LTDA</t>
  </si>
  <si>
    <t>UFFICIO INDUSTRIA E COMERCIO DE MOVEIS LTDA</t>
  </si>
  <si>
    <t>MOVEPLAST INDUSTRIA DE MOVEIS LTDA</t>
  </si>
  <si>
    <t>NS SILVA LTDA</t>
  </si>
  <si>
    <t>ASTEM MOVEIS P/ESCRITORIO LTDA</t>
  </si>
  <si>
    <t>DORAMEL LTDA</t>
  </si>
  <si>
    <t>BOMPORTE COMERCIO DE PRODUTOS ORTOPEDICOS E MATERIAL MEDICO - HOSPITALAR LTDA</t>
  </si>
  <si>
    <t>MATHEUS MED COMERCIO DE ARTIGOS MEDICOS LTDA</t>
  </si>
  <si>
    <t>ZAMPIERE VOLPATTO SOLUCOES INTEGRADAS LTDA</t>
  </si>
  <si>
    <t>MEDWAY SOLUCOES PARA A SAUDE LTDA</t>
  </si>
  <si>
    <t>CIRUPAR - COMERCIO DE EQUIPAMENTOS MEDICOS CIRURGICOS LTDA</t>
  </si>
  <si>
    <t>STOKMED PRODUTOS HOSPITALARES LTDA</t>
  </si>
  <si>
    <t>M.CARREGA COMERCIO DE PRODUTOS HOSPITALARES LTDA</t>
  </si>
  <si>
    <t>VITALLI COMERCIO E IMPORTACAO LTDA</t>
  </si>
  <si>
    <t>DELLAMED S.A</t>
  </si>
  <si>
    <t>NOVORTHEC COMERCIO INTEGRADO LTDA</t>
  </si>
  <si>
    <t>FISIOLIFE SOLUCOES MEDICAS E HOSPITALARES LTDA</t>
  </si>
  <si>
    <t>ORTOMOBIL INDUSTRIA E COMERCIO LTDA</t>
  </si>
  <si>
    <t>VENDRAMINI COMERCIO E SERVICOS DE EQUIPAMENTOS LTDA</t>
  </si>
  <si>
    <t>ORTHEC INDUSTRIA E COMERCIO DE PRODUTOS ORTOPEDICOS LTDA</t>
  </si>
  <si>
    <t>HIDERALDO GOMES TEIXEIRA</t>
  </si>
  <si>
    <t>TOP 3 SERVICE E APOIO ADMINISTRATIVO LTDA</t>
  </si>
  <si>
    <t>KLM COMERCIO ATACADISTA DE FERAMENTAS LTDA</t>
  </si>
  <si>
    <t>BEAT PROMO PRODUCOES ARTISTICAS E DIGITAL LTDA</t>
  </si>
  <si>
    <t>PRIMAX INDUSTRIA E COMERCIO DE MOVEIS LTDA</t>
  </si>
  <si>
    <t>EMGESA EMPRESA DE GERENCIAMENTO DE SOB RESSALENTES E AUTOMACAO LTDA</t>
  </si>
  <si>
    <t>FERTELA INDUSTRIA E COMERCIO DE TELAS E FERRAGENS LTDA</t>
  </si>
  <si>
    <t>TOMAZ E FRANCO LTDA</t>
  </si>
  <si>
    <t>LUIZ AUGUSTO RODRIGUES DE QUEIROZ</t>
  </si>
  <si>
    <t>PAULO HENRIQUE LUCIANO COMERCIO DE MOVEIS</t>
  </si>
  <si>
    <t>MHF MOVEIS LTDA</t>
  </si>
  <si>
    <t>HBO INDUSTRIA E COMERCIO DE MOVEIS DE ACO LTDA</t>
  </si>
  <si>
    <t>LITORANEA COMERCIAL LTDA</t>
  </si>
  <si>
    <t>PONTO SAT EQUIPAMENTOS ELETRONICOS LTDA</t>
  </si>
  <si>
    <t>D.S.E. INDUSTRIA E COMERCIO DE MOVEIS DE ACO LTDA</t>
  </si>
  <si>
    <t>LIB POWER LTDA</t>
  </si>
  <si>
    <t>GEFERSON JUNIOR WOGNEI</t>
  </si>
  <si>
    <t>VIRTUS COMERCIO DE MOVEIS LTDA</t>
  </si>
  <si>
    <t>MASTERCOM COMERCIO ELETRONICO LTDA</t>
  </si>
  <si>
    <t>PEG COMERCIO E SERVICOS LTDA</t>
  </si>
  <si>
    <t>R K COMERCIO E SERVICOS LTDA</t>
  </si>
  <si>
    <t>M F C DISTRIBUIDORA E SERVICOS LTDA</t>
  </si>
  <si>
    <t>RPS COMERCIOS LTDA</t>
  </si>
  <si>
    <t>SANE INDUSTRIA E COMERCIO DE MOVEIS E EQUIPAMENTOS LTDA</t>
  </si>
  <si>
    <t>COMFORT RBO LTDA</t>
  </si>
  <si>
    <t>PLASBICKI LTDA</t>
  </si>
  <si>
    <t>PERFLEX MOVEIS LTDA</t>
  </si>
  <si>
    <t>DAC MOVEIS LTDA</t>
  </si>
  <si>
    <t>CORESUL MOVEIS E EQUIPAMENTOS PARA ESCRITORIO LTDA</t>
  </si>
  <si>
    <t>MOVEIS VITORIA LTDA</t>
  </si>
  <si>
    <t>NEW LINE SOLUCOES CORPORATIVAS LTDA</t>
  </si>
  <si>
    <t xml:space="preserve">F MACIEL LTDA </t>
  </si>
  <si>
    <t>LAYOUT MOVEIS PARA ESCRITORIO LTDA</t>
  </si>
  <si>
    <t>ACHEI INDUSTRIA DE MOVEIS LTDA</t>
  </si>
  <si>
    <t>EDM EMPRESS DISTRIBUIDORA DE MOBILIARIOS LTDA</t>
  </si>
  <si>
    <t>MAQMOVEIS INDUSTRIA E COMERCIO DE MOVEIS LTDA</t>
  </si>
  <si>
    <t>COMERCIAL K &amp; D LTDA</t>
  </si>
  <si>
    <t>BELNIAKI &amp; BELNIAKI LTDA</t>
  </si>
  <si>
    <t>VINICIUS SIQUEIRA NOCRATO LTDA</t>
  </si>
  <si>
    <t>DEBRUM MOVEIS CORPORATIVOS LTDA</t>
  </si>
  <si>
    <t>TECNO2000 INDUSTRIA E COMERCIO LTDA</t>
  </si>
  <si>
    <t>ARTPROJETO COMERCIO E INDUSTRIA DE MOVEIS LTDA</t>
  </si>
  <si>
    <t>FLEXFORMA COMERCIAL DE MOVEIS E EQUIPAMENTOS PARA ESCRITORIO LTDA</t>
  </si>
  <si>
    <t>CARVALHO ACESSORIOS PARA MOVEIS LTDA</t>
  </si>
  <si>
    <t>J V LIMA COMERCIO LTDA</t>
  </si>
  <si>
    <t>FARIA RODRIGUES INDUSTRIA DE MOVEIS LTDA</t>
  </si>
  <si>
    <t>59.077.055 BIANCA DOS SANTOS REZENDE BATISTA</t>
  </si>
  <si>
    <t>COMPRASNET COMERCIAL LTDA</t>
  </si>
  <si>
    <t>ARIQUEMES MAQUINAS E EQUIPAMENTOS LTDA</t>
  </si>
  <si>
    <t>HOMEOFFICE MOVEIS LTDA</t>
  </si>
  <si>
    <t>ESCOLARES INDUSTRIA E COMERCIO DE MOVEIS LTDA</t>
  </si>
  <si>
    <t>MESA AUXILIAR, com as seguintes especificações:
 Tampo único em MDP ou MDF, espessura de 25
mm, admitindo-se variação de ± 5 mm,
revestido em ambas as faces com laminado
melamínico na cor argila, bege oumarfim;
 Bordas retas em termoplástico, na cor do
tampo, espessura mínima de 2mm;
 Painel frontal, espessura de 20 mm, admitindose variação de ± 5 mm, revestido em ambas as
faces com laminado melamínico na cor do
tampo oucinza;
 Dimensões: 800 mm x 600 mm x 735 mm
(lxpxh), admitidas variações de +100 mm para largura, de ±50 mm para profundidade e de ±5
mm paraaltura;
 Estruturas laterais metálicas, com calha vertical
metálica para passagem de fiação, pintadas em
epóxi-pó por processo eletrostático na cor cinza
oupreta;
 Tratamento anti-corrosivo à base de fosfato
dezinco;
 Todos os componentes metálicos aparentes em
cor cinza oupreta;
 Sapatas reguladoras de nível em nylon ou
polímero resistente;
 Saída de cabeamento da parte inferior para a
superior com tampa removível, produzida com
divisores que permitam a individualização
doscircuitos;
Calha horizontal para cabeamento sob otampo</t>
  </si>
  <si>
    <t>CADEIRA FIXA SEM BRAÇO, com as seguintes
especificações:
 Assento e encosto produzido em polipropileno
na cor branca.
 Pernas em aço com acabamento cromado ou
em pintura eletroestática na cor cinza, com
tratamento anticorrosivo e com pés e/ou
sapatas antiderrapantes.
 Medindo 51 cm (comprimento), 52 cm (largura)
e 84 cm (altura) admitindo-se variações de ±3
cm no comprimento e na largura e ±4 cm na
altura.
 Resistente à carga estática de no mínimo 140 kg. Código: 350572</t>
  </si>
  <si>
    <t xml:space="preserve">ESTANTE EM AÇO ABERTA, com as
seguintes especificações:
 Dimensões: 920 mm x 400 mm x 1.980 mm
(lxpxh), admitidas variações de ± 50 mm para
largura e profundidade e ± 20 mm paraaltura;
 Pintura em epóxi-pó por processo eletrostático,
com aspecto uniforme, sem manchas, sem
deformidades, sem rugas, sem riscos, na cor
cinza, com tratamento anti-corrosivo à base de
fosfato dezinco;
 Com lateral e fundo abertos, com duas tiras em
aço de reforço, em "X", nas partes superior e
inferior de cada lateral (total de quatro) e uma
no fundo, com largura mínima de 20mm;
 Colunas sustentando as prateleiras, chapa de aço
14, estrutura em perfil “L” com dimensões
mínimas de 30 x 30 mm, com perfurações que
possibilitem graduações das prateleiras a cada
50 mm dealtura;
 Seis prateleiras reguláveis, capacidade de carga
uniforme individual de, no mínimo, 90 kg,
fabricadas em, no mínimo, chapa de aço 22,
com três dobras, afixadas por meio de parafusos
deaço;
 Livre de arestascortantes;
Sapatasprotetorasem nylon oupolímeroresistente
para evitardanosaopiso.
</t>
  </si>
  <si>
    <t xml:space="preserve">ARMÁRIO DE AÇO P/ VESTIÁRIO, 12
PORTAS,
TIPO ROUPEIRO, com as seguintes
especificações:
Dimensões externas: 1250 mm x 400 mm x 1.950 mm (lxpxh), admitidas variações de ±60 mm largura,±50 mm para altura, e de ± 20 mm para a profundidade;
Confeccionado em chapa de aço 22, inclusive as portas;
 Portas com, no mínimo, dois pontos de
travamento e dobradiçainterna;
Venezianas para ventilação em cadaporta;
 Pintura em epóxi-pó por processo
eletrostático, com aspecto uniforme, sem
manchas, sem deformidades, sem rugas,
sem riscos, na cor cinza, com tratamento
anti-corrosivo à base de fosfato dezinco;
Base com sapatas protetoras em nylon ou
polímero resistente;
 Pitão individual em aço paracadeado;
Livre de arestascortantes 
</t>
  </si>
  <si>
    <t>ARMÁRIO DE AÇO P/ VESTIÁRIO, 16
PORTAS,
TIPO ROUPEIRO, com as seguintes
especificações:
 Dimensões externas: 1250 mm x 400 mm x1.950 mm (lxpxh), admitidas variações de
±60 mm largura, ±50 mm para altura, e de ±
20 mm para aprofundidade; Confeccionado em chapa de aço 22, inclusive
asportas;
 Portas com, no mínimo, dois pontos de
travamento e dobradiçainterna;
 Venezianas para ventilação em cadaporta;
 Pintura em epóxi-pó por processo
eletrostático, com aspecto uniforme, sem
manchas, sem deformidades, sem rugas,
sem riscos, na cor cinza, com tratamento
anti-corrosivo à base de fosfato dezinco;
Base com sapatas protetoras em nylon ou
polímero resistente;
 Pitão individual em aço paracadeado.
Livre de arestascortantes.</t>
  </si>
  <si>
    <t>Cadeira sobre longarina, sem braços – 2 lugares</t>
  </si>
  <si>
    <t>Cadeira sobre longarina, sem braços – 3 lugares</t>
  </si>
  <si>
    <t>MOVEMOBILE INDUSTRIA E COMERCIO DE MOVEIS LTDA</t>
  </si>
  <si>
    <t>HBARRETTO COMERCIO DE MOVEIS E SERVICOS LTDA</t>
  </si>
  <si>
    <t>DU WORK COMERCIO E EQUIPAMENTOS PARA ESCRITORIO LTDA</t>
  </si>
  <si>
    <t>FAGUNDES &amp; MIRANDA LTDA</t>
  </si>
  <si>
    <t>TAIMAPA MOVEIS PLANEJADOS LTDA</t>
  </si>
  <si>
    <t>M.DE.L. TRINDADE DA SILVA - MOVEIS</t>
  </si>
  <si>
    <t>LIBRAMOVEIS COMERCIO E SERVICOS LTDA</t>
  </si>
  <si>
    <t>n/a</t>
  </si>
  <si>
    <t>CADEIRA COM RODAS, com as seguintes
especificações:
 Funcionamento manual
 Fabricada em aço carbono
 Estofamento em nylon
 Estrutura dobrável em formato x
 Sistema de freios bilaterais reguláveis
 Rodas dianteiras de 6” maciças
 Rodas traseiras de 24”, injetadas em nylon
com pneus maciços
 Apoio para os braços fixos e apoio para os pés
removível ou retrátil
 Apoio para panturrilha
 Capacidade mínima para 90 kg.
 Largura mínima do assento de 40 cm Código: 427631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</si>
</sst>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1">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applyAlignment="1">
      <alignment horizontal="right"/>
    </xf>
    <xf numFmtId="0" fontId="8" fillId="2" borderId="3" xfId="0" applyFont="1" applyFill="1" applyBorder="1" applyAlignment="1">
      <alignment horizontal="center"/>
    </xf>
    <xf numFmtId="44" fontId="8" fillId="2" borderId="1" xfId="1" applyFont="1" applyFill="1" applyBorder="1" applyAlignment="1">
      <alignment horizontal="center"/>
    </xf>
    <xf numFmtId="0" fontId="8" fillId="2" borderId="1" xfId="0" applyFont="1" applyFill="1" applyBorder="1" applyAlignment="1">
      <alignment horizontal="right"/>
    </xf>
    <xf numFmtId="0" fontId="8" fillId="2" borderId="4" xfId="0" applyFont="1" applyFill="1" applyBorder="1"/>
    <xf numFmtId="0" fontId="8" fillId="2" borderId="5" xfId="0" applyFont="1" applyFill="1" applyBorder="1" applyAlignment="1">
      <alignment horizontal="right"/>
    </xf>
    <xf numFmtId="44" fontId="8" fillId="2" borderId="6"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1" xfId="0" applyFont="1" applyBorder="1" applyAlignment="1">
      <alignment horizontal="center" vertical="center"/>
    </xf>
    <xf numFmtId="0" fontId="2" fillId="0" borderId="0" xfId="0" applyFont="1" applyAlignment="1">
      <alignment horizontal="center"/>
    </xf>
    <xf numFmtId="0" fontId="2" fillId="0" borderId="0" xfId="0" applyFont="1" applyAlignment="1">
      <alignment horizontal="center" vertical="top"/>
    </xf>
    <xf numFmtId="0" fontId="2" fillId="0" borderId="1" xfId="0" applyFont="1" applyBorder="1" applyAlignment="1">
      <alignment wrapText="1"/>
    </xf>
    <xf numFmtId="44" fontId="2" fillId="0" borderId="1" xfId="0" applyNumberFormat="1" applyFont="1" applyBorder="1" applyAlignment="1">
      <alignment vertical="top"/>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7"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3" sqref="G3:H1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v>
      </c>
      <c r="B3" s="35" t="s">
        <v>49</v>
      </c>
      <c r="C3" s="37" t="s">
        <v>7</v>
      </c>
      <c r="D3" s="37">
        <v>60</v>
      </c>
      <c r="E3" s="38">
        <f>IF(C20&lt;=25%,D20,MIN(E20:F20))</f>
        <v>753.15</v>
      </c>
      <c r="F3" s="38">
        <f>MIN(H3:H17)</f>
        <v>398</v>
      </c>
      <c r="G3" s="5" t="s">
        <v>43</v>
      </c>
      <c r="H3" s="16">
        <v>2150</v>
      </c>
      <c r="I3" s="17" t="str">
        <f>IF(H3="","",(IF($C$20&lt;25%,"n/a",IF(H3&lt;=($D$20+$A$20),H3,"Descartado"))))</f>
        <v>Descartado</v>
      </c>
    </row>
    <row r="4" spans="1:9" x14ac:dyDescent="0.25">
      <c r="A4" s="39"/>
      <c r="B4" s="36"/>
      <c r="C4" s="37"/>
      <c r="D4" s="37"/>
      <c r="E4" s="38"/>
      <c r="F4" s="38"/>
      <c r="G4" s="5" t="s">
        <v>54</v>
      </c>
      <c r="H4" s="16">
        <v>1250</v>
      </c>
      <c r="I4" s="17">
        <f t="shared" ref="I4:I17" si="0">IF(H4="","",(IF($C$20&lt;25%,"n/a",IF(H4&lt;=($D$20+$A$20),H4,"Descartado"))))</f>
        <v>1250</v>
      </c>
    </row>
    <row r="5" spans="1:9" x14ac:dyDescent="0.25">
      <c r="A5" s="39"/>
      <c r="B5" s="36"/>
      <c r="C5" s="37"/>
      <c r="D5" s="37"/>
      <c r="E5" s="38"/>
      <c r="F5" s="38"/>
      <c r="G5" s="5" t="s">
        <v>118</v>
      </c>
      <c r="H5" s="16">
        <v>469</v>
      </c>
      <c r="I5" s="17">
        <f t="shared" si="0"/>
        <v>469</v>
      </c>
    </row>
    <row r="6" spans="1:9" x14ac:dyDescent="0.25">
      <c r="A6" s="39"/>
      <c r="B6" s="36"/>
      <c r="C6" s="37"/>
      <c r="D6" s="37"/>
      <c r="E6" s="38"/>
      <c r="F6" s="38"/>
      <c r="G6" s="5" t="s">
        <v>188</v>
      </c>
      <c r="H6" s="16">
        <v>785</v>
      </c>
      <c r="I6" s="17">
        <f t="shared" si="0"/>
        <v>785</v>
      </c>
    </row>
    <row r="7" spans="1:9" x14ac:dyDescent="0.25">
      <c r="A7" s="39"/>
      <c r="B7" s="36"/>
      <c r="C7" s="37"/>
      <c r="D7" s="37"/>
      <c r="E7" s="38"/>
      <c r="F7" s="38"/>
      <c r="G7" s="5" t="s">
        <v>189</v>
      </c>
      <c r="H7" s="16">
        <v>779.5</v>
      </c>
      <c r="I7" s="17">
        <f t="shared" si="0"/>
        <v>779.5</v>
      </c>
    </row>
    <row r="8" spans="1:9" x14ac:dyDescent="0.25">
      <c r="A8" s="39"/>
      <c r="B8" s="36"/>
      <c r="C8" s="37"/>
      <c r="D8" s="37"/>
      <c r="E8" s="38"/>
      <c r="F8" s="38"/>
      <c r="G8" s="5" t="s">
        <v>190</v>
      </c>
      <c r="H8" s="16">
        <v>590</v>
      </c>
      <c r="I8" s="17">
        <f t="shared" si="0"/>
        <v>590</v>
      </c>
    </row>
    <row r="9" spans="1:9" x14ac:dyDescent="0.25">
      <c r="A9" s="39"/>
      <c r="B9" s="36"/>
      <c r="C9" s="37"/>
      <c r="D9" s="37"/>
      <c r="E9" s="38"/>
      <c r="F9" s="38"/>
      <c r="G9" s="5" t="s">
        <v>191</v>
      </c>
      <c r="H9" s="16">
        <v>398</v>
      </c>
      <c r="I9" s="17">
        <f t="shared" si="0"/>
        <v>398</v>
      </c>
    </row>
    <row r="10" spans="1:9" x14ac:dyDescent="0.25">
      <c r="A10" s="39"/>
      <c r="B10" s="36"/>
      <c r="C10" s="37"/>
      <c r="D10" s="37"/>
      <c r="E10" s="38"/>
      <c r="F10" s="38"/>
      <c r="G10" s="5" t="s">
        <v>192</v>
      </c>
      <c r="H10" s="16">
        <v>444</v>
      </c>
      <c r="I10" s="17">
        <f t="shared" si="0"/>
        <v>444</v>
      </c>
    </row>
    <row r="11" spans="1:9" x14ac:dyDescent="0.25">
      <c r="A11" s="39"/>
      <c r="B11" s="36"/>
      <c r="C11" s="37"/>
      <c r="D11" s="37"/>
      <c r="E11" s="38"/>
      <c r="F11" s="38"/>
      <c r="G11" s="5" t="s">
        <v>193</v>
      </c>
      <c r="H11" s="16">
        <v>780</v>
      </c>
      <c r="I11" s="17">
        <f t="shared" si="0"/>
        <v>780</v>
      </c>
    </row>
    <row r="12" spans="1:9" x14ac:dyDescent="0.25">
      <c r="A12" s="39"/>
      <c r="B12" s="36"/>
      <c r="C12" s="37"/>
      <c r="D12" s="37"/>
      <c r="E12" s="38"/>
      <c r="F12" s="38"/>
      <c r="G12" s="5" t="s">
        <v>194</v>
      </c>
      <c r="H12" s="16">
        <v>1177</v>
      </c>
      <c r="I12" s="17">
        <f t="shared" si="0"/>
        <v>1177</v>
      </c>
    </row>
    <row r="13" spans="1:9" x14ac:dyDescent="0.25">
      <c r="A13" s="39"/>
      <c r="B13" s="36"/>
      <c r="C13" s="37"/>
      <c r="D13" s="37"/>
      <c r="E13" s="38"/>
      <c r="F13" s="38"/>
      <c r="G13" s="5" t="s">
        <v>187</v>
      </c>
      <c r="H13" s="16">
        <v>2342</v>
      </c>
      <c r="I13" s="17" t="str">
        <f t="shared" si="0"/>
        <v>Descartado</v>
      </c>
    </row>
    <row r="14" spans="1:9" x14ac:dyDescent="0.25">
      <c r="A14" s="39"/>
      <c r="B14" s="36"/>
      <c r="C14" s="37"/>
      <c r="D14" s="37"/>
      <c r="E14" s="38"/>
      <c r="F14" s="38"/>
      <c r="G14" s="5" t="s">
        <v>195</v>
      </c>
      <c r="H14" s="16">
        <v>859</v>
      </c>
      <c r="I14" s="17">
        <f t="shared" si="0"/>
        <v>859</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639.74243603945558</v>
      </c>
      <c r="B20" s="8">
        <f>COUNT(H3:H17)</f>
        <v>12</v>
      </c>
      <c r="C20" s="9">
        <f>IF(B20&lt;2,"n/a",(A20/D20))</f>
        <v>0.63849099369181961</v>
      </c>
      <c r="D20" s="10">
        <f>IFERROR(ROUND(AVERAGE(H3:H17),2),"")</f>
        <v>1001.96</v>
      </c>
      <c r="E20" s="15">
        <f>IFERROR(ROUND(IF(B20&lt;2,"n/a",(IF(C20&lt;=25%,"n/a",AVERAGE(I3:I17)))),2),"n/a")</f>
        <v>753.15</v>
      </c>
      <c r="F20" s="10">
        <f>IFERROR(ROUND(MEDIAN(H3:H17),2),"")</f>
        <v>782.5</v>
      </c>
      <c r="G20" s="11" t="str">
        <f>IFERROR(INDEX(G3:G17,MATCH(H20,H3:H17,0)),"")</f>
        <v>PLASBICKI LTDA</v>
      </c>
      <c r="H20" s="12">
        <f>F3</f>
        <v>398</v>
      </c>
    </row>
    <row r="22" spans="1:9" x14ac:dyDescent="0.25">
      <c r="G22" s="13" t="s">
        <v>20</v>
      </c>
      <c r="H22" s="14">
        <f>IF(C20&lt;=25%,D20,MIN(E20:F20))</f>
        <v>753.15</v>
      </c>
    </row>
    <row r="23" spans="1:9" x14ac:dyDescent="0.25">
      <c r="G23" s="13" t="s">
        <v>6</v>
      </c>
      <c r="H23" s="14">
        <f>ROUND(H22,2)*D3</f>
        <v>45189</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5" sqref="G15"/>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10</v>
      </c>
      <c r="B3" s="35" t="s">
        <v>45</v>
      </c>
      <c r="C3" s="37" t="s">
        <v>7</v>
      </c>
      <c r="D3" s="37">
        <v>50</v>
      </c>
      <c r="E3" s="38">
        <f>IF(C20&lt;=25%,D20,MIN(E20:F20))</f>
        <v>788.32</v>
      </c>
      <c r="F3" s="38">
        <f>MIN(H3:H17)</f>
        <v>569</v>
      </c>
      <c r="G3" s="5" t="s">
        <v>44</v>
      </c>
      <c r="H3" s="16">
        <v>2750</v>
      </c>
      <c r="I3" s="17" t="str">
        <f>IF(H3="","",(IF($C$20&lt;25%,"n/a",IF(H3&lt;=($D$20+$A$20),H3,"Descartado"))))</f>
        <v>Descartado</v>
      </c>
    </row>
    <row r="4" spans="1:9" x14ac:dyDescent="0.25">
      <c r="A4" s="39"/>
      <c r="B4" s="36"/>
      <c r="C4" s="37"/>
      <c r="D4" s="37"/>
      <c r="E4" s="38"/>
      <c r="F4" s="38"/>
      <c r="G4" s="5" t="s">
        <v>54</v>
      </c>
      <c r="H4" s="16">
        <v>1600</v>
      </c>
      <c r="I4" s="17">
        <f t="shared" ref="I4:I17" si="0">IF(H4="","",(IF($C$20&lt;25%,"n/a",IF(H4&lt;=($D$20+$A$20),H4,"Descartado"))))</f>
        <v>1600</v>
      </c>
    </row>
    <row r="5" spans="1:9" x14ac:dyDescent="0.25">
      <c r="A5" s="39"/>
      <c r="B5" s="36"/>
      <c r="C5" s="37"/>
      <c r="D5" s="37"/>
      <c r="E5" s="38"/>
      <c r="F5" s="38"/>
      <c r="G5" s="5" t="s">
        <v>208</v>
      </c>
      <c r="H5" s="16">
        <v>749</v>
      </c>
      <c r="I5" s="17">
        <f t="shared" si="0"/>
        <v>749</v>
      </c>
    </row>
    <row r="6" spans="1:9" x14ac:dyDescent="0.25">
      <c r="A6" s="39"/>
      <c r="B6" s="36"/>
      <c r="C6" s="37"/>
      <c r="D6" s="37"/>
      <c r="E6" s="38"/>
      <c r="F6" s="38"/>
      <c r="G6" s="5" t="s">
        <v>209</v>
      </c>
      <c r="H6" s="16">
        <v>827.64</v>
      </c>
      <c r="I6" s="17">
        <f t="shared" si="0"/>
        <v>827.64</v>
      </c>
    </row>
    <row r="7" spans="1:9" x14ac:dyDescent="0.25">
      <c r="A7" s="39"/>
      <c r="B7" s="36"/>
      <c r="C7" s="37"/>
      <c r="D7" s="37"/>
      <c r="E7" s="38"/>
      <c r="F7" s="38"/>
      <c r="G7" s="5" t="s">
        <v>210</v>
      </c>
      <c r="H7" s="16">
        <v>573.58000000000004</v>
      </c>
      <c r="I7" s="17">
        <f t="shared" si="0"/>
        <v>573.58000000000004</v>
      </c>
    </row>
    <row r="8" spans="1:9" x14ac:dyDescent="0.25">
      <c r="A8" s="39"/>
      <c r="B8" s="36"/>
      <c r="C8" s="37"/>
      <c r="D8" s="37"/>
      <c r="E8" s="38"/>
      <c r="F8" s="38"/>
      <c r="G8" s="5" t="s">
        <v>211</v>
      </c>
      <c r="H8" s="16">
        <v>569</v>
      </c>
      <c r="I8" s="17">
        <f t="shared" si="0"/>
        <v>569</v>
      </c>
    </row>
    <row r="9" spans="1:9" x14ac:dyDescent="0.25">
      <c r="A9" s="39"/>
      <c r="B9" s="36"/>
      <c r="C9" s="37"/>
      <c r="D9" s="37"/>
      <c r="E9" s="38"/>
      <c r="F9" s="38"/>
      <c r="G9" s="5" t="s">
        <v>212</v>
      </c>
      <c r="H9" s="16">
        <v>735.5</v>
      </c>
      <c r="I9" s="17">
        <f t="shared" si="0"/>
        <v>735.5</v>
      </c>
    </row>
    <row r="10" spans="1:9" x14ac:dyDescent="0.25">
      <c r="A10" s="39"/>
      <c r="B10" s="36"/>
      <c r="C10" s="37"/>
      <c r="D10" s="37"/>
      <c r="E10" s="38"/>
      <c r="F10" s="38"/>
      <c r="G10" s="5" t="s">
        <v>213</v>
      </c>
      <c r="H10" s="16">
        <v>590</v>
      </c>
      <c r="I10" s="17">
        <f t="shared" si="0"/>
        <v>590</v>
      </c>
    </row>
    <row r="11" spans="1:9" x14ac:dyDescent="0.25">
      <c r="A11" s="39"/>
      <c r="B11" s="36"/>
      <c r="C11" s="37"/>
      <c r="D11" s="37"/>
      <c r="E11" s="38"/>
      <c r="F11" s="38"/>
      <c r="G11" s="5" t="s">
        <v>214</v>
      </c>
      <c r="H11" s="16">
        <v>891</v>
      </c>
      <c r="I11" s="17">
        <f t="shared" si="0"/>
        <v>891</v>
      </c>
    </row>
    <row r="12" spans="1:9" x14ac:dyDescent="0.25">
      <c r="A12" s="39"/>
      <c r="B12" s="36"/>
      <c r="C12" s="37"/>
      <c r="D12" s="37"/>
      <c r="E12" s="38"/>
      <c r="F12" s="38"/>
      <c r="G12" s="5" t="s">
        <v>215</v>
      </c>
      <c r="H12" s="16">
        <v>850</v>
      </c>
      <c r="I12" s="17">
        <f t="shared" si="0"/>
        <v>850</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679.33000033202632</v>
      </c>
      <c r="B20" s="8">
        <f>COUNT(H3:H17)</f>
        <v>10</v>
      </c>
      <c r="C20" s="9">
        <f>IF(B20&lt;2,"n/a",(A20/D20))</f>
        <v>0.67023491256847212</v>
      </c>
      <c r="D20" s="10">
        <f>IFERROR(ROUND(AVERAGE(H3:H17),2),"")</f>
        <v>1013.57</v>
      </c>
      <c r="E20" s="15">
        <f>IFERROR(ROUND(IF(B20&lt;2,"n/a",(IF(C20&lt;=25%,"n/a",AVERAGE(I3:I17)))),2),"n/a")</f>
        <v>820.64</v>
      </c>
      <c r="F20" s="10">
        <f>IFERROR(ROUND(MEDIAN(H3:H17),2),"")</f>
        <v>788.32</v>
      </c>
      <c r="G20" s="11" t="str">
        <f>IFERROR(INDEX(G3:G17,MATCH(H20,H3:H17,0)),"")</f>
        <v>FARIA RODRIGUES INDUSTRIA DE MOVEIS LTDA</v>
      </c>
      <c r="H20" s="12">
        <f>F3</f>
        <v>569</v>
      </c>
    </row>
    <row r="22" spans="1:9" x14ac:dyDescent="0.25">
      <c r="G22" s="13" t="s">
        <v>20</v>
      </c>
      <c r="H22" s="14">
        <f>IF(C20&lt;=25%,D20,MIN(E20:F20))</f>
        <v>788.32</v>
      </c>
    </row>
    <row r="23" spans="1:9" x14ac:dyDescent="0.25">
      <c r="G23" s="13" t="s">
        <v>6</v>
      </c>
      <c r="H23" s="14">
        <f>ROUND(H22,2)*D3</f>
        <v>39416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0" sqref="G10"/>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11</v>
      </c>
      <c r="B3" s="35" t="s">
        <v>37</v>
      </c>
      <c r="C3" s="37" t="s">
        <v>7</v>
      </c>
      <c r="D3" s="37">
        <v>20</v>
      </c>
      <c r="E3" s="38">
        <f>IF(C20&lt;=25%,D20,MIN(E20:F20))</f>
        <v>650</v>
      </c>
      <c r="F3" s="38">
        <f>MIN(H3:H17)</f>
        <v>350</v>
      </c>
      <c r="G3" s="5" t="s">
        <v>44</v>
      </c>
      <c r="H3" s="16">
        <v>1450</v>
      </c>
      <c r="I3" s="17" t="str">
        <f>IF(H3="","",(IF($C$20&lt;25%,"n/a",IF(H3&lt;=($D$20+$A$20),H3,"Descartado"))))</f>
        <v>Descartado</v>
      </c>
    </row>
    <row r="4" spans="1:9" x14ac:dyDescent="0.25">
      <c r="A4" s="39"/>
      <c r="B4" s="36"/>
      <c r="C4" s="37"/>
      <c r="D4" s="37"/>
      <c r="E4" s="38"/>
      <c r="F4" s="38"/>
      <c r="G4" s="5" t="s">
        <v>54</v>
      </c>
      <c r="H4" s="16">
        <v>1000</v>
      </c>
      <c r="I4" s="17">
        <f t="shared" ref="I4:I17" si="0">IF(H4="","",(IF($C$20&lt;25%,"n/a",IF(H4&lt;=($D$20+$A$20),H4,"Descartado"))))</f>
        <v>1000</v>
      </c>
    </row>
    <row r="5" spans="1:9" x14ac:dyDescent="0.25">
      <c r="A5" s="39"/>
      <c r="B5" s="36"/>
      <c r="C5" s="37"/>
      <c r="D5" s="37"/>
      <c r="E5" s="38"/>
      <c r="F5" s="38"/>
      <c r="G5" s="5" t="s">
        <v>216</v>
      </c>
      <c r="H5" s="16">
        <v>600</v>
      </c>
      <c r="I5" s="17">
        <f t="shared" si="0"/>
        <v>600</v>
      </c>
    </row>
    <row r="6" spans="1:9" x14ac:dyDescent="0.25">
      <c r="A6" s="39"/>
      <c r="B6" s="36"/>
      <c r="C6" s="37"/>
      <c r="D6" s="37"/>
      <c r="E6" s="38"/>
      <c r="F6" s="38"/>
      <c r="G6" s="5" t="s">
        <v>143</v>
      </c>
      <c r="H6" s="16">
        <v>350</v>
      </c>
      <c r="I6" s="17">
        <f t="shared" si="0"/>
        <v>350</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481.31763593978837</v>
      </c>
      <c r="B20" s="8">
        <f>COUNT(H3:H17)</f>
        <v>4</v>
      </c>
      <c r="C20" s="9">
        <f>IF(B20&lt;2,"n/a",(A20/D20))</f>
        <v>0.56625604228210402</v>
      </c>
      <c r="D20" s="10">
        <f>IFERROR(ROUND(AVERAGE(H3:H17),2),"")</f>
        <v>850</v>
      </c>
      <c r="E20" s="15">
        <f>IFERROR(ROUND(IF(B20&lt;2,"n/a",(IF(C20&lt;=25%,"n/a",AVERAGE(I3:I17)))),2),"n/a")</f>
        <v>650</v>
      </c>
      <c r="F20" s="10">
        <f>IFERROR(ROUND(MEDIAN(H3:H17),2),"")</f>
        <v>800</v>
      </c>
      <c r="G20" s="11" t="str">
        <f>IFERROR(INDEX(G3:G17,MATCH(H20,H3:H17,0)),"")</f>
        <v>REVOLUTION CORPORATION LTDA</v>
      </c>
      <c r="H20" s="12">
        <f>F3</f>
        <v>350</v>
      </c>
    </row>
    <row r="22" spans="1:9" x14ac:dyDescent="0.25">
      <c r="G22" s="13" t="s">
        <v>20</v>
      </c>
      <c r="H22" s="14">
        <f>IF(C20&lt;=25%,D20,MIN(E20:F20))</f>
        <v>650</v>
      </c>
    </row>
    <row r="23" spans="1:9" x14ac:dyDescent="0.25">
      <c r="G23" s="13" t="s">
        <v>6</v>
      </c>
      <c r="H23" s="14">
        <f>ROUND(H22,2)*D3</f>
        <v>13000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30" sqref="G30"/>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12</v>
      </c>
      <c r="B3" s="35" t="s">
        <v>50</v>
      </c>
      <c r="C3" s="37" t="s">
        <v>7</v>
      </c>
      <c r="D3" s="37">
        <v>120</v>
      </c>
      <c r="E3" s="38">
        <f>IF(C20&lt;=25%,D20,MIN(E20:F20))</f>
        <v>430.3</v>
      </c>
      <c r="F3" s="38">
        <f>MIN(H3:H17)</f>
        <v>275</v>
      </c>
      <c r="G3" s="5" t="s">
        <v>68</v>
      </c>
      <c r="H3" s="16">
        <v>350</v>
      </c>
      <c r="I3" s="17">
        <f>IF(H3="","",(IF($C$20&lt;25%,"n/a",IF(H3&lt;=($D$20+$A$20),H3,"Descartado"))))</f>
        <v>350</v>
      </c>
    </row>
    <row r="4" spans="1:9" x14ac:dyDescent="0.25">
      <c r="A4" s="39"/>
      <c r="B4" s="36"/>
      <c r="C4" s="37"/>
      <c r="D4" s="37"/>
      <c r="E4" s="38"/>
      <c r="F4" s="38"/>
      <c r="G4" s="5" t="s">
        <v>69</v>
      </c>
      <c r="H4" s="16">
        <v>643</v>
      </c>
      <c r="I4" s="17">
        <f t="shared" ref="I4:I17" si="0">IF(H4="","",(IF($C$20&lt;25%,"n/a",IF(H4&lt;=($D$20+$A$20),H4,"Descartado"))))</f>
        <v>643</v>
      </c>
    </row>
    <row r="5" spans="1:9" x14ac:dyDescent="0.25">
      <c r="A5" s="39"/>
      <c r="B5" s="36"/>
      <c r="C5" s="37"/>
      <c r="D5" s="37"/>
      <c r="E5" s="38"/>
      <c r="F5" s="38"/>
      <c r="G5" s="5" t="s">
        <v>70</v>
      </c>
      <c r="H5" s="16">
        <v>1315</v>
      </c>
      <c r="I5" s="17">
        <f t="shared" si="0"/>
        <v>1315</v>
      </c>
    </row>
    <row r="6" spans="1:9" x14ac:dyDescent="0.25">
      <c r="A6" s="39"/>
      <c r="B6" s="36"/>
      <c r="C6" s="37"/>
      <c r="D6" s="37"/>
      <c r="E6" s="38"/>
      <c r="F6" s="38"/>
      <c r="G6" s="5" t="s">
        <v>71</v>
      </c>
      <c r="H6" s="16">
        <v>388</v>
      </c>
      <c r="I6" s="17">
        <f t="shared" si="0"/>
        <v>388</v>
      </c>
    </row>
    <row r="7" spans="1:9" x14ac:dyDescent="0.25">
      <c r="A7" s="39"/>
      <c r="B7" s="36"/>
      <c r="C7" s="37"/>
      <c r="D7" s="37"/>
      <c r="E7" s="38"/>
      <c r="F7" s="38"/>
      <c r="G7" s="5" t="s">
        <v>72</v>
      </c>
      <c r="H7" s="16">
        <v>638</v>
      </c>
      <c r="I7" s="17">
        <f t="shared" si="0"/>
        <v>638</v>
      </c>
    </row>
    <row r="8" spans="1:9" x14ac:dyDescent="0.25">
      <c r="A8" s="39"/>
      <c r="B8" s="36"/>
      <c r="C8" s="37"/>
      <c r="D8" s="37"/>
      <c r="E8" s="38"/>
      <c r="F8" s="38"/>
      <c r="G8" s="5" t="s">
        <v>73</v>
      </c>
      <c r="H8" s="16">
        <v>1015</v>
      </c>
      <c r="I8" s="17">
        <f t="shared" si="0"/>
        <v>1015</v>
      </c>
    </row>
    <row r="9" spans="1:9" x14ac:dyDescent="0.25">
      <c r="A9" s="39"/>
      <c r="B9" s="36"/>
      <c r="C9" s="37"/>
      <c r="D9" s="37"/>
      <c r="E9" s="38"/>
      <c r="F9" s="38"/>
      <c r="G9" s="5" t="s">
        <v>61</v>
      </c>
      <c r="H9" s="16">
        <v>277</v>
      </c>
      <c r="I9" s="17">
        <f t="shared" si="0"/>
        <v>277</v>
      </c>
    </row>
    <row r="10" spans="1:9" x14ac:dyDescent="0.25">
      <c r="A10" s="39"/>
      <c r="B10" s="36"/>
      <c r="C10" s="37"/>
      <c r="D10" s="37"/>
      <c r="E10" s="38"/>
      <c r="F10" s="38"/>
      <c r="G10" s="5" t="s">
        <v>74</v>
      </c>
      <c r="H10" s="16">
        <v>275</v>
      </c>
      <c r="I10" s="17">
        <f t="shared" si="0"/>
        <v>275</v>
      </c>
    </row>
    <row r="11" spans="1:9" x14ac:dyDescent="0.25">
      <c r="A11" s="39"/>
      <c r="B11" s="36"/>
      <c r="C11" s="37"/>
      <c r="D11" s="37"/>
      <c r="E11" s="38"/>
      <c r="F11" s="38"/>
      <c r="G11" s="5" t="s">
        <v>75</v>
      </c>
      <c r="H11" s="16">
        <v>2695</v>
      </c>
      <c r="I11" s="17" t="str">
        <f t="shared" si="0"/>
        <v>Descartado</v>
      </c>
    </row>
    <row r="12" spans="1:9" x14ac:dyDescent="0.25">
      <c r="A12" s="39"/>
      <c r="B12" s="36"/>
      <c r="C12" s="37"/>
      <c r="D12" s="37"/>
      <c r="E12" s="38"/>
      <c r="F12" s="38"/>
      <c r="G12" s="5" t="s">
        <v>76</v>
      </c>
      <c r="H12" s="16">
        <v>430.3</v>
      </c>
      <c r="I12" s="17">
        <f t="shared" si="0"/>
        <v>430.3</v>
      </c>
    </row>
    <row r="13" spans="1:9" x14ac:dyDescent="0.25">
      <c r="A13" s="39"/>
      <c r="B13" s="36"/>
      <c r="C13" s="37"/>
      <c r="D13" s="37"/>
      <c r="E13" s="38"/>
      <c r="F13" s="38"/>
      <c r="G13" s="5" t="s">
        <v>77</v>
      </c>
      <c r="H13" s="16">
        <v>1302</v>
      </c>
      <c r="I13" s="17">
        <f t="shared" si="0"/>
        <v>1302</v>
      </c>
    </row>
    <row r="14" spans="1:9" x14ac:dyDescent="0.25">
      <c r="A14" s="39"/>
      <c r="B14" s="36"/>
      <c r="C14" s="37"/>
      <c r="D14" s="37"/>
      <c r="E14" s="38"/>
      <c r="F14" s="38"/>
      <c r="G14" s="5" t="s">
        <v>78</v>
      </c>
      <c r="H14" s="16">
        <v>360</v>
      </c>
      <c r="I14" s="17">
        <f t="shared" si="0"/>
        <v>360</v>
      </c>
    </row>
    <row r="15" spans="1:9" x14ac:dyDescent="0.25">
      <c r="A15" s="39"/>
      <c r="B15" s="36"/>
      <c r="C15" s="37"/>
      <c r="D15" s="37"/>
      <c r="E15" s="38"/>
      <c r="F15" s="38"/>
      <c r="G15" s="5" t="s">
        <v>79</v>
      </c>
      <c r="H15" s="16">
        <v>375.98</v>
      </c>
      <c r="I15" s="17">
        <f t="shared" si="0"/>
        <v>375.98</v>
      </c>
    </row>
    <row r="16" spans="1:9" x14ac:dyDescent="0.25">
      <c r="A16" s="39"/>
      <c r="B16" s="36"/>
      <c r="C16" s="37"/>
      <c r="D16" s="37"/>
      <c r="E16" s="38"/>
      <c r="F16" s="38"/>
      <c r="G16" s="5" t="s">
        <v>80</v>
      </c>
      <c r="H16" s="16">
        <v>380</v>
      </c>
      <c r="I16" s="17">
        <f t="shared" si="0"/>
        <v>380</v>
      </c>
    </row>
    <row r="17" spans="1:9" x14ac:dyDescent="0.25">
      <c r="A17" s="39"/>
      <c r="B17" s="36"/>
      <c r="C17" s="37"/>
      <c r="D17" s="37"/>
      <c r="E17" s="38"/>
      <c r="F17" s="38"/>
      <c r="G17" s="5" t="s">
        <v>128</v>
      </c>
      <c r="H17" s="16">
        <v>2826.33</v>
      </c>
      <c r="I17" s="17" t="str">
        <f t="shared" si="0"/>
        <v>Descartado</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837.15608437534922</v>
      </c>
      <c r="B20" s="8">
        <f>COUNT(H3:H17)</f>
        <v>15</v>
      </c>
      <c r="C20" s="9">
        <f>IF(B20&lt;2,"n/a",(A20/D20))</f>
        <v>0.94624914873274768</v>
      </c>
      <c r="D20" s="10">
        <f>IFERROR(ROUND(AVERAGE(H3:H17),2),"")</f>
        <v>884.71</v>
      </c>
      <c r="E20" s="15">
        <f>IFERROR(ROUND(IF(B20&lt;2,"n/a",(IF(C20&lt;=25%,"n/a",AVERAGE(I3:I17)))),2),"n/a")</f>
        <v>596.1</v>
      </c>
      <c r="F20" s="10">
        <f>IFERROR(ROUND(MEDIAN(H3:H17),2),"")</f>
        <v>430.3</v>
      </c>
      <c r="G20" s="11" t="str">
        <f>IFERROR(INDEX(G3:G17,MATCH(H20,H3:H17,0)),"")</f>
        <v>59.989.144 WELLYSON MONTEIRO DA SILVA</v>
      </c>
      <c r="H20" s="12">
        <f>F3</f>
        <v>275</v>
      </c>
    </row>
    <row r="22" spans="1:9" x14ac:dyDescent="0.25">
      <c r="G22" s="13" t="s">
        <v>20</v>
      </c>
      <c r="H22" s="14">
        <f>IF(C20&lt;=25%,D20,MIN(E20:F20))</f>
        <v>430.3</v>
      </c>
    </row>
    <row r="23" spans="1:9" x14ac:dyDescent="0.25">
      <c r="G23" s="13" t="s">
        <v>6</v>
      </c>
      <c r="H23" s="14">
        <f>ROUND(H22,2)*D3</f>
        <v>51636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topLeftCell="A10" zoomScaleNormal="100" zoomScaleSheetLayoutView="100" workbookViewId="0">
      <selection activeCell="G14" sqref="G1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13</v>
      </c>
      <c r="B3" s="35" t="s">
        <v>38</v>
      </c>
      <c r="C3" s="37" t="s">
        <v>7</v>
      </c>
      <c r="D3" s="37">
        <v>50</v>
      </c>
      <c r="E3" s="38">
        <f>IF(C20&lt;=25%,D20,MIN(E20:F20))</f>
        <v>369.11</v>
      </c>
      <c r="F3" s="38">
        <f>MIN(H3:H17)</f>
        <v>137</v>
      </c>
      <c r="G3" s="5" t="s">
        <v>81</v>
      </c>
      <c r="H3" s="16">
        <v>515.85</v>
      </c>
      <c r="I3" s="17">
        <f>IF(H3="","",(IF($C$20&lt;25%,"n/a",IF(H3&lt;=($D$20+$A$20),H3,"Descartado"))))</f>
        <v>515.85</v>
      </c>
    </row>
    <row r="4" spans="1:9" x14ac:dyDescent="0.25">
      <c r="A4" s="39"/>
      <c r="B4" s="36"/>
      <c r="C4" s="37"/>
      <c r="D4" s="37"/>
      <c r="E4" s="38"/>
      <c r="F4" s="38"/>
      <c r="G4" s="5" t="s">
        <v>82</v>
      </c>
      <c r="H4" s="16">
        <v>374.63</v>
      </c>
      <c r="I4" s="17">
        <f t="shared" ref="I4:I17" si="0">IF(H4="","",(IF($C$20&lt;25%,"n/a",IF(H4&lt;=($D$20+$A$20),H4,"Descartado"))))</f>
        <v>374.63</v>
      </c>
    </row>
    <row r="5" spans="1:9" x14ac:dyDescent="0.25">
      <c r="A5" s="39"/>
      <c r="B5" s="36"/>
      <c r="C5" s="37"/>
      <c r="D5" s="37"/>
      <c r="E5" s="38"/>
      <c r="F5" s="38"/>
      <c r="G5" s="5" t="s">
        <v>83</v>
      </c>
      <c r="H5" s="16">
        <v>388.5</v>
      </c>
      <c r="I5" s="17">
        <f t="shared" si="0"/>
        <v>388.5</v>
      </c>
    </row>
    <row r="6" spans="1:9" x14ac:dyDescent="0.25">
      <c r="A6" s="39"/>
      <c r="B6" s="36"/>
      <c r="C6" s="37"/>
      <c r="D6" s="37"/>
      <c r="E6" s="38"/>
      <c r="F6" s="38"/>
      <c r="G6" s="5" t="s">
        <v>84</v>
      </c>
      <c r="H6" s="16">
        <v>401.97</v>
      </c>
      <c r="I6" s="17">
        <f t="shared" si="0"/>
        <v>401.97</v>
      </c>
    </row>
    <row r="7" spans="1:9" x14ac:dyDescent="0.25">
      <c r="A7" s="39"/>
      <c r="B7" s="36"/>
      <c r="C7" s="37"/>
      <c r="D7" s="37"/>
      <c r="E7" s="38"/>
      <c r="F7" s="38"/>
      <c r="G7" s="5" t="s">
        <v>85</v>
      </c>
      <c r="H7" s="16">
        <v>300</v>
      </c>
      <c r="I7" s="17">
        <f t="shared" si="0"/>
        <v>300</v>
      </c>
    </row>
    <row r="8" spans="1:9" x14ac:dyDescent="0.25">
      <c r="A8" s="39"/>
      <c r="B8" s="36"/>
      <c r="C8" s="37"/>
      <c r="D8" s="37"/>
      <c r="E8" s="38"/>
      <c r="F8" s="38"/>
      <c r="G8" s="5" t="s">
        <v>86</v>
      </c>
      <c r="H8" s="16">
        <v>289</v>
      </c>
      <c r="I8" s="17">
        <f t="shared" si="0"/>
        <v>289</v>
      </c>
    </row>
    <row r="9" spans="1:9" x14ac:dyDescent="0.25">
      <c r="A9" s="39"/>
      <c r="B9" s="36"/>
      <c r="C9" s="37"/>
      <c r="D9" s="37"/>
      <c r="E9" s="38"/>
      <c r="F9" s="38"/>
      <c r="G9" s="5" t="s">
        <v>87</v>
      </c>
      <c r="H9" s="16">
        <v>255</v>
      </c>
      <c r="I9" s="17">
        <f t="shared" si="0"/>
        <v>255</v>
      </c>
    </row>
    <row r="10" spans="1:9" x14ac:dyDescent="0.25">
      <c r="A10" s="39"/>
      <c r="B10" s="36"/>
      <c r="C10" s="37"/>
      <c r="D10" s="37"/>
      <c r="E10" s="38"/>
      <c r="F10" s="38"/>
      <c r="G10" s="5" t="s">
        <v>88</v>
      </c>
      <c r="H10" s="16">
        <v>660</v>
      </c>
      <c r="I10" s="17">
        <f t="shared" si="0"/>
        <v>660</v>
      </c>
    </row>
    <row r="11" spans="1:9" x14ac:dyDescent="0.25">
      <c r="A11" s="39"/>
      <c r="B11" s="36"/>
      <c r="C11" s="37"/>
      <c r="D11" s="37"/>
      <c r="E11" s="38"/>
      <c r="F11" s="38"/>
      <c r="G11" s="5" t="s">
        <v>89</v>
      </c>
      <c r="H11" s="16">
        <v>137</v>
      </c>
      <c r="I11" s="17">
        <f t="shared" si="0"/>
        <v>137</v>
      </c>
    </row>
    <row r="12" spans="1:9" x14ac:dyDescent="0.25">
      <c r="A12" s="39"/>
      <c r="B12" s="36"/>
      <c r="C12" s="37"/>
      <c r="D12" s="37"/>
      <c r="E12" s="38"/>
      <c r="F12" s="38"/>
      <c r="G12" s="5" t="s">
        <v>90</v>
      </c>
      <c r="H12" s="16">
        <v>1090</v>
      </c>
      <c r="I12" s="17" t="str">
        <f t="shared" si="0"/>
        <v>Descartado</v>
      </c>
    </row>
    <row r="13" spans="1:9" x14ac:dyDescent="0.25">
      <c r="A13" s="39"/>
      <c r="B13" s="36"/>
      <c r="C13" s="37"/>
      <c r="D13" s="37"/>
      <c r="E13" s="38"/>
      <c r="F13" s="38"/>
      <c r="G13" s="5" t="s">
        <v>128</v>
      </c>
      <c r="H13" s="16">
        <v>1258.51</v>
      </c>
      <c r="I13" s="17" t="str">
        <f t="shared" si="0"/>
        <v>Descartado</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355.06645860381474</v>
      </c>
      <c r="B20" s="8">
        <f>COUNT(H3:H17)</f>
        <v>11</v>
      </c>
      <c r="C20" s="9">
        <f>IF(B20&lt;2,"n/a",(A20/D20))</f>
        <v>0.68878071504134775</v>
      </c>
      <c r="D20" s="10">
        <f>IFERROR(ROUND(AVERAGE(H3:H17),2),"")</f>
        <v>515.5</v>
      </c>
      <c r="E20" s="15">
        <f>IFERROR(ROUND(IF(B20&lt;2,"n/a",(IF(C20&lt;=25%,"n/a",AVERAGE(I3:I17)))),2),"n/a")</f>
        <v>369.11</v>
      </c>
      <c r="F20" s="10">
        <f>IFERROR(ROUND(MEDIAN(H3:H17),2),"")</f>
        <v>388.5</v>
      </c>
      <c r="G20" s="11" t="str">
        <f>IFERROR(INDEX(G3:G17,MATCH(H20,H3:H17,0)),"")</f>
        <v>GENIAL PRODUTOS E SERVICOS EM ALVENARIA EM GERAL LTDA</v>
      </c>
      <c r="H20" s="12">
        <f>F3</f>
        <v>137</v>
      </c>
    </row>
    <row r="22" spans="1:9" x14ac:dyDescent="0.25">
      <c r="G22" s="13" t="s">
        <v>20</v>
      </c>
      <c r="H22" s="14">
        <f>IF(C20&lt;=25%,D20,MIN(E20:F20))</f>
        <v>369.11</v>
      </c>
    </row>
    <row r="23" spans="1:9" x14ac:dyDescent="0.25">
      <c r="G23" s="13" t="s">
        <v>6</v>
      </c>
      <c r="H23" s="14">
        <f>ROUND(H22,2)*D3</f>
        <v>18455.5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C3" sqref="C3:C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14</v>
      </c>
      <c r="B3" s="35" t="s">
        <v>51</v>
      </c>
      <c r="C3" s="37" t="s">
        <v>7</v>
      </c>
      <c r="D3" s="37">
        <v>20</v>
      </c>
      <c r="E3" s="38">
        <f>IF(C20&lt;=25%,D20,MIN(E20:F20))</f>
        <v>683.58</v>
      </c>
      <c r="F3" s="38">
        <f>MIN(H3:H17)</f>
        <v>408.5</v>
      </c>
      <c r="G3" s="5" t="s">
        <v>61</v>
      </c>
      <c r="H3" s="16">
        <v>480</v>
      </c>
      <c r="I3" s="17">
        <f>IF(H3="","",(IF($C$20&lt;25%,"n/a",IF(H3&lt;=($D$20+$A$20),H3,"Descartado"))))</f>
        <v>480</v>
      </c>
    </row>
    <row r="4" spans="1:9" x14ac:dyDescent="0.25">
      <c r="A4" s="39"/>
      <c r="B4" s="36"/>
      <c r="C4" s="37"/>
      <c r="D4" s="37"/>
      <c r="E4" s="38"/>
      <c r="F4" s="38"/>
      <c r="G4" s="5" t="s">
        <v>72</v>
      </c>
      <c r="H4" s="16">
        <v>865</v>
      </c>
      <c r="I4" s="17">
        <f t="shared" ref="I4:I17" si="0">IF(H4="","",(IF($C$20&lt;25%,"n/a",IF(H4&lt;=($D$20+$A$20),H4,"Descartado"))))</f>
        <v>865</v>
      </c>
    </row>
    <row r="5" spans="1:9" x14ac:dyDescent="0.25">
      <c r="A5" s="39"/>
      <c r="B5" s="36"/>
      <c r="C5" s="37"/>
      <c r="D5" s="37"/>
      <c r="E5" s="38"/>
      <c r="F5" s="38"/>
      <c r="G5" s="5" t="s">
        <v>91</v>
      </c>
      <c r="H5" s="16">
        <v>1000</v>
      </c>
      <c r="I5" s="17">
        <f t="shared" si="0"/>
        <v>1000</v>
      </c>
    </row>
    <row r="6" spans="1:9" x14ac:dyDescent="0.25">
      <c r="A6" s="39"/>
      <c r="B6" s="36"/>
      <c r="C6" s="37"/>
      <c r="D6" s="37"/>
      <c r="E6" s="38"/>
      <c r="F6" s="38"/>
      <c r="G6" s="5" t="s">
        <v>92</v>
      </c>
      <c r="H6" s="16">
        <v>690</v>
      </c>
      <c r="I6" s="17">
        <f t="shared" si="0"/>
        <v>690</v>
      </c>
    </row>
    <row r="7" spans="1:9" x14ac:dyDescent="0.25">
      <c r="A7" s="39"/>
      <c r="B7" s="36"/>
      <c r="C7" s="37"/>
      <c r="D7" s="37"/>
      <c r="E7" s="38"/>
      <c r="F7" s="38"/>
      <c r="G7" s="5" t="s">
        <v>93</v>
      </c>
      <c r="H7" s="16">
        <v>2239.9899999999998</v>
      </c>
      <c r="I7" s="17" t="str">
        <f t="shared" si="0"/>
        <v>Descartado</v>
      </c>
    </row>
    <row r="8" spans="1:9" x14ac:dyDescent="0.25">
      <c r="A8" s="39"/>
      <c r="B8" s="36"/>
      <c r="C8" s="37"/>
      <c r="D8" s="37"/>
      <c r="E8" s="38"/>
      <c r="F8" s="38"/>
      <c r="G8" s="5" t="s">
        <v>94</v>
      </c>
      <c r="H8" s="16">
        <v>1490</v>
      </c>
      <c r="I8" s="17" t="str">
        <f t="shared" si="0"/>
        <v>Descartado</v>
      </c>
    </row>
    <row r="9" spans="1:9" x14ac:dyDescent="0.25">
      <c r="A9" s="39"/>
      <c r="B9" s="36"/>
      <c r="C9" s="37"/>
      <c r="D9" s="37"/>
      <c r="E9" s="38"/>
      <c r="F9" s="38"/>
      <c r="G9" s="5" t="s">
        <v>95</v>
      </c>
      <c r="H9" s="16">
        <v>470</v>
      </c>
      <c r="I9" s="17">
        <f t="shared" si="0"/>
        <v>470</v>
      </c>
    </row>
    <row r="10" spans="1:9" x14ac:dyDescent="0.25">
      <c r="A10" s="39"/>
      <c r="B10" s="36"/>
      <c r="C10" s="37"/>
      <c r="D10" s="37"/>
      <c r="E10" s="38"/>
      <c r="F10" s="38"/>
      <c r="G10" s="5" t="s">
        <v>96</v>
      </c>
      <c r="H10" s="16">
        <v>420</v>
      </c>
      <c r="I10" s="17">
        <f t="shared" si="0"/>
        <v>420</v>
      </c>
    </row>
    <row r="11" spans="1:9" x14ac:dyDescent="0.25">
      <c r="A11" s="39"/>
      <c r="B11" s="36"/>
      <c r="C11" s="37"/>
      <c r="D11" s="37"/>
      <c r="E11" s="38"/>
      <c r="F11" s="38"/>
      <c r="G11" s="5" t="s">
        <v>97</v>
      </c>
      <c r="H11" s="16">
        <v>410</v>
      </c>
      <c r="I11" s="17">
        <f t="shared" si="0"/>
        <v>410</v>
      </c>
    </row>
    <row r="12" spans="1:9" x14ac:dyDescent="0.25">
      <c r="A12" s="39"/>
      <c r="B12" s="36"/>
      <c r="C12" s="37"/>
      <c r="D12" s="37"/>
      <c r="E12" s="38"/>
      <c r="F12" s="38"/>
      <c r="G12" s="5" t="s">
        <v>98</v>
      </c>
      <c r="H12" s="16">
        <v>580</v>
      </c>
      <c r="I12" s="17">
        <f t="shared" si="0"/>
        <v>580</v>
      </c>
    </row>
    <row r="13" spans="1:9" x14ac:dyDescent="0.25">
      <c r="A13" s="39"/>
      <c r="B13" s="36"/>
      <c r="C13" s="37"/>
      <c r="D13" s="37"/>
      <c r="E13" s="38"/>
      <c r="F13" s="38"/>
      <c r="G13" s="5" t="s">
        <v>99</v>
      </c>
      <c r="H13" s="16">
        <v>408.5</v>
      </c>
      <c r="I13" s="17">
        <f t="shared" si="0"/>
        <v>408.5</v>
      </c>
    </row>
    <row r="14" spans="1:9" x14ac:dyDescent="0.25">
      <c r="A14" s="39"/>
      <c r="B14" s="36"/>
      <c r="C14" s="37"/>
      <c r="D14" s="37"/>
      <c r="E14" s="38"/>
      <c r="F14" s="38"/>
      <c r="G14" s="5" t="s">
        <v>100</v>
      </c>
      <c r="H14" s="16">
        <v>700</v>
      </c>
      <c r="I14" s="17">
        <f t="shared" si="0"/>
        <v>700</v>
      </c>
    </row>
    <row r="15" spans="1:9" x14ac:dyDescent="0.25">
      <c r="A15" s="39"/>
      <c r="B15" s="36"/>
      <c r="C15" s="37"/>
      <c r="D15" s="37"/>
      <c r="E15" s="38"/>
      <c r="F15" s="38"/>
      <c r="G15" s="5" t="s">
        <v>80</v>
      </c>
      <c r="H15" s="16">
        <v>1125</v>
      </c>
      <c r="I15" s="17">
        <f t="shared" si="0"/>
        <v>1125</v>
      </c>
    </row>
    <row r="16" spans="1:9" x14ac:dyDescent="0.25">
      <c r="A16" s="39"/>
      <c r="B16" s="36"/>
      <c r="C16" s="37"/>
      <c r="D16" s="37"/>
      <c r="E16" s="38"/>
      <c r="F16" s="38"/>
      <c r="G16" s="5" t="s">
        <v>101</v>
      </c>
      <c r="H16" s="16">
        <v>550</v>
      </c>
      <c r="I16" s="17">
        <f t="shared" si="0"/>
        <v>550</v>
      </c>
    </row>
    <row r="17" spans="1:9" x14ac:dyDescent="0.25">
      <c r="A17" s="39"/>
      <c r="B17" s="36"/>
      <c r="C17" s="37"/>
      <c r="D17" s="37"/>
      <c r="E17" s="38"/>
      <c r="F17" s="38"/>
      <c r="G17" s="5" t="s">
        <v>102</v>
      </c>
      <c r="H17" s="16">
        <v>1188</v>
      </c>
      <c r="I17" s="17">
        <f t="shared" si="0"/>
        <v>1188</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508.41491225835091</v>
      </c>
      <c r="B20" s="8">
        <f>COUNT(H3:H17)</f>
        <v>15</v>
      </c>
      <c r="C20" s="9">
        <f>IF(B20&lt;2,"n/a",(A20/D20))</f>
        <v>0.60446428755005455</v>
      </c>
      <c r="D20" s="10">
        <f>IFERROR(ROUND(AVERAGE(H3:H17),2),"")</f>
        <v>841.1</v>
      </c>
      <c r="E20" s="15">
        <f>IFERROR(ROUND(IF(B20&lt;2,"n/a",(IF(C20&lt;=25%,"n/a",AVERAGE(I3:I17)))),2),"n/a")</f>
        <v>683.58</v>
      </c>
      <c r="F20" s="10">
        <f>IFERROR(ROUND(MEDIAN(H3:H17),2),"")</f>
        <v>690</v>
      </c>
      <c r="G20" s="11" t="str">
        <f>IFERROR(INDEX(G3:G17,MATCH(H20,H3:H17,0)),"")</f>
        <v>ROGER EDUARDO DOS SANTOS</v>
      </c>
      <c r="H20" s="12">
        <f>F3</f>
        <v>408.5</v>
      </c>
    </row>
    <row r="22" spans="1:9" x14ac:dyDescent="0.25">
      <c r="G22" s="13" t="s">
        <v>20</v>
      </c>
      <c r="H22" s="14">
        <f>IF(C20&lt;=25%,D20,MIN(E20:F20))</f>
        <v>683.58</v>
      </c>
    </row>
    <row r="23" spans="1:9" x14ac:dyDescent="0.25">
      <c r="G23" s="13" t="s">
        <v>6</v>
      </c>
      <c r="H23" s="14">
        <f>ROUND(H22,2)*D3</f>
        <v>13671.6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J28" sqref="J2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15</v>
      </c>
      <c r="B3" s="35" t="s">
        <v>52</v>
      </c>
      <c r="C3" s="37" t="s">
        <v>7</v>
      </c>
      <c r="D3" s="37">
        <v>20</v>
      </c>
      <c r="E3" s="38">
        <f>IF(C20&lt;=25%,D20,MIN(E20:F20))</f>
        <v>703.49</v>
      </c>
      <c r="F3" s="38">
        <f>MIN(H3:H17)</f>
        <v>290</v>
      </c>
      <c r="G3" s="5" t="s">
        <v>103</v>
      </c>
      <c r="H3" s="16">
        <v>600</v>
      </c>
      <c r="I3" s="17">
        <f>IF(H3="","",(IF($C$20&lt;25%,"n/a",IF(H3&lt;=($D$20+$A$20),H3,"Descartado"))))</f>
        <v>600</v>
      </c>
    </row>
    <row r="4" spans="1:9" x14ac:dyDescent="0.25">
      <c r="A4" s="39"/>
      <c r="B4" s="36"/>
      <c r="C4" s="37"/>
      <c r="D4" s="37"/>
      <c r="E4" s="38"/>
      <c r="F4" s="38"/>
      <c r="G4" s="5" t="s">
        <v>104</v>
      </c>
      <c r="H4" s="16">
        <v>375</v>
      </c>
      <c r="I4" s="17">
        <f t="shared" ref="I4:I17" si="0">IF(H4="","",(IF($C$20&lt;25%,"n/a",IF(H4&lt;=($D$20+$A$20),H4,"Descartado"))))</f>
        <v>375</v>
      </c>
    </row>
    <row r="5" spans="1:9" x14ac:dyDescent="0.25">
      <c r="A5" s="39"/>
      <c r="B5" s="36"/>
      <c r="C5" s="37"/>
      <c r="D5" s="37"/>
      <c r="E5" s="38"/>
      <c r="F5" s="38"/>
      <c r="G5" s="5" t="s">
        <v>105</v>
      </c>
      <c r="H5" s="16">
        <v>800</v>
      </c>
      <c r="I5" s="17">
        <f t="shared" si="0"/>
        <v>800</v>
      </c>
    </row>
    <row r="6" spans="1:9" x14ac:dyDescent="0.25">
      <c r="A6" s="39"/>
      <c r="B6" s="36"/>
      <c r="C6" s="37"/>
      <c r="D6" s="37"/>
      <c r="E6" s="38"/>
      <c r="F6" s="38"/>
      <c r="G6" s="5" t="s">
        <v>106</v>
      </c>
      <c r="H6" s="16">
        <v>690</v>
      </c>
      <c r="I6" s="17">
        <f t="shared" si="0"/>
        <v>690</v>
      </c>
    </row>
    <row r="7" spans="1:9" x14ac:dyDescent="0.25">
      <c r="A7" s="39"/>
      <c r="B7" s="36"/>
      <c r="C7" s="37"/>
      <c r="D7" s="37"/>
      <c r="E7" s="38"/>
      <c r="F7" s="38"/>
      <c r="G7" s="5" t="s">
        <v>107</v>
      </c>
      <c r="H7" s="16">
        <v>1450</v>
      </c>
      <c r="I7" s="17" t="str">
        <f t="shared" si="0"/>
        <v>Descartado</v>
      </c>
    </row>
    <row r="8" spans="1:9" x14ac:dyDescent="0.25">
      <c r="A8" s="39"/>
      <c r="B8" s="36"/>
      <c r="C8" s="37"/>
      <c r="D8" s="37"/>
      <c r="E8" s="38"/>
      <c r="F8" s="38"/>
      <c r="G8" s="5" t="s">
        <v>108</v>
      </c>
      <c r="H8" s="16">
        <v>780</v>
      </c>
      <c r="I8" s="17">
        <f t="shared" si="0"/>
        <v>780</v>
      </c>
    </row>
    <row r="9" spans="1:9" x14ac:dyDescent="0.25">
      <c r="A9" s="39"/>
      <c r="B9" s="36"/>
      <c r="C9" s="37"/>
      <c r="D9" s="37"/>
      <c r="E9" s="38"/>
      <c r="F9" s="38"/>
      <c r="G9" s="5" t="s">
        <v>109</v>
      </c>
      <c r="H9" s="16">
        <v>543.37</v>
      </c>
      <c r="I9" s="17">
        <f t="shared" si="0"/>
        <v>543.37</v>
      </c>
    </row>
    <row r="10" spans="1:9" x14ac:dyDescent="0.25">
      <c r="A10" s="39"/>
      <c r="B10" s="36"/>
      <c r="C10" s="37"/>
      <c r="D10" s="37"/>
      <c r="E10" s="38"/>
      <c r="F10" s="38"/>
      <c r="G10" s="5" t="s">
        <v>110</v>
      </c>
      <c r="H10" s="16">
        <v>1990</v>
      </c>
      <c r="I10" s="17" t="str">
        <f t="shared" si="0"/>
        <v>Descartado</v>
      </c>
    </row>
    <row r="11" spans="1:9" x14ac:dyDescent="0.25">
      <c r="A11" s="39"/>
      <c r="B11" s="36"/>
      <c r="C11" s="37"/>
      <c r="D11" s="37"/>
      <c r="E11" s="38"/>
      <c r="F11" s="38"/>
      <c r="G11" s="5" t="s">
        <v>111</v>
      </c>
      <c r="H11" s="16">
        <v>830</v>
      </c>
      <c r="I11" s="17">
        <f t="shared" si="0"/>
        <v>830</v>
      </c>
    </row>
    <row r="12" spans="1:9" x14ac:dyDescent="0.25">
      <c r="A12" s="39"/>
      <c r="B12" s="36"/>
      <c r="C12" s="37"/>
      <c r="D12" s="37"/>
      <c r="E12" s="38"/>
      <c r="F12" s="38"/>
      <c r="G12" s="5" t="s">
        <v>112</v>
      </c>
      <c r="H12" s="16">
        <v>290</v>
      </c>
      <c r="I12" s="17">
        <f t="shared" si="0"/>
        <v>290</v>
      </c>
    </row>
    <row r="13" spans="1:9" x14ac:dyDescent="0.25">
      <c r="A13" s="39"/>
      <c r="B13" s="36"/>
      <c r="C13" s="37"/>
      <c r="D13" s="37"/>
      <c r="E13" s="38"/>
      <c r="F13" s="38"/>
      <c r="G13" s="5" t="s">
        <v>113</v>
      </c>
      <c r="H13" s="16">
        <v>810</v>
      </c>
      <c r="I13" s="17">
        <f t="shared" si="0"/>
        <v>810</v>
      </c>
    </row>
    <row r="14" spans="1:9" x14ac:dyDescent="0.25">
      <c r="A14" s="39"/>
      <c r="B14" s="36"/>
      <c r="C14" s="37"/>
      <c r="D14" s="37"/>
      <c r="E14" s="38"/>
      <c r="F14" s="38"/>
      <c r="G14" s="5" t="s">
        <v>114</v>
      </c>
      <c r="H14" s="16">
        <v>1467</v>
      </c>
      <c r="I14" s="17" t="str">
        <f t="shared" si="0"/>
        <v>Descartado</v>
      </c>
    </row>
    <row r="15" spans="1:9" x14ac:dyDescent="0.25">
      <c r="A15" s="39"/>
      <c r="B15" s="36"/>
      <c r="C15" s="37"/>
      <c r="D15" s="37"/>
      <c r="E15" s="38"/>
      <c r="F15" s="38"/>
      <c r="G15" s="5" t="s">
        <v>115</v>
      </c>
      <c r="H15" s="16">
        <v>1500</v>
      </c>
      <c r="I15" s="17" t="str">
        <f t="shared" si="0"/>
        <v>Descartado</v>
      </c>
    </row>
    <row r="16" spans="1:9" x14ac:dyDescent="0.25">
      <c r="A16" s="39"/>
      <c r="B16" s="36"/>
      <c r="C16" s="37"/>
      <c r="D16" s="37"/>
      <c r="E16" s="38"/>
      <c r="F16" s="38"/>
      <c r="G16" s="5" t="s">
        <v>116</v>
      </c>
      <c r="H16" s="16">
        <v>1030</v>
      </c>
      <c r="I16" s="17">
        <f t="shared" si="0"/>
        <v>1030</v>
      </c>
    </row>
    <row r="17" spans="1:9" x14ac:dyDescent="0.25">
      <c r="A17" s="39"/>
      <c r="B17" s="36"/>
      <c r="C17" s="37"/>
      <c r="D17" s="37"/>
      <c r="E17" s="38"/>
      <c r="F17" s="38"/>
      <c r="G17" s="5" t="s">
        <v>117</v>
      </c>
      <c r="H17" s="16">
        <v>990</v>
      </c>
      <c r="I17" s="17">
        <f t="shared" si="0"/>
        <v>990</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471.75448576664604</v>
      </c>
      <c r="B20" s="8">
        <f>COUNT(H3:H17)</f>
        <v>15</v>
      </c>
      <c r="C20" s="9">
        <f>IF(B20&lt;2,"n/a",(A20/D20))</f>
        <v>0.50025925830485674</v>
      </c>
      <c r="D20" s="10">
        <f>IFERROR(ROUND(AVERAGE(H3:H17),2),"")</f>
        <v>943.02</v>
      </c>
      <c r="E20" s="15">
        <f>IFERROR(ROUND(IF(B20&lt;2,"n/a",(IF(C20&lt;=25%,"n/a",AVERAGE(I3:I17)))),2),"n/a")</f>
        <v>703.49</v>
      </c>
      <c r="F20" s="10">
        <f>IFERROR(ROUND(MEDIAN(H3:H17),2),"")</f>
        <v>810</v>
      </c>
      <c r="G20" s="11" t="str">
        <f>IFERROR(INDEX(G3:G17,MATCH(H20,H3:H17,0)),"")</f>
        <v>IHARD TECNOLOGIA LTDA</v>
      </c>
      <c r="H20" s="12">
        <f>F3</f>
        <v>290</v>
      </c>
    </row>
    <row r="22" spans="1:9" x14ac:dyDescent="0.25">
      <c r="G22" s="13" t="s">
        <v>20</v>
      </c>
      <c r="H22" s="14">
        <f>IF(C20&lt;=25%,D20,MIN(E20:F20))</f>
        <v>703.49</v>
      </c>
    </row>
    <row r="23" spans="1:9" x14ac:dyDescent="0.25">
      <c r="G23" s="13" t="s">
        <v>6</v>
      </c>
      <c r="H23" s="14">
        <f>ROUND(H22,2)*D3</f>
        <v>14069.8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D3" sqref="D3:D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16</v>
      </c>
      <c r="B3" s="35" t="s">
        <v>217</v>
      </c>
      <c r="C3" s="37" t="s">
        <v>7</v>
      </c>
      <c r="D3" s="37">
        <v>50</v>
      </c>
      <c r="E3" s="38">
        <f>IF(C20&lt;=25%,D20,MIN(E20:F20))</f>
        <v>632.5</v>
      </c>
      <c r="F3" s="38">
        <f>MIN(H3:H17)</f>
        <v>199.99</v>
      </c>
      <c r="G3" s="5" t="s">
        <v>118</v>
      </c>
      <c r="H3" s="16">
        <v>640</v>
      </c>
      <c r="I3" s="17">
        <f>IF(H3="","",(IF($C$20&lt;25%,"n/a",IF(H3&lt;=($D$20+$A$20),H3,"Descartado"))))</f>
        <v>640</v>
      </c>
    </row>
    <row r="4" spans="1:9" x14ac:dyDescent="0.25">
      <c r="A4" s="39"/>
      <c r="B4" s="36"/>
      <c r="C4" s="37"/>
      <c r="D4" s="37"/>
      <c r="E4" s="38"/>
      <c r="F4" s="38"/>
      <c r="G4" s="5" t="s">
        <v>119</v>
      </c>
      <c r="H4" s="16">
        <v>800</v>
      </c>
      <c r="I4" s="17">
        <f t="shared" ref="I4:I17" si="0">IF(H4="","",(IF($C$20&lt;25%,"n/a",IF(H4&lt;=($D$20+$A$20),H4,"Descartado"))))</f>
        <v>800</v>
      </c>
    </row>
    <row r="5" spans="1:9" x14ac:dyDescent="0.25">
      <c r="A5" s="39"/>
      <c r="B5" s="36"/>
      <c r="C5" s="37"/>
      <c r="D5" s="37"/>
      <c r="E5" s="38"/>
      <c r="F5" s="38"/>
      <c r="G5" s="5" t="s">
        <v>120</v>
      </c>
      <c r="H5" s="16">
        <v>890</v>
      </c>
      <c r="I5" s="17">
        <f t="shared" si="0"/>
        <v>890</v>
      </c>
    </row>
    <row r="6" spans="1:9" x14ac:dyDescent="0.25">
      <c r="A6" s="39"/>
      <c r="B6" s="36"/>
      <c r="C6" s="37"/>
      <c r="D6" s="37"/>
      <c r="E6" s="38"/>
      <c r="F6" s="38"/>
      <c r="G6" s="5" t="s">
        <v>121</v>
      </c>
      <c r="H6" s="16">
        <v>199.99</v>
      </c>
      <c r="I6" s="17">
        <f t="shared" si="0"/>
        <v>199.99</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306.31337443594168</v>
      </c>
      <c r="B20" s="8">
        <f>COUNT(H3:H17)</f>
        <v>4</v>
      </c>
      <c r="C20" s="9">
        <f>IF(B20&lt;2,"n/a",(A20/D20))</f>
        <v>0.48428992005682481</v>
      </c>
      <c r="D20" s="10">
        <f>IFERROR(ROUND(AVERAGE(H3:H17),2),"")</f>
        <v>632.5</v>
      </c>
      <c r="E20" s="15">
        <f>IFERROR(ROUND(IF(B20&lt;2,"n/a",(IF(C20&lt;=25%,"n/a",AVERAGE(I3:I17)))),2),"n/a")</f>
        <v>632.5</v>
      </c>
      <c r="F20" s="10">
        <f>IFERROR(ROUND(MEDIAN(H3:H17),2),"")</f>
        <v>720</v>
      </c>
      <c r="G20" s="11" t="str">
        <f>IFERROR(INDEX(G3:G17,MATCH(H20,H3:H17,0)),"")</f>
        <v>TERRA DO ESCRITORIO COMERCIO DE MOVEIS LTDA</v>
      </c>
      <c r="H20" s="12">
        <f>F3</f>
        <v>199.99</v>
      </c>
    </row>
    <row r="22" spans="1:9" x14ac:dyDescent="0.25">
      <c r="G22" s="13" t="s">
        <v>20</v>
      </c>
      <c r="H22" s="14">
        <f>IF(C20&lt;=25%,D20,MIN(E20:F20))</f>
        <v>632.5</v>
      </c>
    </row>
    <row r="23" spans="1:9" x14ac:dyDescent="0.25">
      <c r="G23" s="13" t="s">
        <v>6</v>
      </c>
      <c r="H23" s="14">
        <f>ROUND(H22,2)*D3</f>
        <v>31625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R12" sqref="R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17</v>
      </c>
      <c r="B3" s="35" t="s">
        <v>39</v>
      </c>
      <c r="C3" s="37" t="s">
        <v>7</v>
      </c>
      <c r="D3" s="37">
        <v>50</v>
      </c>
      <c r="E3" s="38">
        <f>IF(C20&lt;=25%,D20,MIN(E20:F20))</f>
        <v>62.3</v>
      </c>
      <c r="F3" s="38">
        <f>MIN(H3:H17)</f>
        <v>47.89</v>
      </c>
      <c r="G3" s="5" t="s">
        <v>122</v>
      </c>
      <c r="H3" s="16">
        <v>62</v>
      </c>
      <c r="I3" s="17">
        <f>IF(H3="","",(IF($C$20&lt;25%,"n/a",IF(H3&lt;=($D$20+$A$20),H3,"Descartado"))))</f>
        <v>62</v>
      </c>
    </row>
    <row r="4" spans="1:9" x14ac:dyDescent="0.25">
      <c r="A4" s="39"/>
      <c r="B4" s="36"/>
      <c r="C4" s="37"/>
      <c r="D4" s="37"/>
      <c r="E4" s="38"/>
      <c r="F4" s="38"/>
      <c r="G4" s="5" t="s">
        <v>123</v>
      </c>
      <c r="H4" s="16">
        <v>47.89</v>
      </c>
      <c r="I4" s="17">
        <f t="shared" ref="I4:I17" si="0">IF(H4="","",(IF($C$20&lt;25%,"n/a",IF(H4&lt;=($D$20+$A$20),H4,"Descartado"))))</f>
        <v>47.89</v>
      </c>
    </row>
    <row r="5" spans="1:9" x14ac:dyDescent="0.25">
      <c r="A5" s="39"/>
      <c r="B5" s="36"/>
      <c r="C5" s="37"/>
      <c r="D5" s="37"/>
      <c r="E5" s="38"/>
      <c r="F5" s="38"/>
      <c r="G5" s="5" t="s">
        <v>124</v>
      </c>
      <c r="H5" s="16">
        <v>52</v>
      </c>
      <c r="I5" s="17">
        <f t="shared" si="0"/>
        <v>52</v>
      </c>
    </row>
    <row r="6" spans="1:9" x14ac:dyDescent="0.25">
      <c r="A6" s="39"/>
      <c r="B6" s="36"/>
      <c r="C6" s="37"/>
      <c r="D6" s="37"/>
      <c r="E6" s="38"/>
      <c r="F6" s="38"/>
      <c r="G6" s="5" t="s">
        <v>125</v>
      </c>
      <c r="H6" s="16">
        <v>64.63</v>
      </c>
      <c r="I6" s="17">
        <f t="shared" si="0"/>
        <v>64.63</v>
      </c>
    </row>
    <row r="7" spans="1:9" x14ac:dyDescent="0.25">
      <c r="A7" s="39"/>
      <c r="B7" s="36"/>
      <c r="C7" s="37"/>
      <c r="D7" s="37"/>
      <c r="E7" s="38"/>
      <c r="F7" s="38"/>
      <c r="G7" s="5" t="s">
        <v>126</v>
      </c>
      <c r="H7" s="16">
        <v>95.67</v>
      </c>
      <c r="I7" s="17" t="str">
        <f t="shared" si="0"/>
        <v>Descartado</v>
      </c>
    </row>
    <row r="8" spans="1:9" x14ac:dyDescent="0.25">
      <c r="A8" s="39"/>
      <c r="B8" s="36"/>
      <c r="C8" s="37"/>
      <c r="D8" s="37"/>
      <c r="E8" s="38"/>
      <c r="F8" s="38"/>
      <c r="G8" s="5" t="s">
        <v>127</v>
      </c>
      <c r="H8" s="16">
        <v>85</v>
      </c>
      <c r="I8" s="17">
        <f t="shared" si="0"/>
        <v>85</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18.773857089048064</v>
      </c>
      <c r="B20" s="8">
        <f>COUNT(H3:H17)</f>
        <v>6</v>
      </c>
      <c r="C20" s="9">
        <f>IF(B20&lt;2,"n/a",(A20/D20))</f>
        <v>0.27661495637318495</v>
      </c>
      <c r="D20" s="10">
        <f>IFERROR(ROUND(AVERAGE(H3:H17),2),"")</f>
        <v>67.87</v>
      </c>
      <c r="E20" s="15">
        <f>IFERROR(ROUND(IF(B20&lt;2,"n/a",(IF(C20&lt;=25%,"n/a",AVERAGE(I3:I17)))),2),"n/a")</f>
        <v>62.3</v>
      </c>
      <c r="F20" s="10">
        <f>IFERROR(ROUND(MEDIAN(H3:H17),2),"")</f>
        <v>63.32</v>
      </c>
      <c r="G20" s="11" t="str">
        <f>IFERROR(INDEX(G3:G17,MATCH(H20,H3:H17,0)),"")</f>
        <v>GOGLIATH REPRESENTACAO LTDA</v>
      </c>
      <c r="H20" s="12">
        <f>F3</f>
        <v>47.89</v>
      </c>
    </row>
    <row r="22" spans="1:9" x14ac:dyDescent="0.25">
      <c r="G22" s="13" t="s">
        <v>20</v>
      </c>
      <c r="H22" s="14">
        <f>IF(C20&lt;=25%,D20,MIN(E20:F20))</f>
        <v>62.3</v>
      </c>
    </row>
    <row r="23" spans="1:9" x14ac:dyDescent="0.25">
      <c r="G23" s="13" t="s">
        <v>6</v>
      </c>
      <c r="H23" s="14">
        <f>ROUND(H22,2)*D3</f>
        <v>3115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6" sqref="G1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18</v>
      </c>
      <c r="B3" s="35" t="s">
        <v>40</v>
      </c>
      <c r="C3" s="37" t="s">
        <v>7</v>
      </c>
      <c r="D3" s="37">
        <v>300</v>
      </c>
      <c r="E3" s="38">
        <f>IF(C20&lt;=25%,D20,MIN(E20:F20))</f>
        <v>64.63</v>
      </c>
      <c r="F3" s="38">
        <f>MIN(H3:H17)</f>
        <v>45.97</v>
      </c>
      <c r="G3" s="5" t="s">
        <v>53</v>
      </c>
      <c r="H3" s="16">
        <v>74</v>
      </c>
      <c r="I3" s="17">
        <f>IF(H3="","",(IF($C$20&lt;25%,"n/a",IF(H3&lt;=($D$20+$A$20),H3,"Descartado"))))</f>
        <v>74</v>
      </c>
    </row>
    <row r="4" spans="1:9" x14ac:dyDescent="0.25">
      <c r="A4" s="39"/>
      <c r="B4" s="36"/>
      <c r="C4" s="37"/>
      <c r="D4" s="37"/>
      <c r="E4" s="38"/>
      <c r="F4" s="38"/>
      <c r="G4" s="5" t="s">
        <v>129</v>
      </c>
      <c r="H4" s="16">
        <v>62</v>
      </c>
      <c r="I4" s="17">
        <f t="shared" ref="I4:I17" si="0">IF(H4="","",(IF($C$20&lt;25%,"n/a",IF(H4&lt;=($D$20+$A$20),H4,"Descartado"))))</f>
        <v>62</v>
      </c>
    </row>
    <row r="5" spans="1:9" x14ac:dyDescent="0.25">
      <c r="A5" s="39"/>
      <c r="B5" s="36"/>
      <c r="C5" s="37"/>
      <c r="D5" s="37"/>
      <c r="E5" s="38"/>
      <c r="F5" s="38"/>
      <c r="G5" s="5" t="s">
        <v>123</v>
      </c>
      <c r="H5" s="16">
        <v>47.89</v>
      </c>
      <c r="I5" s="17">
        <f t="shared" si="0"/>
        <v>47.89</v>
      </c>
    </row>
    <row r="6" spans="1:9" x14ac:dyDescent="0.25">
      <c r="A6" s="39"/>
      <c r="B6" s="36"/>
      <c r="C6" s="37"/>
      <c r="D6" s="37"/>
      <c r="E6" s="38"/>
      <c r="F6" s="38"/>
      <c r="G6" s="5" t="s">
        <v>124</v>
      </c>
      <c r="H6" s="16">
        <v>52</v>
      </c>
      <c r="I6" s="17">
        <f t="shared" si="0"/>
        <v>52</v>
      </c>
    </row>
    <row r="7" spans="1:9" x14ac:dyDescent="0.25">
      <c r="A7" s="39"/>
      <c r="B7" s="36"/>
      <c r="C7" s="37"/>
      <c r="D7" s="37"/>
      <c r="E7" s="38"/>
      <c r="F7" s="38"/>
      <c r="G7" s="5" t="s">
        <v>125</v>
      </c>
      <c r="H7" s="16">
        <v>64.63</v>
      </c>
      <c r="I7" s="17">
        <f t="shared" si="0"/>
        <v>64.63</v>
      </c>
    </row>
    <row r="8" spans="1:9" x14ac:dyDescent="0.25">
      <c r="A8" s="39"/>
      <c r="B8" s="36"/>
      <c r="C8" s="37"/>
      <c r="D8" s="37"/>
      <c r="E8" s="38"/>
      <c r="F8" s="38"/>
      <c r="G8" s="5" t="s">
        <v>130</v>
      </c>
      <c r="H8" s="16">
        <v>95.67</v>
      </c>
      <c r="I8" s="17">
        <f t="shared" si="0"/>
        <v>95.67</v>
      </c>
    </row>
    <row r="9" spans="1:9" x14ac:dyDescent="0.25">
      <c r="A9" s="39"/>
      <c r="B9" s="36"/>
      <c r="C9" s="37"/>
      <c r="D9" s="37"/>
      <c r="E9" s="38"/>
      <c r="F9" s="38"/>
      <c r="G9" s="5" t="s">
        <v>131</v>
      </c>
      <c r="H9" s="16">
        <v>85</v>
      </c>
      <c r="I9" s="17">
        <f t="shared" si="0"/>
        <v>85</v>
      </c>
    </row>
    <row r="10" spans="1:9" x14ac:dyDescent="0.25">
      <c r="A10" s="39"/>
      <c r="B10" s="36"/>
      <c r="C10" s="37"/>
      <c r="D10" s="37"/>
      <c r="E10" s="38"/>
      <c r="F10" s="38"/>
      <c r="G10" s="5" t="s">
        <v>132</v>
      </c>
      <c r="H10" s="16">
        <v>75.489999999999995</v>
      </c>
      <c r="I10" s="17">
        <f t="shared" si="0"/>
        <v>75.489999999999995</v>
      </c>
    </row>
    <row r="11" spans="1:9" x14ac:dyDescent="0.25">
      <c r="A11" s="39"/>
      <c r="B11" s="36"/>
      <c r="C11" s="37"/>
      <c r="D11" s="37"/>
      <c r="E11" s="38"/>
      <c r="F11" s="38"/>
      <c r="G11" s="5" t="s">
        <v>133</v>
      </c>
      <c r="H11" s="16">
        <v>50.5</v>
      </c>
      <c r="I11" s="17">
        <f t="shared" si="0"/>
        <v>50.5</v>
      </c>
    </row>
    <row r="12" spans="1:9" x14ac:dyDescent="0.25">
      <c r="A12" s="39"/>
      <c r="B12" s="36"/>
      <c r="C12" s="37"/>
      <c r="D12" s="37"/>
      <c r="E12" s="38"/>
      <c r="F12" s="38"/>
      <c r="G12" s="5" t="s">
        <v>53</v>
      </c>
      <c r="H12" s="16">
        <v>46.9</v>
      </c>
      <c r="I12" s="17">
        <f t="shared" si="0"/>
        <v>46.9</v>
      </c>
    </row>
    <row r="13" spans="1:9" x14ac:dyDescent="0.25">
      <c r="A13" s="39"/>
      <c r="B13" s="36"/>
      <c r="C13" s="37"/>
      <c r="D13" s="37"/>
      <c r="E13" s="38"/>
      <c r="F13" s="38"/>
      <c r="G13" s="5" t="s">
        <v>134</v>
      </c>
      <c r="H13" s="16">
        <v>170</v>
      </c>
      <c r="I13" s="17" t="str">
        <f t="shared" si="0"/>
        <v>Descartado</v>
      </c>
    </row>
    <row r="14" spans="1:9" x14ac:dyDescent="0.25">
      <c r="A14" s="39"/>
      <c r="B14" s="36"/>
      <c r="C14" s="37"/>
      <c r="D14" s="37"/>
      <c r="E14" s="38"/>
      <c r="F14" s="38"/>
      <c r="G14" s="5" t="s">
        <v>135</v>
      </c>
      <c r="H14" s="16">
        <v>45.97</v>
      </c>
      <c r="I14" s="17">
        <f t="shared" si="0"/>
        <v>45.97</v>
      </c>
    </row>
    <row r="15" spans="1:9" x14ac:dyDescent="0.25">
      <c r="A15" s="39"/>
      <c r="B15" s="36"/>
      <c r="C15" s="37"/>
      <c r="D15" s="37"/>
      <c r="E15" s="38"/>
      <c r="F15" s="38"/>
      <c r="G15" s="5" t="s">
        <v>136</v>
      </c>
      <c r="H15" s="16">
        <v>100</v>
      </c>
      <c r="I15" s="17">
        <f t="shared" si="0"/>
        <v>100</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34.095080403077347</v>
      </c>
      <c r="B20" s="8">
        <f>COUNT(H3:H17)</f>
        <v>13</v>
      </c>
      <c r="C20" s="9">
        <f>IF(B20&lt;2,"n/a",(A20/D20))</f>
        <v>0.45691611368369534</v>
      </c>
      <c r="D20" s="10">
        <f>IFERROR(ROUND(AVERAGE(H3:H17),2),"")</f>
        <v>74.62</v>
      </c>
      <c r="E20" s="15">
        <f>IFERROR(ROUND(IF(B20&lt;2,"n/a",(IF(C20&lt;=25%,"n/a",AVERAGE(I3:I17)))),2),"n/a")</f>
        <v>66.67</v>
      </c>
      <c r="F20" s="10">
        <f>IFERROR(ROUND(MEDIAN(H3:H17),2),"")</f>
        <v>64.63</v>
      </c>
      <c r="G20" s="11" t="str">
        <f>IFERROR(INDEX(G3:G17,MATCH(H20,H3:H17,0)),"")</f>
        <v>RBQ COMERCIAL LTDA</v>
      </c>
      <c r="H20" s="12">
        <f>F3</f>
        <v>45.97</v>
      </c>
    </row>
    <row r="22" spans="1:9" x14ac:dyDescent="0.25">
      <c r="G22" s="13" t="s">
        <v>20</v>
      </c>
      <c r="H22" s="14">
        <f>IF(C20&lt;=25%,D20,MIN(E20:F20))</f>
        <v>64.63</v>
      </c>
    </row>
    <row r="23" spans="1:9" x14ac:dyDescent="0.25">
      <c r="G23" s="13" t="s">
        <v>6</v>
      </c>
      <c r="H23" s="14">
        <f>ROUND(H22,2)*D3</f>
        <v>19389</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topLeftCell="A3" zoomScaleNormal="100" zoomScaleSheetLayoutView="100" workbookViewId="0">
      <selection activeCell="B20" sqref="B20"/>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19</v>
      </c>
      <c r="B3" s="35" t="s">
        <v>218</v>
      </c>
      <c r="C3" s="37" t="s">
        <v>7</v>
      </c>
      <c r="D3" s="37">
        <v>50</v>
      </c>
      <c r="E3" s="38">
        <f>IF(C20&lt;=25%,D20,MIN(E20:F20))</f>
        <v>112.37</v>
      </c>
      <c r="F3" s="38">
        <f>MIN(H3:H17)</f>
        <v>50</v>
      </c>
      <c r="G3" s="5" t="s">
        <v>137</v>
      </c>
      <c r="H3" s="16">
        <v>250</v>
      </c>
      <c r="I3" s="17" t="str">
        <f>IF(H3="","",(IF($C$20&lt;25%,"n/a",IF(H3&lt;=($D$20+$A$20),H3,"Descartado"))))</f>
        <v>Descartado</v>
      </c>
    </row>
    <row r="4" spans="1:9" x14ac:dyDescent="0.25">
      <c r="A4" s="39"/>
      <c r="B4" s="36"/>
      <c r="C4" s="37"/>
      <c r="D4" s="37"/>
      <c r="E4" s="38"/>
      <c r="F4" s="38"/>
      <c r="G4" s="5" t="s">
        <v>138</v>
      </c>
      <c r="H4" s="16">
        <v>145</v>
      </c>
      <c r="I4" s="17">
        <f t="shared" ref="I4:I17" si="0">IF(H4="","",(IF($C$20&lt;25%,"n/a",IF(H4&lt;=($D$20+$A$20),H4,"Descartado"))))</f>
        <v>145</v>
      </c>
    </row>
    <row r="5" spans="1:9" x14ac:dyDescent="0.25">
      <c r="A5" s="39"/>
      <c r="B5" s="36"/>
      <c r="C5" s="37"/>
      <c r="D5" s="37"/>
      <c r="E5" s="38"/>
      <c r="F5" s="38"/>
      <c r="G5" s="5" t="s">
        <v>67</v>
      </c>
      <c r="H5" s="16">
        <v>126</v>
      </c>
      <c r="I5" s="17">
        <f t="shared" si="0"/>
        <v>126</v>
      </c>
    </row>
    <row r="6" spans="1:9" x14ac:dyDescent="0.25">
      <c r="A6" s="39"/>
      <c r="B6" s="36"/>
      <c r="C6" s="37"/>
      <c r="D6" s="37"/>
      <c r="E6" s="38"/>
      <c r="F6" s="38"/>
      <c r="G6" s="5" t="s">
        <v>139</v>
      </c>
      <c r="H6" s="16">
        <v>100.24</v>
      </c>
      <c r="I6" s="17">
        <f t="shared" si="0"/>
        <v>100.24</v>
      </c>
    </row>
    <row r="7" spans="1:9" x14ac:dyDescent="0.25">
      <c r="A7" s="39"/>
      <c r="B7" s="36"/>
      <c r="C7" s="37"/>
      <c r="D7" s="37"/>
      <c r="E7" s="38"/>
      <c r="F7" s="38"/>
      <c r="G7" s="5" t="s">
        <v>140</v>
      </c>
      <c r="H7" s="16">
        <v>92</v>
      </c>
      <c r="I7" s="17">
        <f t="shared" si="0"/>
        <v>92</v>
      </c>
    </row>
    <row r="8" spans="1:9" x14ac:dyDescent="0.25">
      <c r="A8" s="39"/>
      <c r="B8" s="36"/>
      <c r="C8" s="37"/>
      <c r="D8" s="37"/>
      <c r="E8" s="38"/>
      <c r="F8" s="38"/>
      <c r="G8" s="5" t="s">
        <v>141</v>
      </c>
      <c r="H8" s="16">
        <v>98.12</v>
      </c>
      <c r="I8" s="17">
        <f t="shared" si="0"/>
        <v>98.12</v>
      </c>
    </row>
    <row r="9" spans="1:9" x14ac:dyDescent="0.25">
      <c r="A9" s="39"/>
      <c r="B9" s="36"/>
      <c r="C9" s="37"/>
      <c r="D9" s="37"/>
      <c r="E9" s="38"/>
      <c r="F9" s="38"/>
      <c r="G9" s="5" t="s">
        <v>142</v>
      </c>
      <c r="H9" s="16">
        <v>151.25</v>
      </c>
      <c r="I9" s="17">
        <f t="shared" si="0"/>
        <v>151.25</v>
      </c>
    </row>
    <row r="10" spans="1:9" x14ac:dyDescent="0.25">
      <c r="A10" s="39"/>
      <c r="B10" s="36"/>
      <c r="C10" s="37"/>
      <c r="D10" s="37"/>
      <c r="E10" s="38"/>
      <c r="F10" s="38"/>
      <c r="G10" s="5" t="s">
        <v>143</v>
      </c>
      <c r="H10" s="16">
        <v>120</v>
      </c>
      <c r="I10" s="17">
        <f t="shared" si="0"/>
        <v>120</v>
      </c>
    </row>
    <row r="11" spans="1:9" x14ac:dyDescent="0.25">
      <c r="A11" s="39"/>
      <c r="B11" s="36"/>
      <c r="C11" s="37"/>
      <c r="D11" s="37"/>
      <c r="E11" s="38"/>
      <c r="F11" s="38"/>
      <c r="G11" s="5" t="s">
        <v>144</v>
      </c>
      <c r="H11" s="16">
        <v>157.97999999999999</v>
      </c>
      <c r="I11" s="17">
        <f t="shared" si="0"/>
        <v>157.97999999999999</v>
      </c>
    </row>
    <row r="12" spans="1:9" x14ac:dyDescent="0.25">
      <c r="A12" s="39"/>
      <c r="B12" s="36"/>
      <c r="C12" s="37"/>
      <c r="D12" s="37"/>
      <c r="E12" s="38"/>
      <c r="F12" s="38"/>
      <c r="G12" s="5" t="s">
        <v>145</v>
      </c>
      <c r="H12" s="16">
        <v>280</v>
      </c>
      <c r="I12" s="17" t="str">
        <f t="shared" si="0"/>
        <v>Descartado</v>
      </c>
    </row>
    <row r="13" spans="1:9" x14ac:dyDescent="0.25">
      <c r="A13" s="39"/>
      <c r="B13" s="36"/>
      <c r="C13" s="37"/>
      <c r="D13" s="37"/>
      <c r="E13" s="38"/>
      <c r="F13" s="38"/>
      <c r="G13" s="5" t="s">
        <v>146</v>
      </c>
      <c r="H13" s="16">
        <v>50</v>
      </c>
      <c r="I13" s="17">
        <f t="shared" si="0"/>
        <v>50</v>
      </c>
    </row>
    <row r="14" spans="1:9" x14ac:dyDescent="0.25">
      <c r="A14" s="39"/>
      <c r="B14" s="36"/>
      <c r="C14" s="37"/>
      <c r="D14" s="37"/>
      <c r="E14" s="38"/>
      <c r="F14" s="38"/>
      <c r="G14" s="5" t="s">
        <v>147</v>
      </c>
      <c r="H14" s="16">
        <v>150</v>
      </c>
      <c r="I14" s="17">
        <f t="shared" si="0"/>
        <v>150</v>
      </c>
    </row>
    <row r="15" spans="1:9" x14ac:dyDescent="0.25">
      <c r="A15" s="39"/>
      <c r="B15" s="36"/>
      <c r="C15" s="37"/>
      <c r="D15" s="37"/>
      <c r="E15" s="38"/>
      <c r="F15" s="38"/>
      <c r="G15" s="5" t="s">
        <v>148</v>
      </c>
      <c r="H15" s="16">
        <v>110</v>
      </c>
      <c r="I15" s="17">
        <f t="shared" si="0"/>
        <v>110</v>
      </c>
    </row>
    <row r="16" spans="1:9" x14ac:dyDescent="0.25">
      <c r="A16" s="39"/>
      <c r="B16" s="36"/>
      <c r="C16" s="37"/>
      <c r="D16" s="37"/>
      <c r="E16" s="38"/>
      <c r="F16" s="38"/>
      <c r="G16" s="5" t="s">
        <v>149</v>
      </c>
      <c r="H16" s="16">
        <v>95</v>
      </c>
      <c r="I16" s="17">
        <f t="shared" si="0"/>
        <v>95</v>
      </c>
    </row>
    <row r="17" spans="1:9" x14ac:dyDescent="0.25">
      <c r="A17" s="39"/>
      <c r="B17" s="36"/>
      <c r="C17" s="37"/>
      <c r="D17" s="37"/>
      <c r="E17" s="38"/>
      <c r="F17" s="38"/>
      <c r="G17" s="5" t="s">
        <v>150</v>
      </c>
      <c r="H17" s="16">
        <v>65.25</v>
      </c>
      <c r="I17" s="17">
        <f t="shared" si="0"/>
        <v>65.25</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62.29412016126934</v>
      </c>
      <c r="B20" s="8">
        <f>COUNT(H3:H17)</f>
        <v>15</v>
      </c>
      <c r="C20" s="9">
        <f>IF(B20&lt;2,"n/a",(A20/D20))</f>
        <v>0.46936498011806316</v>
      </c>
      <c r="D20" s="10">
        <f>IFERROR(ROUND(AVERAGE(H3:H17),2),"")</f>
        <v>132.72</v>
      </c>
      <c r="E20" s="15">
        <f>IFERROR(ROUND(IF(B20&lt;2,"n/a",(IF(C20&lt;=25%,"n/a",AVERAGE(I3:I17)))),2),"n/a")</f>
        <v>112.37</v>
      </c>
      <c r="F20" s="10">
        <f>IFERROR(ROUND(MEDIAN(H3:H17),2),"")</f>
        <v>120</v>
      </c>
      <c r="G20" s="11" t="str">
        <f>IFERROR(INDEX(G3:G17,MATCH(H20,H3:H17,0)),"")</f>
        <v>LMM COMERCIO E FABRICACAO DE MOVEIS LTDA</v>
      </c>
      <c r="H20" s="12">
        <f>F3</f>
        <v>50</v>
      </c>
    </row>
    <row r="22" spans="1:9" x14ac:dyDescent="0.25">
      <c r="G22" s="13" t="s">
        <v>20</v>
      </c>
      <c r="H22" s="14">
        <f>IF(C20&lt;=25%,D20,MIN(E20:F20))</f>
        <v>112.37</v>
      </c>
    </row>
    <row r="23" spans="1:9" x14ac:dyDescent="0.25">
      <c r="G23" s="13" t="s">
        <v>6</v>
      </c>
      <c r="H23" s="14">
        <f>ROUND(H22,2)*D3</f>
        <v>5618.5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6" sqref="G1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2</v>
      </c>
      <c r="B3" s="35" t="s">
        <v>49</v>
      </c>
      <c r="C3" s="37" t="s">
        <v>7</v>
      </c>
      <c r="D3" s="37">
        <v>60</v>
      </c>
      <c r="E3" s="38">
        <f>IF(C20&lt;=25%,D20,MIN(E20:F20))</f>
        <v>753.15</v>
      </c>
      <c r="F3" s="38">
        <f>MIN(H3:H17)</f>
        <v>398</v>
      </c>
      <c r="G3" s="5" t="s">
        <v>43</v>
      </c>
      <c r="H3" s="16">
        <v>2150</v>
      </c>
      <c r="I3" s="17" t="str">
        <f>IF(H3="","",(IF($C$20&lt;25%,"n/a",IF(H3&lt;=($D$20+$A$20),H3,"Descartado"))))</f>
        <v>Descartado</v>
      </c>
    </row>
    <row r="4" spans="1:9" x14ac:dyDescent="0.25">
      <c r="A4" s="39"/>
      <c r="B4" s="36"/>
      <c r="C4" s="37"/>
      <c r="D4" s="37"/>
      <c r="E4" s="38"/>
      <c r="F4" s="38"/>
      <c r="G4" s="5" t="s">
        <v>54</v>
      </c>
      <c r="H4" s="16">
        <v>1250</v>
      </c>
      <c r="I4" s="17">
        <f t="shared" ref="I4:I17" si="0">IF(H4="","",(IF($C$20&lt;25%,"n/a",IF(H4&lt;=($D$20+$A$20),H4,"Descartado"))))</f>
        <v>1250</v>
      </c>
    </row>
    <row r="5" spans="1:9" x14ac:dyDescent="0.25">
      <c r="A5" s="39"/>
      <c r="B5" s="36"/>
      <c r="C5" s="37"/>
      <c r="D5" s="37"/>
      <c r="E5" s="38"/>
      <c r="F5" s="38"/>
      <c r="G5" s="5" t="s">
        <v>118</v>
      </c>
      <c r="H5" s="16">
        <v>469</v>
      </c>
      <c r="I5" s="17">
        <f t="shared" si="0"/>
        <v>469</v>
      </c>
    </row>
    <row r="6" spans="1:9" x14ac:dyDescent="0.25">
      <c r="A6" s="39"/>
      <c r="B6" s="36"/>
      <c r="C6" s="37"/>
      <c r="D6" s="37"/>
      <c r="E6" s="38"/>
      <c r="F6" s="38"/>
      <c r="G6" s="5" t="s">
        <v>188</v>
      </c>
      <c r="H6" s="16">
        <v>785</v>
      </c>
      <c r="I6" s="17">
        <f t="shared" si="0"/>
        <v>785</v>
      </c>
    </row>
    <row r="7" spans="1:9" x14ac:dyDescent="0.25">
      <c r="A7" s="39"/>
      <c r="B7" s="36"/>
      <c r="C7" s="37"/>
      <c r="D7" s="37"/>
      <c r="E7" s="38"/>
      <c r="F7" s="38"/>
      <c r="G7" s="5" t="s">
        <v>189</v>
      </c>
      <c r="H7" s="16">
        <v>779.5</v>
      </c>
      <c r="I7" s="17">
        <f t="shared" si="0"/>
        <v>779.5</v>
      </c>
    </row>
    <row r="8" spans="1:9" x14ac:dyDescent="0.25">
      <c r="A8" s="39"/>
      <c r="B8" s="36"/>
      <c r="C8" s="37"/>
      <c r="D8" s="37"/>
      <c r="E8" s="38"/>
      <c r="F8" s="38"/>
      <c r="G8" s="5" t="s">
        <v>190</v>
      </c>
      <c r="H8" s="16">
        <v>590</v>
      </c>
      <c r="I8" s="17">
        <f t="shared" si="0"/>
        <v>590</v>
      </c>
    </row>
    <row r="9" spans="1:9" x14ac:dyDescent="0.25">
      <c r="A9" s="39"/>
      <c r="B9" s="36"/>
      <c r="C9" s="37"/>
      <c r="D9" s="37"/>
      <c r="E9" s="38"/>
      <c r="F9" s="38"/>
      <c r="G9" s="5" t="s">
        <v>191</v>
      </c>
      <c r="H9" s="16">
        <v>398</v>
      </c>
      <c r="I9" s="17">
        <f t="shared" si="0"/>
        <v>398</v>
      </c>
    </row>
    <row r="10" spans="1:9" x14ac:dyDescent="0.25">
      <c r="A10" s="39"/>
      <c r="B10" s="36"/>
      <c r="C10" s="37"/>
      <c r="D10" s="37"/>
      <c r="E10" s="38"/>
      <c r="F10" s="38"/>
      <c r="G10" s="5" t="s">
        <v>192</v>
      </c>
      <c r="H10" s="16">
        <v>444</v>
      </c>
      <c r="I10" s="17">
        <f t="shared" si="0"/>
        <v>444</v>
      </c>
    </row>
    <row r="11" spans="1:9" x14ac:dyDescent="0.25">
      <c r="A11" s="39"/>
      <c r="B11" s="36"/>
      <c r="C11" s="37"/>
      <c r="D11" s="37"/>
      <c r="E11" s="38"/>
      <c r="F11" s="38"/>
      <c r="G11" s="5" t="s">
        <v>193</v>
      </c>
      <c r="H11" s="16">
        <v>780</v>
      </c>
      <c r="I11" s="17">
        <f t="shared" si="0"/>
        <v>780</v>
      </c>
    </row>
    <row r="12" spans="1:9" x14ac:dyDescent="0.25">
      <c r="A12" s="39"/>
      <c r="B12" s="36"/>
      <c r="C12" s="37"/>
      <c r="D12" s="37"/>
      <c r="E12" s="38"/>
      <c r="F12" s="38"/>
      <c r="G12" s="5" t="s">
        <v>194</v>
      </c>
      <c r="H12" s="16">
        <v>1177</v>
      </c>
      <c r="I12" s="17">
        <f t="shared" si="0"/>
        <v>1177</v>
      </c>
    </row>
    <row r="13" spans="1:9" x14ac:dyDescent="0.25">
      <c r="A13" s="39"/>
      <c r="B13" s="36"/>
      <c r="C13" s="37"/>
      <c r="D13" s="37"/>
      <c r="E13" s="38"/>
      <c r="F13" s="38"/>
      <c r="G13" s="5" t="s">
        <v>187</v>
      </c>
      <c r="H13" s="16">
        <v>2342</v>
      </c>
      <c r="I13" s="17" t="str">
        <f t="shared" si="0"/>
        <v>Descartado</v>
      </c>
    </row>
    <row r="14" spans="1:9" x14ac:dyDescent="0.25">
      <c r="A14" s="39"/>
      <c r="B14" s="36"/>
      <c r="C14" s="37"/>
      <c r="D14" s="37"/>
      <c r="E14" s="38"/>
      <c r="F14" s="38"/>
      <c r="G14" s="5" t="s">
        <v>195</v>
      </c>
      <c r="H14" s="16">
        <v>859</v>
      </c>
      <c r="I14" s="17">
        <f t="shared" si="0"/>
        <v>859</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639.74243603945558</v>
      </c>
      <c r="B20" s="8">
        <f>COUNT(H3:H17)</f>
        <v>12</v>
      </c>
      <c r="C20" s="9">
        <f>IF(B20&lt;2,"n/a",(A20/D20))</f>
        <v>0.63849099369181961</v>
      </c>
      <c r="D20" s="10">
        <f>IFERROR(ROUND(AVERAGE(H3:H17),2),"")</f>
        <v>1001.96</v>
      </c>
      <c r="E20" s="15">
        <f>IFERROR(ROUND(IF(B20&lt;2,"n/a",(IF(C20&lt;=25%,"n/a",AVERAGE(I3:I17)))),2),"n/a")</f>
        <v>753.15</v>
      </c>
      <c r="F20" s="10">
        <f>IFERROR(ROUND(MEDIAN(H3:H17),2),"")</f>
        <v>782.5</v>
      </c>
      <c r="G20" s="11" t="str">
        <f>IFERROR(INDEX(G3:G17,MATCH(H20,H3:H17,0)),"")</f>
        <v>PLASBICKI LTDA</v>
      </c>
      <c r="H20" s="12">
        <f>F3</f>
        <v>398</v>
      </c>
    </row>
    <row r="22" spans="1:9" x14ac:dyDescent="0.25">
      <c r="G22" s="13" t="s">
        <v>20</v>
      </c>
      <c r="H22" s="14">
        <f>IF(C20&lt;=25%,D20,MIN(E20:F20))</f>
        <v>753.15</v>
      </c>
    </row>
    <row r="23" spans="1:9" x14ac:dyDescent="0.25">
      <c r="G23" s="13" t="s">
        <v>6</v>
      </c>
      <c r="H23" s="14">
        <f>ROUND(H22,2)*D3</f>
        <v>45189</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B18" sqref="B1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20</v>
      </c>
      <c r="B3" s="35" t="s">
        <v>232</v>
      </c>
      <c r="C3" s="37" t="s">
        <v>7</v>
      </c>
      <c r="D3" s="37">
        <v>50</v>
      </c>
      <c r="E3" s="38">
        <f>IF(C20&lt;=25%,D20,MIN(E20:F20))</f>
        <v>1078.26</v>
      </c>
      <c r="F3" s="38">
        <f>MIN(H3:H17)</f>
        <v>224</v>
      </c>
      <c r="G3" s="5" t="s">
        <v>151</v>
      </c>
      <c r="H3" s="16">
        <v>1899.52</v>
      </c>
      <c r="I3" s="17" t="str">
        <f>IF(H3="","",(IF($C$20&lt;25%,"n/a",IF(H3&lt;=($D$20+$A$20),H3,"Descartado"))))</f>
        <v>Descartado</v>
      </c>
    </row>
    <row r="4" spans="1:9" x14ac:dyDescent="0.25">
      <c r="A4" s="39"/>
      <c r="B4" s="36"/>
      <c r="C4" s="37"/>
      <c r="D4" s="37"/>
      <c r="E4" s="38"/>
      <c r="F4" s="38"/>
      <c r="G4" s="5" t="s">
        <v>152</v>
      </c>
      <c r="H4" s="16">
        <v>2600</v>
      </c>
      <c r="I4" s="17" t="str">
        <f t="shared" ref="I4:I17" si="0">IF(H4="","",(IF($C$20&lt;25%,"n/a",IF(H4&lt;=($D$20+$A$20),H4,"Descartado"))))</f>
        <v>Descartado</v>
      </c>
    </row>
    <row r="5" spans="1:9" x14ac:dyDescent="0.25">
      <c r="A5" s="39"/>
      <c r="B5" s="36"/>
      <c r="C5" s="37"/>
      <c r="D5" s="37"/>
      <c r="E5" s="38"/>
      <c r="F5" s="38"/>
      <c r="G5" s="5" t="s">
        <v>153</v>
      </c>
      <c r="H5" s="16">
        <v>1388</v>
      </c>
      <c r="I5" s="17">
        <f t="shared" si="0"/>
        <v>1388</v>
      </c>
    </row>
    <row r="6" spans="1:9" x14ac:dyDescent="0.25">
      <c r="A6" s="39"/>
      <c r="B6" s="36"/>
      <c r="C6" s="37"/>
      <c r="D6" s="37"/>
      <c r="E6" s="38"/>
      <c r="F6" s="38"/>
      <c r="G6" s="5" t="s">
        <v>154</v>
      </c>
      <c r="H6" s="16">
        <v>999.7</v>
      </c>
      <c r="I6" s="17">
        <f t="shared" si="0"/>
        <v>999.7</v>
      </c>
    </row>
    <row r="7" spans="1:9" x14ac:dyDescent="0.25">
      <c r="A7" s="39"/>
      <c r="B7" s="36"/>
      <c r="C7" s="37"/>
      <c r="D7" s="37"/>
      <c r="E7" s="38"/>
      <c r="F7" s="38"/>
      <c r="G7" s="5" t="s">
        <v>155</v>
      </c>
      <c r="H7" s="16">
        <v>880</v>
      </c>
      <c r="I7" s="17">
        <f t="shared" si="0"/>
        <v>880</v>
      </c>
    </row>
    <row r="8" spans="1:9" x14ac:dyDescent="0.25">
      <c r="A8" s="39"/>
      <c r="B8" s="36"/>
      <c r="C8" s="37"/>
      <c r="D8" s="37"/>
      <c r="E8" s="38"/>
      <c r="F8" s="38"/>
      <c r="G8" s="5" t="s">
        <v>156</v>
      </c>
      <c r="H8" s="16">
        <v>1095.5999999999999</v>
      </c>
      <c r="I8" s="17">
        <f t="shared" si="0"/>
        <v>1095.5999999999999</v>
      </c>
    </row>
    <row r="9" spans="1:9" x14ac:dyDescent="0.25">
      <c r="A9" s="39"/>
      <c r="B9" s="36"/>
      <c r="C9" s="37"/>
      <c r="D9" s="37"/>
      <c r="E9" s="38"/>
      <c r="F9" s="38"/>
      <c r="G9" s="5" t="s">
        <v>157</v>
      </c>
      <c r="H9" s="16">
        <v>1095.5999999999999</v>
      </c>
      <c r="I9" s="17">
        <f t="shared" si="0"/>
        <v>1095.5999999999999</v>
      </c>
    </row>
    <row r="10" spans="1:9" x14ac:dyDescent="0.25">
      <c r="A10" s="39"/>
      <c r="B10" s="36"/>
      <c r="C10" s="37"/>
      <c r="D10" s="37"/>
      <c r="E10" s="38"/>
      <c r="F10" s="38"/>
      <c r="G10" s="5" t="s">
        <v>158</v>
      </c>
      <c r="H10" s="16">
        <v>880</v>
      </c>
      <c r="I10" s="17">
        <f t="shared" si="0"/>
        <v>880</v>
      </c>
    </row>
    <row r="11" spans="1:9" x14ac:dyDescent="0.25">
      <c r="A11" s="39"/>
      <c r="B11" s="36"/>
      <c r="C11" s="37"/>
      <c r="D11" s="37"/>
      <c r="E11" s="38"/>
      <c r="F11" s="38"/>
      <c r="G11" s="5" t="s">
        <v>159</v>
      </c>
      <c r="H11" s="16">
        <v>889.99</v>
      </c>
      <c r="I11" s="17">
        <f t="shared" si="0"/>
        <v>889.99</v>
      </c>
    </row>
    <row r="12" spans="1:9" x14ac:dyDescent="0.25">
      <c r="A12" s="39"/>
      <c r="B12" s="36"/>
      <c r="C12" s="37"/>
      <c r="D12" s="37"/>
      <c r="E12" s="38"/>
      <c r="F12" s="38"/>
      <c r="G12" s="5" t="s">
        <v>160</v>
      </c>
      <c r="H12" s="16">
        <v>224</v>
      </c>
      <c r="I12" s="17">
        <f t="shared" si="0"/>
        <v>224</v>
      </c>
    </row>
    <row r="13" spans="1:9" x14ac:dyDescent="0.25">
      <c r="A13" s="39"/>
      <c r="B13" s="36"/>
      <c r="C13" s="37"/>
      <c r="D13" s="37"/>
      <c r="E13" s="38"/>
      <c r="F13" s="38"/>
      <c r="G13" s="5" t="s">
        <v>161</v>
      </c>
      <c r="H13" s="16">
        <v>1369</v>
      </c>
      <c r="I13" s="17">
        <f t="shared" si="0"/>
        <v>1369</v>
      </c>
    </row>
    <row r="14" spans="1:9" x14ac:dyDescent="0.25">
      <c r="A14" s="39"/>
      <c r="B14" s="36"/>
      <c r="C14" s="37"/>
      <c r="D14" s="37"/>
      <c r="E14" s="38"/>
      <c r="F14" s="38"/>
      <c r="G14" s="5" t="s">
        <v>162</v>
      </c>
      <c r="H14" s="16">
        <v>1388.42</v>
      </c>
      <c r="I14" s="17">
        <f t="shared" si="0"/>
        <v>1388.42</v>
      </c>
    </row>
    <row r="15" spans="1:9" x14ac:dyDescent="0.25">
      <c r="A15" s="39"/>
      <c r="B15" s="36"/>
      <c r="C15" s="37"/>
      <c r="D15" s="37"/>
      <c r="E15" s="38"/>
      <c r="F15" s="38"/>
      <c r="G15" s="5" t="s">
        <v>163</v>
      </c>
      <c r="H15" s="16">
        <v>1037.06</v>
      </c>
      <c r="I15" s="17">
        <f t="shared" si="0"/>
        <v>1037.06</v>
      </c>
    </row>
    <row r="16" spans="1:9" x14ac:dyDescent="0.25">
      <c r="A16" s="39"/>
      <c r="B16" s="36"/>
      <c r="C16" s="37"/>
      <c r="D16" s="37"/>
      <c r="E16" s="38"/>
      <c r="F16" s="38"/>
      <c r="G16" s="5" t="s">
        <v>164</v>
      </c>
      <c r="H16" s="16">
        <v>1780.06</v>
      </c>
      <c r="I16" s="17">
        <f t="shared" si="0"/>
        <v>1780.06</v>
      </c>
    </row>
    <row r="17" spans="1:9" x14ac:dyDescent="0.25">
      <c r="A17" s="39"/>
      <c r="B17" s="36"/>
      <c r="C17" s="37"/>
      <c r="D17" s="37"/>
      <c r="E17" s="38"/>
      <c r="F17" s="38"/>
      <c r="G17" s="5" t="s">
        <v>165</v>
      </c>
      <c r="H17" s="16">
        <v>990</v>
      </c>
      <c r="I17" s="17">
        <f t="shared" si="0"/>
        <v>990</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551.19607374284124</v>
      </c>
      <c r="B20" s="8">
        <f>COUNT(H3:H17)</f>
        <v>15</v>
      </c>
      <c r="C20" s="9">
        <f>IF(B20&lt;2,"n/a",(A20/D20))</f>
        <v>0.44650784451731218</v>
      </c>
      <c r="D20" s="10">
        <f>IFERROR(ROUND(AVERAGE(H3:H17),2),"")</f>
        <v>1234.46</v>
      </c>
      <c r="E20" s="15">
        <f>IFERROR(ROUND(IF(B20&lt;2,"n/a",(IF(C20&lt;=25%,"n/a",AVERAGE(I3:I17)))),2),"n/a")</f>
        <v>1078.26</v>
      </c>
      <c r="F20" s="10">
        <f>IFERROR(ROUND(MEDIAN(H3:H17),2),"")</f>
        <v>1095.5999999999999</v>
      </c>
      <c r="G20" s="11" t="str">
        <f>IFERROR(INDEX(G3:G17,MATCH(H20,H3:H17,0)),"")</f>
        <v>DELLAMED S.A</v>
      </c>
      <c r="H20" s="12">
        <f>F3</f>
        <v>224</v>
      </c>
    </row>
    <row r="22" spans="1:9" x14ac:dyDescent="0.25">
      <c r="G22" s="13" t="s">
        <v>20</v>
      </c>
      <c r="H22" s="14">
        <f>IF(C20&lt;=25%,D20,MIN(E20:F20))</f>
        <v>1078.26</v>
      </c>
    </row>
    <row r="23" spans="1:9" x14ac:dyDescent="0.25">
      <c r="G23" s="13" t="s">
        <v>6</v>
      </c>
      <c r="H23" s="14">
        <f>ROUND(H22,2)*D3</f>
        <v>53913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4" sqref="G1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c r="C2" s="7" t="s">
        <v>3</v>
      </c>
      <c r="D2" s="7" t="s">
        <v>4</v>
      </c>
      <c r="E2" s="7" t="s">
        <v>9</v>
      </c>
      <c r="F2" s="7" t="s">
        <v>10</v>
      </c>
      <c r="G2" s="7" t="s">
        <v>11</v>
      </c>
      <c r="H2" s="7" t="s">
        <v>12</v>
      </c>
      <c r="I2" s="7" t="s">
        <v>13</v>
      </c>
    </row>
    <row r="3" spans="1:9" x14ac:dyDescent="0.25">
      <c r="A3" s="39">
        <v>21</v>
      </c>
      <c r="B3" s="35" t="s">
        <v>41</v>
      </c>
      <c r="C3" s="37" t="s">
        <v>7</v>
      </c>
      <c r="D3" s="37">
        <v>50</v>
      </c>
      <c r="E3" s="38">
        <f>IF(C20&lt;=25%,D20,MIN(E20:F20))</f>
        <v>351.13</v>
      </c>
      <c r="F3" s="38">
        <f>MIN(H3:H17)</f>
        <v>183</v>
      </c>
      <c r="G3" s="5" t="s">
        <v>166</v>
      </c>
      <c r="H3" s="16">
        <v>286.89999999999998</v>
      </c>
      <c r="I3" s="17">
        <f>IF(H3="","",(IF($C$20&lt;25%,"n/a",IF(H3&lt;=($D$20+$A$20),H3,"Descartado"))))</f>
        <v>286.89999999999998</v>
      </c>
    </row>
    <row r="4" spans="1:9" x14ac:dyDescent="0.25">
      <c r="A4" s="39"/>
      <c r="B4" s="36"/>
      <c r="C4" s="37"/>
      <c r="D4" s="37"/>
      <c r="E4" s="38"/>
      <c r="F4" s="38"/>
      <c r="G4" s="5" t="s">
        <v>167</v>
      </c>
      <c r="H4" s="16">
        <v>396</v>
      </c>
      <c r="I4" s="17">
        <f t="shared" ref="I4:I17" si="0">IF(H4="","",(IF($C$20&lt;25%,"n/a",IF(H4&lt;=($D$20+$A$20),H4,"Descartado"))))</f>
        <v>396</v>
      </c>
    </row>
    <row r="5" spans="1:9" x14ac:dyDescent="0.25">
      <c r="A5" s="39"/>
      <c r="B5" s="36"/>
      <c r="C5" s="37"/>
      <c r="D5" s="37"/>
      <c r="E5" s="38"/>
      <c r="F5" s="38"/>
      <c r="G5" s="5" t="s">
        <v>168</v>
      </c>
      <c r="H5" s="16">
        <v>449.92</v>
      </c>
      <c r="I5" s="17">
        <f t="shared" si="0"/>
        <v>449.92</v>
      </c>
    </row>
    <row r="6" spans="1:9" x14ac:dyDescent="0.25">
      <c r="A6" s="39"/>
      <c r="B6" s="36"/>
      <c r="C6" s="37"/>
      <c r="D6" s="37"/>
      <c r="E6" s="38"/>
      <c r="F6" s="38"/>
      <c r="G6" s="5" t="s">
        <v>169</v>
      </c>
      <c r="H6" s="16">
        <v>475</v>
      </c>
      <c r="I6" s="17">
        <f t="shared" si="0"/>
        <v>475</v>
      </c>
    </row>
    <row r="7" spans="1:9" x14ac:dyDescent="0.25">
      <c r="A7" s="39"/>
      <c r="B7" s="36"/>
      <c r="C7" s="37"/>
      <c r="D7" s="37"/>
      <c r="E7" s="38"/>
      <c r="F7" s="38"/>
      <c r="G7" s="5" t="s">
        <v>170</v>
      </c>
      <c r="H7" s="16">
        <v>287.10000000000002</v>
      </c>
      <c r="I7" s="17">
        <f t="shared" si="0"/>
        <v>287.10000000000002</v>
      </c>
    </row>
    <row r="8" spans="1:9" x14ac:dyDescent="0.25">
      <c r="A8" s="39"/>
      <c r="B8" s="36"/>
      <c r="C8" s="37"/>
      <c r="D8" s="37"/>
      <c r="E8" s="38"/>
      <c r="F8" s="38"/>
      <c r="G8" s="5" t="s">
        <v>171</v>
      </c>
      <c r="H8" s="16">
        <v>513</v>
      </c>
      <c r="I8" s="17" t="str">
        <f t="shared" si="0"/>
        <v>Descartado</v>
      </c>
    </row>
    <row r="9" spans="1:9" x14ac:dyDescent="0.25">
      <c r="A9" s="39"/>
      <c r="B9" s="36"/>
      <c r="C9" s="37"/>
      <c r="D9" s="37"/>
      <c r="E9" s="38"/>
      <c r="F9" s="38"/>
      <c r="G9" s="5" t="s">
        <v>172</v>
      </c>
      <c r="H9" s="16">
        <v>379.99</v>
      </c>
      <c r="I9" s="17">
        <f t="shared" si="0"/>
        <v>379.99</v>
      </c>
    </row>
    <row r="10" spans="1:9" x14ac:dyDescent="0.25">
      <c r="A10" s="39"/>
      <c r="B10" s="36"/>
      <c r="C10" s="37"/>
      <c r="D10" s="37"/>
      <c r="E10" s="38"/>
      <c r="F10" s="38"/>
      <c r="G10" s="5" t="s">
        <v>173</v>
      </c>
      <c r="H10" s="16">
        <v>183</v>
      </c>
      <c r="I10" s="17">
        <f t="shared" si="0"/>
        <v>183</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111.71976931303229</v>
      </c>
      <c r="B20" s="8">
        <f>COUNT(H3:H17)</f>
        <v>8</v>
      </c>
      <c r="C20" s="9">
        <f>IF(B20&lt;2,"n/a",(A20/D20))</f>
        <v>0.30083953391057811</v>
      </c>
      <c r="D20" s="10">
        <f>IFERROR(ROUND(AVERAGE(H3:H17),2),"")</f>
        <v>371.36</v>
      </c>
      <c r="E20" s="15">
        <f>IFERROR(ROUND(IF(B20&lt;2,"n/a",(IF(C20&lt;=25%,"n/a",AVERAGE(I3:I17)))),2),"n/a")</f>
        <v>351.13</v>
      </c>
      <c r="F20" s="10">
        <f>IFERROR(ROUND(MEDIAN(H3:H17),2),"")</f>
        <v>388</v>
      </c>
      <c r="G20" s="11" t="str">
        <f>IFERROR(INDEX(G3:G17,MATCH(H20,H3:H17,0)),"")</f>
        <v>TOMAZ E FRANCO LTDA</v>
      </c>
      <c r="H20" s="12">
        <f>F3</f>
        <v>183</v>
      </c>
    </row>
    <row r="22" spans="1:9" x14ac:dyDescent="0.25">
      <c r="G22" s="13" t="s">
        <v>20</v>
      </c>
      <c r="H22" s="14">
        <f>IF(C20&lt;=25%,D20,MIN(E20:F20))</f>
        <v>351.13</v>
      </c>
    </row>
    <row r="23" spans="1:9" x14ac:dyDescent="0.25">
      <c r="G23" s="13" t="s">
        <v>6</v>
      </c>
      <c r="H23" s="14">
        <f>ROUND(H22,2)*D3</f>
        <v>17556.5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F3" sqref="F3:F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22</v>
      </c>
      <c r="B3" s="35" t="s">
        <v>42</v>
      </c>
      <c r="C3" s="37" t="s">
        <v>7</v>
      </c>
      <c r="D3" s="37">
        <v>100</v>
      </c>
      <c r="E3" s="38">
        <f>IF(C20&lt;=25%,D20,MIN(E20:F20))</f>
        <v>373.13</v>
      </c>
      <c r="F3" s="38">
        <f>MIN(H3:H17)</f>
        <v>202.5</v>
      </c>
      <c r="G3" s="5" t="s">
        <v>175</v>
      </c>
      <c r="H3" s="16">
        <v>528.5</v>
      </c>
      <c r="I3" s="17">
        <f>IF(H3="","",(IF($C$20&lt;25%,"n/a",IF(H3&lt;=($D$20+$A$20),H3,"Descartado"))))</f>
        <v>528.5</v>
      </c>
    </row>
    <row r="4" spans="1:9" x14ac:dyDescent="0.25">
      <c r="A4" s="39"/>
      <c r="B4" s="36"/>
      <c r="C4" s="37"/>
      <c r="D4" s="37"/>
      <c r="E4" s="38"/>
      <c r="F4" s="38"/>
      <c r="G4" s="5" t="s">
        <v>136</v>
      </c>
      <c r="H4" s="16">
        <v>373.125</v>
      </c>
      <c r="I4" s="17">
        <f t="shared" ref="I4:I17" si="0">IF(H4="","",(IF($C$20&lt;25%,"n/a",IF(H4&lt;=($D$20+$A$20),H4,"Descartado"))))</f>
        <v>373.125</v>
      </c>
    </row>
    <row r="5" spans="1:9" x14ac:dyDescent="0.25">
      <c r="A5" s="39"/>
      <c r="B5" s="36"/>
      <c r="C5" s="37"/>
      <c r="D5" s="37"/>
      <c r="E5" s="38"/>
      <c r="F5" s="38"/>
      <c r="G5" s="5" t="s">
        <v>179</v>
      </c>
      <c r="H5" s="16">
        <v>220</v>
      </c>
      <c r="I5" s="17">
        <f t="shared" si="0"/>
        <v>220</v>
      </c>
    </row>
    <row r="6" spans="1:9" x14ac:dyDescent="0.25">
      <c r="A6" s="39"/>
      <c r="B6" s="36"/>
      <c r="C6" s="37"/>
      <c r="D6" s="37"/>
      <c r="E6" s="38"/>
      <c r="F6" s="38"/>
      <c r="G6" s="5" t="s">
        <v>180</v>
      </c>
      <c r="H6" s="16">
        <v>288</v>
      </c>
      <c r="I6" s="17">
        <f t="shared" si="0"/>
        <v>288</v>
      </c>
    </row>
    <row r="7" spans="1:9" x14ac:dyDescent="0.25">
      <c r="A7" s="39"/>
      <c r="B7" s="36"/>
      <c r="C7" s="37"/>
      <c r="D7" s="37"/>
      <c r="E7" s="38"/>
      <c r="F7" s="38"/>
      <c r="G7" s="5" t="s">
        <v>181</v>
      </c>
      <c r="H7" s="16">
        <v>667</v>
      </c>
      <c r="I7" s="17">
        <f t="shared" si="0"/>
        <v>667</v>
      </c>
    </row>
    <row r="8" spans="1:9" x14ac:dyDescent="0.25">
      <c r="A8" s="39"/>
      <c r="B8" s="36"/>
      <c r="C8" s="37"/>
      <c r="D8" s="37"/>
      <c r="E8" s="38"/>
      <c r="F8" s="38"/>
      <c r="G8" s="5" t="s">
        <v>60</v>
      </c>
      <c r="H8" s="16">
        <v>202.5</v>
      </c>
      <c r="I8" s="17">
        <f t="shared" si="0"/>
        <v>202.5</v>
      </c>
    </row>
    <row r="9" spans="1:9" x14ac:dyDescent="0.25">
      <c r="A9" s="39"/>
      <c r="B9" s="36"/>
      <c r="C9" s="37"/>
      <c r="D9" s="37"/>
      <c r="E9" s="38"/>
      <c r="F9" s="38"/>
      <c r="G9" s="5" t="s">
        <v>182</v>
      </c>
      <c r="H9" s="16">
        <v>379</v>
      </c>
      <c r="I9" s="17">
        <f t="shared" si="0"/>
        <v>379</v>
      </c>
    </row>
    <row r="10" spans="1:9" x14ac:dyDescent="0.25">
      <c r="A10" s="39"/>
      <c r="B10" s="36"/>
      <c r="C10" s="37"/>
      <c r="D10" s="37"/>
      <c r="E10" s="38"/>
      <c r="F10" s="38"/>
      <c r="G10" s="5" t="s">
        <v>176</v>
      </c>
      <c r="H10" s="16">
        <v>295</v>
      </c>
      <c r="I10" s="17">
        <f t="shared" si="0"/>
        <v>295</v>
      </c>
    </row>
    <row r="11" spans="1:9" x14ac:dyDescent="0.25">
      <c r="A11" s="39"/>
      <c r="B11" s="36"/>
      <c r="C11" s="37"/>
      <c r="D11" s="37"/>
      <c r="E11" s="38"/>
      <c r="F11" s="38"/>
      <c r="G11" s="5" t="s">
        <v>183</v>
      </c>
      <c r="H11" s="16">
        <v>700</v>
      </c>
      <c r="I11" s="17">
        <f t="shared" si="0"/>
        <v>700</v>
      </c>
    </row>
    <row r="12" spans="1:9" x14ac:dyDescent="0.25">
      <c r="A12" s="39"/>
      <c r="B12" s="36"/>
      <c r="C12" s="37"/>
      <c r="D12" s="37"/>
      <c r="E12" s="38"/>
      <c r="F12" s="38"/>
      <c r="G12" s="5" t="s">
        <v>184</v>
      </c>
      <c r="H12" s="16">
        <v>389.9</v>
      </c>
      <c r="I12" s="17">
        <f t="shared" si="0"/>
        <v>389.9</v>
      </c>
    </row>
    <row r="13" spans="1:9" x14ac:dyDescent="0.25">
      <c r="A13" s="39"/>
      <c r="B13" s="36"/>
      <c r="C13" s="37"/>
      <c r="D13" s="37"/>
      <c r="E13" s="38"/>
      <c r="F13" s="38"/>
      <c r="G13" s="5" t="s">
        <v>185</v>
      </c>
      <c r="H13" s="16">
        <v>670</v>
      </c>
      <c r="I13" s="17">
        <f t="shared" si="0"/>
        <v>670</v>
      </c>
    </row>
    <row r="14" spans="1:9" x14ac:dyDescent="0.25">
      <c r="A14" s="39"/>
      <c r="B14" s="36"/>
      <c r="C14" s="37"/>
      <c r="D14" s="37"/>
      <c r="E14" s="38"/>
      <c r="F14" s="38"/>
      <c r="G14" s="5" t="s">
        <v>186</v>
      </c>
      <c r="H14" s="16">
        <v>1992</v>
      </c>
      <c r="I14" s="17" t="str">
        <f t="shared" si="0"/>
        <v>Descartado</v>
      </c>
    </row>
    <row r="15" spans="1:9" x14ac:dyDescent="0.25">
      <c r="A15" s="39"/>
      <c r="B15" s="36"/>
      <c r="C15" s="37"/>
      <c r="D15" s="37"/>
      <c r="E15" s="38"/>
      <c r="F15" s="38"/>
      <c r="G15" s="5" t="s">
        <v>61</v>
      </c>
      <c r="H15" s="16">
        <v>305</v>
      </c>
      <c r="I15" s="17">
        <f t="shared" si="0"/>
        <v>305</v>
      </c>
    </row>
    <row r="16" spans="1:9" x14ac:dyDescent="0.25">
      <c r="A16" s="39"/>
      <c r="B16" s="36"/>
      <c r="C16" s="37"/>
      <c r="D16" s="37"/>
      <c r="E16" s="38"/>
      <c r="F16" s="38"/>
      <c r="G16" s="5" t="s">
        <v>72</v>
      </c>
      <c r="H16" s="16">
        <v>329</v>
      </c>
      <c r="I16" s="17">
        <f t="shared" si="0"/>
        <v>329</v>
      </c>
    </row>
    <row r="17" spans="1:9" x14ac:dyDescent="0.25">
      <c r="A17" s="39"/>
      <c r="B17" s="36"/>
      <c r="C17" s="37"/>
      <c r="D17" s="37"/>
      <c r="E17" s="38"/>
      <c r="F17" s="38"/>
      <c r="G17" s="5" t="s">
        <v>187</v>
      </c>
      <c r="H17" s="16">
        <v>240</v>
      </c>
      <c r="I17" s="17">
        <f t="shared" si="0"/>
        <v>240</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443.59331805988796</v>
      </c>
      <c r="B20" s="8">
        <f>COUNT(H3:H17)</f>
        <v>15</v>
      </c>
      <c r="C20" s="9">
        <f>IF(B20&lt;2,"n/a",(A20/D20))</f>
        <v>0.87793321998117435</v>
      </c>
      <c r="D20" s="10">
        <f>IFERROR(ROUND(AVERAGE(H3:H17),2),"")</f>
        <v>505.27</v>
      </c>
      <c r="E20" s="15">
        <f>IFERROR(ROUND(IF(B20&lt;2,"n/a",(IF(C20&lt;=25%,"n/a",AVERAGE(I3:I17)))),2),"n/a")</f>
        <v>399.07</v>
      </c>
      <c r="F20" s="10">
        <f>IFERROR(ROUND(MEDIAN(H3:H17),2),"")</f>
        <v>373.13</v>
      </c>
      <c r="G20" s="11" t="str">
        <f>IFERROR(INDEX(G3:G17,MATCH(H20,H3:H17,0)),"")</f>
        <v>JUSTO MOVEIS E TRANSPORTES LTDA</v>
      </c>
      <c r="H20" s="12">
        <f>F3</f>
        <v>202.5</v>
      </c>
    </row>
    <row r="22" spans="1:9" x14ac:dyDescent="0.25">
      <c r="G22" s="13" t="s">
        <v>20</v>
      </c>
      <c r="H22" s="14">
        <f>IF(C20&lt;=25%,D20,MIN(E20:F20))</f>
        <v>373.13</v>
      </c>
    </row>
    <row r="23" spans="1:9" x14ac:dyDescent="0.25">
      <c r="G23" s="13" t="s">
        <v>6</v>
      </c>
      <c r="H23" s="14">
        <f>ROUND(H22,2)*D3</f>
        <v>37313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D22" sqref="D2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23</v>
      </c>
      <c r="B3" s="35" t="s">
        <v>219</v>
      </c>
      <c r="C3" s="37" t="s">
        <v>7</v>
      </c>
      <c r="D3" s="37">
        <v>100</v>
      </c>
      <c r="E3" s="38">
        <f>IF(C20&lt;=25%,D20,MIN(E20:F20))</f>
        <v>471</v>
      </c>
      <c r="F3" s="38">
        <f>MIN(H3:H17)</f>
        <v>270</v>
      </c>
      <c r="G3" s="5" t="s">
        <v>174</v>
      </c>
      <c r="H3" s="16">
        <v>550</v>
      </c>
      <c r="I3" s="17">
        <f>IF(H3="","",(IF($C$20&lt;25%,"n/a",IF(H3&lt;=($D$20+$A$20),H3,"Descartado"))))</f>
        <v>550</v>
      </c>
    </row>
    <row r="4" spans="1:9" x14ac:dyDescent="0.25">
      <c r="A4" s="39"/>
      <c r="B4" s="36"/>
      <c r="C4" s="37"/>
      <c r="D4" s="37"/>
      <c r="E4" s="38"/>
      <c r="F4" s="38"/>
      <c r="G4" s="5" t="s">
        <v>175</v>
      </c>
      <c r="H4" s="16">
        <v>495</v>
      </c>
      <c r="I4" s="17">
        <f t="shared" ref="I4:I17" si="0">IF(H4="","",(IF($C$20&lt;25%,"n/a",IF(H4&lt;=($D$20+$A$20),H4,"Descartado"))))</f>
        <v>495</v>
      </c>
    </row>
    <row r="5" spans="1:9" x14ac:dyDescent="0.25">
      <c r="A5" s="39"/>
      <c r="B5" s="36"/>
      <c r="C5" s="37"/>
      <c r="D5" s="37"/>
      <c r="E5" s="38"/>
      <c r="F5" s="38"/>
      <c r="G5" s="5" t="s">
        <v>176</v>
      </c>
      <c r="H5" s="16">
        <v>351</v>
      </c>
      <c r="I5" s="17">
        <f t="shared" si="0"/>
        <v>351</v>
      </c>
    </row>
    <row r="6" spans="1:9" x14ac:dyDescent="0.25">
      <c r="A6" s="39"/>
      <c r="B6" s="36"/>
      <c r="C6" s="37"/>
      <c r="D6" s="37"/>
      <c r="E6" s="38"/>
      <c r="F6" s="38"/>
      <c r="G6" s="5" t="s">
        <v>177</v>
      </c>
      <c r="H6" s="16">
        <v>689</v>
      </c>
      <c r="I6" s="17">
        <f t="shared" si="0"/>
        <v>689</v>
      </c>
    </row>
    <row r="7" spans="1:9" x14ac:dyDescent="0.25">
      <c r="A7" s="39"/>
      <c r="B7" s="36"/>
      <c r="C7" s="37"/>
      <c r="D7" s="37"/>
      <c r="E7" s="38"/>
      <c r="F7" s="38"/>
      <c r="G7" s="5" t="s">
        <v>59</v>
      </c>
      <c r="H7" s="16">
        <v>270</v>
      </c>
      <c r="I7" s="17">
        <f t="shared" si="0"/>
        <v>270</v>
      </c>
    </row>
    <row r="8" spans="1:9" x14ac:dyDescent="0.25">
      <c r="A8" s="39"/>
      <c r="B8" s="36"/>
      <c r="C8" s="37"/>
      <c r="D8" s="37"/>
      <c r="E8" s="38"/>
      <c r="F8" s="38"/>
      <c r="G8" s="5" t="s">
        <v>178</v>
      </c>
      <c r="H8" s="16">
        <v>1100</v>
      </c>
      <c r="I8" s="17" t="str">
        <f t="shared" si="0"/>
        <v>Descartado</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296.2576018715244</v>
      </c>
      <c r="B20" s="8">
        <f>COUNT(H3:H17)</f>
        <v>6</v>
      </c>
      <c r="C20" s="9">
        <f>IF(B20&lt;2,"n/a",(A20/D20))</f>
        <v>0.51448795976507711</v>
      </c>
      <c r="D20" s="10">
        <f>IFERROR(ROUND(AVERAGE(H3:H17),2),"")</f>
        <v>575.83000000000004</v>
      </c>
      <c r="E20" s="15">
        <f>IFERROR(ROUND(IF(B20&lt;2,"n/a",(IF(C20&lt;=25%,"n/a",AVERAGE(I3:I17)))),2),"n/a")</f>
        <v>471</v>
      </c>
      <c r="F20" s="10">
        <f>IFERROR(ROUND(MEDIAN(H3:H17),2),"")</f>
        <v>522.5</v>
      </c>
      <c r="G20" s="11" t="str">
        <f>IFERROR(INDEX(G3:G17,MATCH(H20,H3:H17,0)),"")</f>
        <v>FOX INDUSTRIA METALURGICA LTDA</v>
      </c>
      <c r="H20" s="12">
        <f>F3</f>
        <v>270</v>
      </c>
    </row>
    <row r="22" spans="1:9" x14ac:dyDescent="0.25">
      <c r="G22" s="13" t="s">
        <v>20</v>
      </c>
      <c r="H22" s="14">
        <f>IF(C20&lt;=25%,D20,MIN(E20:F20))</f>
        <v>471</v>
      </c>
    </row>
    <row r="23" spans="1:9" x14ac:dyDescent="0.25">
      <c r="G23" s="13" t="s">
        <v>6</v>
      </c>
      <c r="H23" s="14">
        <f>ROUND(H22,2)*D3</f>
        <v>47100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B25" sqref="B25"/>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24</v>
      </c>
      <c r="B3" s="35" t="s">
        <v>220</v>
      </c>
      <c r="C3" s="37" t="s">
        <v>7</v>
      </c>
      <c r="D3" s="37">
        <v>5</v>
      </c>
      <c r="E3" s="38">
        <f>IF(C20&lt;=25%,D20,MIN(E20:F20))</f>
        <v>787.57</v>
      </c>
      <c r="F3" s="38">
        <f>MIN(H3:H17)</f>
        <v>630</v>
      </c>
      <c r="G3" s="5" t="s">
        <v>59</v>
      </c>
      <c r="H3" s="16">
        <v>790</v>
      </c>
      <c r="I3" s="17">
        <f>IF(H3="","",(IF($C$20&lt;25%,"n/a",IF(H3&lt;=($D$20+$A$20),H3,"Descartado"))))</f>
        <v>790</v>
      </c>
    </row>
    <row r="4" spans="1:9" x14ac:dyDescent="0.25">
      <c r="A4" s="39"/>
      <c r="B4" s="36"/>
      <c r="C4" s="37"/>
      <c r="D4" s="37"/>
      <c r="E4" s="38"/>
      <c r="F4" s="38"/>
      <c r="G4" s="5" t="s">
        <v>60</v>
      </c>
      <c r="H4" s="16">
        <v>862</v>
      </c>
      <c r="I4" s="17">
        <f t="shared" ref="I4:I17" si="0">IF(H4="","",(IF($C$20&lt;25%,"n/a",IF(H4&lt;=($D$20+$A$20),H4,"Descartado"))))</f>
        <v>862</v>
      </c>
    </row>
    <row r="5" spans="1:9" x14ac:dyDescent="0.25">
      <c r="A5" s="39"/>
      <c r="B5" s="36"/>
      <c r="C5" s="37"/>
      <c r="D5" s="37"/>
      <c r="E5" s="38"/>
      <c r="F5" s="38"/>
      <c r="G5" s="5" t="s">
        <v>61</v>
      </c>
      <c r="H5" s="16">
        <v>846</v>
      </c>
      <c r="I5" s="17">
        <f t="shared" si="0"/>
        <v>846</v>
      </c>
    </row>
    <row r="6" spans="1:9" x14ac:dyDescent="0.25">
      <c r="A6" s="39"/>
      <c r="B6" s="36"/>
      <c r="C6" s="37"/>
      <c r="D6" s="37"/>
      <c r="E6" s="38"/>
      <c r="F6" s="38"/>
      <c r="G6" s="5" t="s">
        <v>62</v>
      </c>
      <c r="H6" s="16">
        <v>850</v>
      </c>
      <c r="I6" s="17">
        <f t="shared" si="0"/>
        <v>850</v>
      </c>
    </row>
    <row r="7" spans="1:9" x14ac:dyDescent="0.25">
      <c r="A7" s="39"/>
      <c r="B7" s="36"/>
      <c r="C7" s="37"/>
      <c r="D7" s="37"/>
      <c r="E7" s="38"/>
      <c r="F7" s="38"/>
      <c r="G7" s="5" t="s">
        <v>63</v>
      </c>
      <c r="H7" s="16">
        <v>2458</v>
      </c>
      <c r="I7" s="17" t="str">
        <f t="shared" si="0"/>
        <v>Descartado</v>
      </c>
    </row>
    <row r="8" spans="1:9" x14ac:dyDescent="0.25">
      <c r="A8" s="39"/>
      <c r="B8" s="36"/>
      <c r="C8" s="37"/>
      <c r="D8" s="37"/>
      <c r="E8" s="38"/>
      <c r="F8" s="38"/>
      <c r="G8" s="5" t="s">
        <v>64</v>
      </c>
      <c r="H8" s="16">
        <v>3099</v>
      </c>
      <c r="I8" s="17" t="str">
        <f t="shared" si="0"/>
        <v>Descartado</v>
      </c>
    </row>
    <row r="9" spans="1:9" x14ac:dyDescent="0.25">
      <c r="A9" s="39"/>
      <c r="B9" s="36"/>
      <c r="C9" s="37"/>
      <c r="D9" s="37"/>
      <c r="E9" s="38"/>
      <c r="F9" s="38"/>
      <c r="G9" s="5" t="s">
        <v>65</v>
      </c>
      <c r="H9" s="16">
        <v>770</v>
      </c>
      <c r="I9" s="17">
        <f t="shared" si="0"/>
        <v>770</v>
      </c>
    </row>
    <row r="10" spans="1:9" x14ac:dyDescent="0.25">
      <c r="A10" s="39"/>
      <c r="B10" s="36"/>
      <c r="C10" s="37"/>
      <c r="D10" s="37"/>
      <c r="E10" s="38"/>
      <c r="F10" s="38"/>
      <c r="G10" s="5" t="s">
        <v>66</v>
      </c>
      <c r="H10" s="16">
        <v>630</v>
      </c>
      <c r="I10" s="17">
        <f t="shared" si="0"/>
        <v>630</v>
      </c>
    </row>
    <row r="11" spans="1:9" x14ac:dyDescent="0.25">
      <c r="A11" s="39"/>
      <c r="B11" s="36"/>
      <c r="C11" s="37"/>
      <c r="D11" s="37"/>
      <c r="E11" s="38"/>
      <c r="F11" s="38"/>
      <c r="G11" s="5" t="s">
        <v>67</v>
      </c>
      <c r="H11" s="16">
        <v>765</v>
      </c>
      <c r="I11" s="17">
        <f t="shared" si="0"/>
        <v>765</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895.11521604763266</v>
      </c>
      <c r="B20" s="8">
        <f>COUNT(H3:H17)</f>
        <v>9</v>
      </c>
      <c r="C20" s="9">
        <f>IF(B20&lt;2,"n/a",(A20/D20))</f>
        <v>0.72773594800620545</v>
      </c>
      <c r="D20" s="10">
        <f>IFERROR(ROUND(AVERAGE(H3:H17),2),"")</f>
        <v>1230</v>
      </c>
      <c r="E20" s="15">
        <f>IFERROR(ROUND(IF(B20&lt;2,"n/a",(IF(C20&lt;=25%,"n/a",AVERAGE(I3:I17)))),2),"n/a")</f>
        <v>787.57</v>
      </c>
      <c r="F20" s="10">
        <f>IFERROR(ROUND(MEDIAN(H3:H17),2),"")</f>
        <v>846</v>
      </c>
      <c r="G20" s="11" t="str">
        <f>IFERROR(INDEX(G3:G17,MATCH(H20,H3:H17,0)),"")</f>
        <v>ALER COMERCIO DE MOVEIS LTDA</v>
      </c>
      <c r="H20" s="12">
        <f>F3</f>
        <v>630</v>
      </c>
    </row>
    <row r="22" spans="1:9" x14ac:dyDescent="0.25">
      <c r="G22" s="13" t="s">
        <v>20</v>
      </c>
      <c r="H22" s="14">
        <f>IF(C20&lt;=25%,D20,MIN(E20:F20))</f>
        <v>787.57</v>
      </c>
    </row>
    <row r="23" spans="1:9" x14ac:dyDescent="0.25">
      <c r="G23" s="13" t="s">
        <v>6</v>
      </c>
      <c r="H23" s="14">
        <f>ROUND(H22,2)*D3</f>
        <v>3937.8500000000004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F3" sqref="F3:F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25</v>
      </c>
      <c r="B3" s="35" t="s">
        <v>221</v>
      </c>
      <c r="C3" s="37" t="s">
        <v>7</v>
      </c>
      <c r="D3" s="37">
        <v>15</v>
      </c>
      <c r="E3" s="38">
        <f>IF(C20&lt;=25%,D20,MIN(E20:F20))</f>
        <v>948.5</v>
      </c>
      <c r="F3" s="38">
        <f>MIN(H3:H17)</f>
        <v>699</v>
      </c>
      <c r="G3" s="5" t="s">
        <v>55</v>
      </c>
      <c r="H3" s="16">
        <v>840</v>
      </c>
      <c r="I3" s="17" t="str">
        <f>IF(H3="","",(IF($C$20&lt;25%,"n/a",IF(H3&lt;=($D$20+$A$20),H3,"Descartado"))))</f>
        <v>n/a</v>
      </c>
    </row>
    <row r="4" spans="1:9" x14ac:dyDescent="0.25">
      <c r="A4" s="39"/>
      <c r="B4" s="36"/>
      <c r="C4" s="37"/>
      <c r="D4" s="37"/>
      <c r="E4" s="38"/>
      <c r="F4" s="38"/>
      <c r="G4" s="5" t="s">
        <v>56</v>
      </c>
      <c r="H4" s="16">
        <v>1100</v>
      </c>
      <c r="I4" s="17" t="str">
        <f t="shared" ref="I4:I17" si="0">IF(H4="","",(IF($C$20&lt;25%,"n/a",IF(H4&lt;=($D$20+$A$20),H4,"Descartado"))))</f>
        <v>n/a</v>
      </c>
    </row>
    <row r="5" spans="1:9" x14ac:dyDescent="0.25">
      <c r="A5" s="39"/>
      <c r="B5" s="36"/>
      <c r="C5" s="37"/>
      <c r="D5" s="37"/>
      <c r="E5" s="38"/>
      <c r="F5" s="38"/>
      <c r="G5" s="5" t="s">
        <v>57</v>
      </c>
      <c r="H5" s="16">
        <v>1155</v>
      </c>
      <c r="I5" s="17" t="str">
        <f t="shared" si="0"/>
        <v>n/a</v>
      </c>
    </row>
    <row r="6" spans="1:9" x14ac:dyDescent="0.25">
      <c r="A6" s="39"/>
      <c r="B6" s="36"/>
      <c r="C6" s="37"/>
      <c r="D6" s="37"/>
      <c r="E6" s="38"/>
      <c r="F6" s="38"/>
      <c r="G6" s="5" t="s">
        <v>58</v>
      </c>
      <c r="H6" s="16">
        <v>699</v>
      </c>
      <c r="I6" s="17" t="str">
        <f t="shared" si="0"/>
        <v>n/a</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215.72899666016156</v>
      </c>
      <c r="B20" s="8">
        <f>COUNT(H3:H17)</f>
        <v>4</v>
      </c>
      <c r="C20" s="9">
        <f>IF(B20&lt;2,"n/a",(A20/D20))</f>
        <v>0.22744227375873649</v>
      </c>
      <c r="D20" s="10">
        <f>IFERROR(ROUND(AVERAGE(H3:H17),2),"")</f>
        <v>948.5</v>
      </c>
      <c r="E20" s="15" t="str">
        <f>IFERROR(ROUND(IF(B20&lt;2,"n/a",(IF(C20&lt;=25%,"n/a",AVERAGE(I3:I17)))),2),"n/a")</f>
        <v>n/a</v>
      </c>
      <c r="F20" s="10">
        <f>IFERROR(ROUND(MEDIAN(H3:H17),2),"")</f>
        <v>970</v>
      </c>
      <c r="G20" s="11" t="str">
        <f>IFERROR(INDEX(G3:G17,MATCH(H20,H3:H17,0)),"")</f>
        <v>SANTISSIMA TRINDADE COMERCIO E SERVICOS LTDA</v>
      </c>
      <c r="H20" s="12">
        <f>F3</f>
        <v>699</v>
      </c>
    </row>
    <row r="22" spans="1:9" x14ac:dyDescent="0.25">
      <c r="G22" s="13" t="s">
        <v>20</v>
      </c>
      <c r="H22" s="14">
        <f>IF(C20&lt;=25%,D20,MIN(E20:F20))</f>
        <v>948.5</v>
      </c>
    </row>
    <row r="23" spans="1:9" x14ac:dyDescent="0.25">
      <c r="G23" s="13" t="s">
        <v>6</v>
      </c>
      <c r="H23" s="14">
        <f>ROUND(H22,2)*D3</f>
        <v>14227.5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N39" sqref="N39"/>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26</v>
      </c>
      <c r="B3" s="35" t="s">
        <v>222</v>
      </c>
      <c r="C3" s="37" t="s">
        <v>7</v>
      </c>
      <c r="D3" s="37">
        <v>50</v>
      </c>
      <c r="E3" s="38">
        <f>IF(C20&lt;=25%,D20,MIN(E20:F20))</f>
        <v>359.46</v>
      </c>
      <c r="F3" s="38">
        <f>MIN(H3:H17)</f>
        <v>255.84</v>
      </c>
      <c r="G3" s="5" t="s">
        <v>224</v>
      </c>
      <c r="H3" s="16">
        <v>336</v>
      </c>
      <c r="I3" s="17">
        <f>IF(H3="","",(IF($C$20&lt;25%,"n/a",IF(H3&lt;=($D$20+$A$20),H3,"Descartado"))))</f>
        <v>336</v>
      </c>
    </row>
    <row r="4" spans="1:9" x14ac:dyDescent="0.25">
      <c r="A4" s="39"/>
      <c r="B4" s="36"/>
      <c r="C4" s="37"/>
      <c r="D4" s="37"/>
      <c r="E4" s="38"/>
      <c r="F4" s="38"/>
      <c r="G4" s="5" t="s">
        <v>225</v>
      </c>
      <c r="H4" s="16">
        <v>256</v>
      </c>
      <c r="I4" s="17">
        <f t="shared" ref="I4:I17" si="0">IF(H4="","",(IF($C$20&lt;25%,"n/a",IF(H4&lt;=($D$20+$A$20),H4,"Descartado"))))</f>
        <v>256</v>
      </c>
    </row>
    <row r="5" spans="1:9" x14ac:dyDescent="0.25">
      <c r="A5" s="39"/>
      <c r="B5" s="36"/>
      <c r="C5" s="37"/>
      <c r="D5" s="37"/>
      <c r="E5" s="38"/>
      <c r="F5" s="38"/>
      <c r="G5" s="5" t="s">
        <v>226</v>
      </c>
      <c r="H5" s="16">
        <v>1200</v>
      </c>
      <c r="I5" s="17" t="str">
        <f t="shared" si="0"/>
        <v>Descartado</v>
      </c>
    </row>
    <row r="6" spans="1:9" x14ac:dyDescent="0.25">
      <c r="A6" s="39"/>
      <c r="B6" s="36"/>
      <c r="C6" s="37"/>
      <c r="D6" s="37"/>
      <c r="E6" s="38"/>
      <c r="F6" s="38"/>
      <c r="G6" s="5" t="s">
        <v>227</v>
      </c>
      <c r="H6" s="16">
        <v>1200</v>
      </c>
      <c r="I6" s="17" t="str">
        <f t="shared" si="0"/>
        <v>Descartado</v>
      </c>
    </row>
    <row r="7" spans="1:9" x14ac:dyDescent="0.25">
      <c r="A7" s="39"/>
      <c r="B7" s="36"/>
      <c r="C7" s="37"/>
      <c r="D7" s="37"/>
      <c r="E7" s="38"/>
      <c r="F7" s="38"/>
      <c r="G7" s="5" t="s">
        <v>228</v>
      </c>
      <c r="H7" s="16">
        <v>590</v>
      </c>
      <c r="I7" s="17">
        <f t="shared" si="0"/>
        <v>590</v>
      </c>
    </row>
    <row r="8" spans="1:9" x14ac:dyDescent="0.25">
      <c r="A8" s="39"/>
      <c r="B8" s="36"/>
      <c r="C8" s="37"/>
      <c r="D8" s="37"/>
      <c r="E8" s="38"/>
      <c r="F8" s="38"/>
      <c r="G8" s="5" t="s">
        <v>211</v>
      </c>
      <c r="H8" s="16">
        <v>255.84</v>
      </c>
      <c r="I8" s="17">
        <f t="shared" si="0"/>
        <v>255.84</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451.03217800950733</v>
      </c>
      <c r="B20" s="8">
        <f>COUNT(H3:H17)</f>
        <v>6</v>
      </c>
      <c r="C20" s="9">
        <f>IF(B20&lt;2,"n/a",(A20/D20))</f>
        <v>0.70513441624899531</v>
      </c>
      <c r="D20" s="10">
        <f>IFERROR(ROUND(AVERAGE(H3:H17),2),"")</f>
        <v>639.64</v>
      </c>
      <c r="E20" s="15">
        <f>IFERROR(ROUND(IF(B20&lt;2,"n/a",(IF(C20&lt;=25%,"n/a",AVERAGE(I3:I17)))),2),"n/a")</f>
        <v>359.46</v>
      </c>
      <c r="F20" s="10">
        <f>IFERROR(ROUND(MEDIAN(H3:H17),2),"")</f>
        <v>463</v>
      </c>
      <c r="G20" s="11" t="str">
        <f>IFERROR(INDEX(G3:G17,MATCH(H20,H3:H17,0)),"")</f>
        <v>FARIA RODRIGUES INDUSTRIA DE MOVEIS LTDA</v>
      </c>
      <c r="H20" s="12">
        <f>F3</f>
        <v>255.84</v>
      </c>
    </row>
    <row r="22" spans="1:9" x14ac:dyDescent="0.25">
      <c r="G22" s="13" t="s">
        <v>20</v>
      </c>
      <c r="H22" s="14">
        <f>IF(C20&lt;=25%,D20,MIN(E20:F20))</f>
        <v>359.46</v>
      </c>
    </row>
    <row r="23" spans="1:9" x14ac:dyDescent="0.25">
      <c r="G23" s="13" t="s">
        <v>6</v>
      </c>
      <c r="H23" s="14">
        <f>ROUND(H22,2)*D3</f>
        <v>17973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9" sqref="G9"/>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7" t="s">
        <v>1</v>
      </c>
      <c r="B2" s="7" t="s">
        <v>2</v>
      </c>
      <c r="C2" s="7" t="s">
        <v>3</v>
      </c>
      <c r="D2" s="7" t="s">
        <v>4</v>
      </c>
      <c r="E2" s="7" t="s">
        <v>9</v>
      </c>
      <c r="F2" s="7" t="s">
        <v>10</v>
      </c>
      <c r="G2" s="7" t="s">
        <v>11</v>
      </c>
      <c r="H2" s="7" t="s">
        <v>12</v>
      </c>
      <c r="I2" s="7" t="s">
        <v>13</v>
      </c>
    </row>
    <row r="3" spans="1:9" x14ac:dyDescent="0.25">
      <c r="A3" s="39">
        <v>27</v>
      </c>
      <c r="B3" s="35" t="s">
        <v>223</v>
      </c>
      <c r="C3" s="37" t="s">
        <v>7</v>
      </c>
      <c r="D3" s="37">
        <v>50</v>
      </c>
      <c r="E3" s="38">
        <f>IF(C20&lt;=25%,D20,MIN(E20:F20))</f>
        <v>447.33</v>
      </c>
      <c r="F3" s="38">
        <f>MIN(H3:H17)</f>
        <v>300</v>
      </c>
      <c r="G3" s="5" t="s">
        <v>170</v>
      </c>
      <c r="H3" s="16">
        <v>300</v>
      </c>
      <c r="I3" s="17">
        <f>IF(H3="","",(IF($C$20&lt;25%,"n/a",IF(H3&lt;=($D$20+$A$20),H3,"Descartado"))))</f>
        <v>300</v>
      </c>
    </row>
    <row r="4" spans="1:9" x14ac:dyDescent="0.25">
      <c r="A4" s="39"/>
      <c r="B4" s="36"/>
      <c r="C4" s="37"/>
      <c r="D4" s="37"/>
      <c r="E4" s="38"/>
      <c r="F4" s="38"/>
      <c r="G4" s="5" t="s">
        <v>85</v>
      </c>
      <c r="H4" s="16">
        <v>580</v>
      </c>
      <c r="I4" s="17">
        <f t="shared" ref="I4:I17" si="0">IF(H4="","",(IF($C$20&lt;25%,"n/a",IF(H4&lt;=($D$20+$A$20),H4,"Descartado"))))</f>
        <v>580</v>
      </c>
    </row>
    <row r="5" spans="1:9" x14ac:dyDescent="0.25">
      <c r="A5" s="39"/>
      <c r="B5" s="36"/>
      <c r="C5" s="37"/>
      <c r="D5" s="37"/>
      <c r="E5" s="38"/>
      <c r="F5" s="38"/>
      <c r="G5" s="5" t="s">
        <v>229</v>
      </c>
      <c r="H5" s="16">
        <v>920.7</v>
      </c>
      <c r="I5" s="17" t="str">
        <f t="shared" si="0"/>
        <v>Descartado</v>
      </c>
    </row>
    <row r="6" spans="1:9" x14ac:dyDescent="0.25">
      <c r="A6" s="39"/>
      <c r="B6" s="36"/>
      <c r="C6" s="37"/>
      <c r="D6" s="37"/>
      <c r="E6" s="38"/>
      <c r="F6" s="38"/>
      <c r="G6" s="5" t="s">
        <v>230</v>
      </c>
      <c r="H6" s="16">
        <v>462</v>
      </c>
      <c r="I6" s="17">
        <f t="shared" si="0"/>
        <v>462</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14</v>
      </c>
      <c r="B19" s="7" t="s">
        <v>15</v>
      </c>
      <c r="C19" s="7" t="s">
        <v>25</v>
      </c>
      <c r="D19" s="7" t="s">
        <v>16</v>
      </c>
      <c r="E19" s="7" t="s">
        <v>17</v>
      </c>
      <c r="F19" s="7" t="s">
        <v>18</v>
      </c>
      <c r="G19" s="33" t="s">
        <v>19</v>
      </c>
      <c r="H19" s="33"/>
    </row>
    <row r="20" spans="1:9" x14ac:dyDescent="0.25">
      <c r="A20" s="8">
        <f>IF(B20&lt;2,"n/a",(_xlfn.STDEV.S(H3:H17)))</f>
        <v>263.04604634930394</v>
      </c>
      <c r="B20" s="8">
        <f>COUNT(H3:H17)</f>
        <v>4</v>
      </c>
      <c r="C20" s="9">
        <f>IF(B20&lt;2,"n/a",(A20/D20))</f>
        <v>0.46500856729830287</v>
      </c>
      <c r="D20" s="10">
        <f>IFERROR(ROUND(AVERAGE(H3:H17),2),"")</f>
        <v>565.67999999999995</v>
      </c>
      <c r="E20" s="15">
        <f>IFERROR(ROUND(IF(B20&lt;2,"n/a",(IF(C20&lt;=25%,"n/a",AVERAGE(I3:I17)))),2),"n/a")</f>
        <v>447.33</v>
      </c>
      <c r="F20" s="10">
        <f>IFERROR(ROUND(MEDIAN(H3:H17),2),"")</f>
        <v>521</v>
      </c>
      <c r="G20" s="11" t="str">
        <f>IFERROR(INDEX(G3:G17,MATCH(H20,H3:H17,0)),"")</f>
        <v>PRIMAX INDUSTRIA E COMERCIO DE MOVEIS LTDA</v>
      </c>
      <c r="H20" s="12">
        <f>F3</f>
        <v>300</v>
      </c>
    </row>
    <row r="22" spans="1:9" x14ac:dyDescent="0.25">
      <c r="G22" s="13" t="s">
        <v>20</v>
      </c>
      <c r="H22" s="14">
        <f>IF(C20&lt;=25%,D20,MIN(E20:F20))</f>
        <v>447.33</v>
      </c>
    </row>
    <row r="23" spans="1:9" x14ac:dyDescent="0.25">
      <c r="G23" s="13" t="s">
        <v>6</v>
      </c>
      <c r="H23" s="14">
        <f>ROUND(H22,2)*D3</f>
        <v>22366.5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
  <sheetViews>
    <sheetView tabSelected="1" view="pageBreakPreview" topLeftCell="A26" zoomScaleNormal="100" zoomScaleSheetLayoutView="100" workbookViewId="0">
      <selection activeCell="B30" sqref="B30"/>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40" t="s">
        <v>0</v>
      </c>
      <c r="B1" s="40"/>
      <c r="C1" s="40"/>
      <c r="D1" s="40"/>
      <c r="E1" s="40"/>
      <c r="F1" s="40"/>
      <c r="G1" s="40"/>
    </row>
    <row r="2" spans="1:7" ht="24" x14ac:dyDescent="0.25">
      <c r="A2" s="6" t="s">
        <v>29</v>
      </c>
      <c r="B2" s="6" t="s">
        <v>1</v>
      </c>
      <c r="C2" s="6" t="s">
        <v>2</v>
      </c>
      <c r="D2" s="6" t="s">
        <v>3</v>
      </c>
      <c r="E2" s="6" t="s">
        <v>4</v>
      </c>
      <c r="F2" s="6" t="s">
        <v>5</v>
      </c>
      <c r="G2" s="6" t="s">
        <v>30</v>
      </c>
    </row>
    <row r="3" spans="1:7" ht="30" x14ac:dyDescent="0.25">
      <c r="A3" s="25">
        <v>1</v>
      </c>
      <c r="B3" s="25">
        <f>Item1!A3</f>
        <v>1</v>
      </c>
      <c r="C3" s="27" t="str">
        <f>Item1!B3</f>
        <v>Mesa de escritório com tampo em formato “L” código: 476425</v>
      </c>
      <c r="D3" s="25" t="str">
        <f>Item1!C3</f>
        <v>unidade</v>
      </c>
      <c r="E3" s="25">
        <f>Item1!D3</f>
        <v>60</v>
      </c>
      <c r="F3" s="26">
        <f>Item1!E3</f>
        <v>753.15</v>
      </c>
      <c r="G3" s="26">
        <f>ROUND((E3*F3),2)</f>
        <v>45189</v>
      </c>
    </row>
    <row r="4" spans="1:7" ht="30" x14ac:dyDescent="0.25">
      <c r="A4" s="25">
        <v>1</v>
      </c>
      <c r="B4" s="25">
        <f>Item2!A3</f>
        <v>2</v>
      </c>
      <c r="C4" s="27" t="str">
        <f>Item2!B3</f>
        <v>Mesa de escritório com tampo em formato “L” código: 476425</v>
      </c>
      <c r="D4" s="25" t="str">
        <f>Item2!C3</f>
        <v>unidade</v>
      </c>
      <c r="E4" s="25">
        <f>Item2!D3</f>
        <v>60</v>
      </c>
      <c r="F4" s="26">
        <f>Item2!E3</f>
        <v>753.15</v>
      </c>
      <c r="G4" s="26">
        <f t="shared" ref="G4:G29" si="0">ROUND((E4*F4),2)</f>
        <v>45189</v>
      </c>
    </row>
    <row r="5" spans="1:7" ht="45" x14ac:dyDescent="0.25">
      <c r="A5" s="25">
        <v>1</v>
      </c>
      <c r="B5" s="25">
        <f>Item3!A3</f>
        <v>3</v>
      </c>
      <c r="C5" s="27" t="str">
        <f>Item3!B3</f>
        <v>Mesa de escritório com tampo em formato
retangular código: 623620</v>
      </c>
      <c r="D5" s="25" t="str">
        <f>Item3!C3</f>
        <v>unidade</v>
      </c>
      <c r="E5" s="25">
        <f>Item3!D3</f>
        <v>30</v>
      </c>
      <c r="F5" s="26">
        <f>Item3!E3</f>
        <v>1333.33</v>
      </c>
      <c r="G5" s="26">
        <f t="shared" si="0"/>
        <v>39999.9</v>
      </c>
    </row>
    <row r="6" spans="1:7" ht="45" x14ac:dyDescent="0.25">
      <c r="A6" s="25">
        <v>1</v>
      </c>
      <c r="B6" s="25">
        <f>Item4!A3</f>
        <v>4</v>
      </c>
      <c r="C6" s="27" t="str">
        <f>Item4!B3</f>
        <v>Mesa de escritório com tampo em formato
retangular código: 483246</v>
      </c>
      <c r="D6" s="25" t="str">
        <f>Item4!C3</f>
        <v>unidade</v>
      </c>
      <c r="E6" s="25">
        <f>Item4!D3</f>
        <v>50</v>
      </c>
      <c r="F6" s="26">
        <f>Item4!E3</f>
        <v>525</v>
      </c>
      <c r="G6" s="26">
        <f t="shared" si="0"/>
        <v>26250</v>
      </c>
    </row>
    <row r="7" spans="1:7" ht="60" x14ac:dyDescent="0.25">
      <c r="A7" s="25">
        <v>1</v>
      </c>
      <c r="B7" s="25">
        <f>Item5!A3</f>
        <v>5</v>
      </c>
      <c r="C7" s="27" t="str">
        <f>Item5!B3</f>
        <v xml:space="preserve">Mesa de escritório com tampo em formato
peninsular 329681
</v>
      </c>
      <c r="D7" s="25" t="str">
        <f>Item5!C3</f>
        <v>unidade</v>
      </c>
      <c r="E7" s="25">
        <f>Item5!D3</f>
        <v>5</v>
      </c>
      <c r="F7" s="26">
        <f>Item5!E3</f>
        <v>1237.5</v>
      </c>
      <c r="G7" s="26">
        <f t="shared" si="0"/>
        <v>6187.5</v>
      </c>
    </row>
    <row r="8" spans="1:7" ht="60" x14ac:dyDescent="0.25">
      <c r="A8" s="25">
        <v>1</v>
      </c>
      <c r="B8" s="25">
        <f>Item6!A3</f>
        <v>6</v>
      </c>
      <c r="C8" s="27" t="str">
        <f>Item6!B3</f>
        <v xml:space="preserve">Mesa de escritório com tampo em formato
peninsular 329681
</v>
      </c>
      <c r="D8" s="25" t="str">
        <f>Item6!C3</f>
        <v>unidade</v>
      </c>
      <c r="E8" s="25">
        <f>Item6!D3</f>
        <v>5</v>
      </c>
      <c r="F8" s="26">
        <f>Item6!E3</f>
        <v>1237.5</v>
      </c>
      <c r="G8" s="26">
        <f t="shared" si="0"/>
        <v>6187.5</v>
      </c>
    </row>
    <row r="9" spans="1:7" ht="30" x14ac:dyDescent="0.25">
      <c r="A9" s="25">
        <v>1</v>
      </c>
      <c r="B9" s="25">
        <f>Item7!A3</f>
        <v>7</v>
      </c>
      <c r="C9" s="27" t="str">
        <f>Item7!B3</f>
        <v>Mesa de reunião com tampo em formato circular código: 262911</v>
      </c>
      <c r="D9" s="25" t="str">
        <f>Item7!C3</f>
        <v>unidade</v>
      </c>
      <c r="E9" s="25">
        <f>Item7!D3</f>
        <v>20</v>
      </c>
      <c r="F9" s="26">
        <f>Item7!E3</f>
        <v>1032.33</v>
      </c>
      <c r="G9" s="26">
        <f t="shared" si="0"/>
        <v>20646.599999999999</v>
      </c>
    </row>
    <row r="10" spans="1:7" ht="30" x14ac:dyDescent="0.25">
      <c r="A10" s="25">
        <v>1</v>
      </c>
      <c r="B10" s="25">
        <f>Item8!A3</f>
        <v>8</v>
      </c>
      <c r="C10" s="27" t="str">
        <f>Item8!B3</f>
        <v>Mesa de reunião com tampo em formato elíptico código: 437104</v>
      </c>
      <c r="D10" s="25" t="str">
        <f>Item8!C3</f>
        <v>unidade</v>
      </c>
      <c r="E10" s="25">
        <f>Item8!D3</f>
        <v>5</v>
      </c>
      <c r="F10" s="26">
        <f>Item8!E3</f>
        <v>1455.67</v>
      </c>
      <c r="G10" s="26">
        <f t="shared" si="0"/>
        <v>7278.35</v>
      </c>
    </row>
    <row r="11" spans="1:7" x14ac:dyDescent="0.25">
      <c r="A11" s="25">
        <v>1</v>
      </c>
      <c r="B11" s="25">
        <f>Item9!A3</f>
        <v>9</v>
      </c>
      <c r="C11" s="27" t="str">
        <f>Item9!B3</f>
        <v>Gaveteiro volante código: 462075</v>
      </c>
      <c r="D11" s="25" t="str">
        <f>Item9!C3</f>
        <v>unidade</v>
      </c>
      <c r="E11" s="25">
        <f>Item9!D3</f>
        <v>130</v>
      </c>
      <c r="F11" s="26">
        <f>Item9!E3</f>
        <v>551.62</v>
      </c>
      <c r="G11" s="26">
        <f t="shared" si="0"/>
        <v>71710.600000000006</v>
      </c>
    </row>
    <row r="12" spans="1:7" x14ac:dyDescent="0.25">
      <c r="A12" s="25">
        <v>2</v>
      </c>
      <c r="B12" s="25">
        <f>Item10!A3</f>
        <v>10</v>
      </c>
      <c r="C12" s="27" t="str">
        <f>Item10!B3</f>
        <v>Armário alto código: 393010</v>
      </c>
      <c r="D12" s="25" t="str">
        <f>Item10!C3</f>
        <v>unidade</v>
      </c>
      <c r="E12" s="25">
        <f>Item10!D3</f>
        <v>50</v>
      </c>
      <c r="F12" s="26">
        <f>Item10!E3</f>
        <v>788.32</v>
      </c>
      <c r="G12" s="26">
        <f t="shared" si="0"/>
        <v>39416</v>
      </c>
    </row>
    <row r="13" spans="1:7" x14ac:dyDescent="0.25">
      <c r="A13" s="25">
        <v>2</v>
      </c>
      <c r="B13" s="25">
        <f>Item11!A3</f>
        <v>11</v>
      </c>
      <c r="C13" s="27" t="str">
        <f>Item11!B3</f>
        <v>Armário baixo código: 266920</v>
      </c>
      <c r="D13" s="25" t="str">
        <f>Item11!C3</f>
        <v>unidade</v>
      </c>
      <c r="E13" s="25">
        <f>Item11!D3</f>
        <v>20</v>
      </c>
      <c r="F13" s="26">
        <f>Item11!E3</f>
        <v>650</v>
      </c>
      <c r="G13" s="26">
        <f t="shared" si="0"/>
        <v>13000</v>
      </c>
    </row>
    <row r="14" spans="1:7" ht="45" x14ac:dyDescent="0.25">
      <c r="A14" s="25">
        <v>3</v>
      </c>
      <c r="B14" s="25">
        <f>Item12!A3</f>
        <v>12</v>
      </c>
      <c r="C14" s="27" t="str">
        <f>Item12!B3</f>
        <v>Cadeira giratória operacional com espaldar
médio código: 485840</v>
      </c>
      <c r="D14" s="25" t="str">
        <f>Item12!C3</f>
        <v>unidade</v>
      </c>
      <c r="E14" s="25">
        <f>Item12!D3</f>
        <v>120</v>
      </c>
      <c r="F14" s="26">
        <f>Item12!E3</f>
        <v>430.3</v>
      </c>
      <c r="G14" s="26">
        <f t="shared" si="0"/>
        <v>51636</v>
      </c>
    </row>
    <row r="15" spans="1:7" ht="30" x14ac:dyDescent="0.25">
      <c r="A15" s="25">
        <v>3</v>
      </c>
      <c r="B15" s="25">
        <f>Item13!A3</f>
        <v>13</v>
      </c>
      <c r="C15" s="27" t="str">
        <f>Item13!B3</f>
        <v>Cadeiradediálogo–sembraços código: 486777</v>
      </c>
      <c r="D15" s="25" t="str">
        <f>Item13!C3</f>
        <v>unidade</v>
      </c>
      <c r="E15" s="25">
        <f>Item13!D3</f>
        <v>50</v>
      </c>
      <c r="F15" s="26">
        <f>Item13!E3</f>
        <v>369.11</v>
      </c>
      <c r="G15" s="26">
        <f t="shared" si="0"/>
        <v>18455.5</v>
      </c>
    </row>
    <row r="16" spans="1:7" ht="60" x14ac:dyDescent="0.25">
      <c r="A16" s="25">
        <v>4</v>
      </c>
      <c r="B16" s="25">
        <f>Item14!A3</f>
        <v>14</v>
      </c>
      <c r="C16" s="27" t="str">
        <f>Item14!B3</f>
        <v xml:space="preserve">Cadeira giratória operacional com espaldar
alto código: 445779
</v>
      </c>
      <c r="D16" s="25" t="str">
        <f>Item14!C3</f>
        <v>unidade</v>
      </c>
      <c r="E16" s="25">
        <f>Item14!D3</f>
        <v>20</v>
      </c>
      <c r="F16" s="26">
        <f>Item14!E3</f>
        <v>683.58</v>
      </c>
      <c r="G16" s="26">
        <f t="shared" si="0"/>
        <v>13671.6</v>
      </c>
    </row>
    <row r="17" spans="1:7" ht="60" x14ac:dyDescent="0.25">
      <c r="A17" s="25">
        <v>4</v>
      </c>
      <c r="B17" s="25">
        <f>Item15!A3</f>
        <v>15</v>
      </c>
      <c r="C17" s="27" t="str">
        <f>Item15!B3</f>
        <v xml:space="preserve">Cadeira giratória operacional com espaldar
altoeapoiodecabeça código: 484126
</v>
      </c>
      <c r="D17" s="25" t="str">
        <f>Item15!C3</f>
        <v>unidade</v>
      </c>
      <c r="E17" s="25">
        <f>Item15!D3</f>
        <v>20</v>
      </c>
      <c r="F17" s="26">
        <f>Item15!E3</f>
        <v>703.49</v>
      </c>
      <c r="G17" s="26">
        <f t="shared" si="0"/>
        <v>14069.8</v>
      </c>
    </row>
    <row r="18" spans="1:7" ht="409.5" x14ac:dyDescent="0.25">
      <c r="A18" s="25" t="s">
        <v>231</v>
      </c>
      <c r="B18" s="25">
        <f>Item16!A3</f>
        <v>16</v>
      </c>
      <c r="C18" s="27" t="str">
        <f>Item16!B3</f>
        <v>MESA AUXILIAR, com as seguintes especificações:
 Tampo único em MDP ou MDF, espessura de 25
mm, admitindo-se variação de ± 5 mm,
revestido em ambas as faces com laminado
melamínico na cor argila, bege oumarfim;
 Bordas retas em termoplástico, na cor do
tampo, espessura mínima de 2mm;
 Painel frontal, espessura de 20 mm, admitindose variação de ± 5 mm, revestido em ambas as
faces com laminado melamínico na cor do
tampo oucinza;
 Dimensões: 800 mm x 600 mm x 735 mm
(lxpxh), admitidas variações de +100 mm para largura, de ±50 mm para profundidade e de ±5
mm paraaltura;
 Estruturas laterais metálicas, com calha vertical
metálica para passagem de fiação, pintadas em
epóxi-pó por processo eletrostático na cor cinza
oupreta;
 Tratamento anti-corrosivo à base de fosfato
dezinco;
 Todos os componentes metálicos aparentes em
cor cinza oupreta;
 Sapatas reguladoras de nível em nylon ou
polímero resistente;
 Saída de cabeamento da parte inferior para a
superior com tampa removível, produzida com
divisores que permitam a individualização
doscircuitos;
Calha horizontal para cabeamento sob otampo</v>
      </c>
      <c r="D18" s="25" t="str">
        <f>Item16!C3</f>
        <v>unidade</v>
      </c>
      <c r="E18" s="25">
        <f>Item16!D3</f>
        <v>50</v>
      </c>
      <c r="F18" s="26">
        <f>Item16!E3</f>
        <v>632.5</v>
      </c>
      <c r="G18" s="26">
        <f t="shared" si="0"/>
        <v>31625</v>
      </c>
    </row>
    <row r="19" spans="1:7" ht="195" x14ac:dyDescent="0.25">
      <c r="A19" s="25" t="s">
        <v>231</v>
      </c>
      <c r="B19" s="25">
        <f>Item17!A3</f>
        <v>17</v>
      </c>
      <c r="C19" s="27" t="str">
        <f>Item17!B3</f>
        <v>QUADRO DE AVISO, com as seguintes
especificações:
 Confeccionado em cortiça ou Celotex revestido
com feltro na cor azul ou verde;
 Moldura em alumínio, dotada de furos ou
dispositivo para fixação em parede;
 Dimensões podendo variar de: 1.000 mm a
1.200 mm (largura) x 800 mm a 900 mm
(altura); Código: 486401</v>
      </c>
      <c r="D19" s="25" t="str">
        <f>Item17!C3</f>
        <v>unidade</v>
      </c>
      <c r="E19" s="25">
        <f>Item17!D3</f>
        <v>50</v>
      </c>
      <c r="F19" s="26">
        <f>Item17!E3</f>
        <v>62.3</v>
      </c>
      <c r="G19" s="26">
        <f t="shared" si="0"/>
        <v>3115</v>
      </c>
    </row>
    <row r="20" spans="1:7" ht="285" x14ac:dyDescent="0.25">
      <c r="A20" s="25" t="s">
        <v>231</v>
      </c>
      <c r="B20" s="25">
        <f>Item18!A3</f>
        <v>18</v>
      </c>
      <c r="C20" s="27" t="str">
        <f>Item18!B3</f>
        <v>DESCANÇO PÉS - APOIO ERGONÔMICO PARA OS
PÉS, com as
seguintes especificações:
Base (apoio para os pés) confeccionada em
plástico de alta resistência e antiderrapante;
 Cor preta;
 O apoio para os pés não devem apresentar
quinas vivas;
 Estrutura tubular metálica
 Com pés e/ou sapatas antiderrapantes;
 Dimensões da base podendo variar: 400 a 510
mm (largura) e 280 a 420 mm (profundidade);
 Inclinação ajustável; Código: 328454</v>
      </c>
      <c r="D20" s="25" t="str">
        <f>Item18!C3</f>
        <v>unidade</v>
      </c>
      <c r="E20" s="25">
        <f>Item18!D3</f>
        <v>300</v>
      </c>
      <c r="F20" s="26">
        <f>Item18!E3</f>
        <v>64.63</v>
      </c>
      <c r="G20" s="26">
        <f t="shared" si="0"/>
        <v>19389</v>
      </c>
    </row>
    <row r="21" spans="1:7" ht="315" x14ac:dyDescent="0.25">
      <c r="A21" s="25" t="s">
        <v>231</v>
      </c>
      <c r="B21" s="25">
        <f>Item19!A3</f>
        <v>19</v>
      </c>
      <c r="C21" s="27" t="str">
        <f>Item19!B3</f>
        <v>CADEIRA FIXA SEM BRAÇO, com as seguintes
especificações:
 Assento e encosto produzido em polipropileno
na cor branca.
 Pernas em aço com acabamento cromado ou
em pintura eletroestática na cor cinza, com
tratamento anticorrosivo e com pés e/ou
sapatas antiderrapantes.
 Medindo 51 cm (comprimento), 52 cm (largura)
e 84 cm (altura) admitindo-se variações de ±3
cm no comprimento e na largura e ±4 cm na
altura.
 Resistente à carga estática de no mínimo 140 kg. Código: 350572</v>
      </c>
      <c r="D21" s="25" t="str">
        <f>Item19!C3</f>
        <v>unidade</v>
      </c>
      <c r="E21" s="25">
        <f>Item19!D3</f>
        <v>50</v>
      </c>
      <c r="F21" s="26">
        <f>Item19!E3</f>
        <v>112.37</v>
      </c>
      <c r="G21" s="26">
        <f t="shared" si="0"/>
        <v>5618.5</v>
      </c>
    </row>
    <row r="22" spans="1:7" ht="285" x14ac:dyDescent="0.25">
      <c r="A22" s="25" t="s">
        <v>231</v>
      </c>
      <c r="B22" s="25">
        <f>Item20!A3</f>
        <v>20</v>
      </c>
      <c r="C22" s="27" t="str">
        <f>Item20!B3</f>
        <v>CADEIRA COM RODAS, com as seguintes
especificações:
 Funcionamento manual
 Fabricada em aço carbono
 Estofamento em nylon
 Estrutura dobrável em formato x
 Sistema de freios bilaterais reguláveis
 Rodas dianteiras de 6” maciças
 Rodas traseiras de 24”, injetadas em nylon
com pneus maciços
 Apoio para os braços fixos e apoio para os pés
removível ou retrátil
 Apoio para panturrilha
 Capacidade mínima para 90 kg.
 Largura mínima do assento de 40 cm Código: 427631</v>
      </c>
      <c r="D22" s="25" t="str">
        <f>Item20!C3</f>
        <v>unidade</v>
      </c>
      <c r="E22" s="25">
        <f>Item20!D3</f>
        <v>50</v>
      </c>
      <c r="F22" s="26">
        <f>Item20!E3</f>
        <v>1078.26</v>
      </c>
      <c r="G22" s="26">
        <f t="shared" si="0"/>
        <v>53913</v>
      </c>
    </row>
    <row r="23" spans="1:7" ht="225" x14ac:dyDescent="0.25">
      <c r="A23" s="25" t="s">
        <v>231</v>
      </c>
      <c r="B23" s="25">
        <f>Item21!A3</f>
        <v>21</v>
      </c>
      <c r="C23" s="27" t="str">
        <f>Item21!B3</f>
        <v>GRADE DE PROTEÇÃO/GUARDA CORPO - GRADIS
DE CONTENÇÃO DE PÚBLICO, com as seguintes
especificações:
Altura de 1,2 metros e 2 metros de
comprimento admitindo-se variações de
0,1 metros.
Cor prata
Estrutura em tubo estrutural Pés de Apoio Fixo em tubo estrutural.
Acabamento Galvanizado
Trava Encaixe laminado
Garantia mínima de 12 meses. Código: 481592</v>
      </c>
      <c r="D23" s="25" t="str">
        <f>Item21!C3</f>
        <v>unidade</v>
      </c>
      <c r="E23" s="25">
        <f>Item21!D3</f>
        <v>50</v>
      </c>
      <c r="F23" s="26">
        <f>Item21!E3</f>
        <v>351.13</v>
      </c>
      <c r="G23" s="26">
        <f t="shared" si="0"/>
        <v>17556.5</v>
      </c>
    </row>
    <row r="24" spans="1:7" ht="409.5" x14ac:dyDescent="0.25">
      <c r="A24" s="25" t="s">
        <v>231</v>
      </c>
      <c r="B24" s="25">
        <f>Item22!A3</f>
        <v>22</v>
      </c>
      <c r="C24" s="27" t="str">
        <f>Item22!B3</f>
        <v>ESTANTE EM AÇO FECHADA,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Fechamento lateral e no fundo com painéis
confeccionados em, no mínimo, chapa de aço
26;
 Colunas sustentando as prateleiras chapa de aço
14, estrutura em perfil “L” com dimensões
mínimas de 30 x 30 mm, com encaixes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Sapatas protetoras em nylon ou polímero
resistente para evitar danos ao piso.
Código: 460829</v>
      </c>
      <c r="D24" s="25" t="str">
        <f>Item22!C3</f>
        <v>unidade</v>
      </c>
      <c r="E24" s="25">
        <f>Item22!D3</f>
        <v>100</v>
      </c>
      <c r="F24" s="26">
        <f>Item22!E3</f>
        <v>373.13</v>
      </c>
      <c r="G24" s="26">
        <f t="shared" si="0"/>
        <v>37313</v>
      </c>
    </row>
    <row r="25" spans="1:7" ht="409.5" x14ac:dyDescent="0.25">
      <c r="A25" s="25" t="s">
        <v>231</v>
      </c>
      <c r="B25" s="25">
        <f>Item23!A3</f>
        <v>23</v>
      </c>
      <c r="C25" s="27" t="str">
        <f>Item23!B3</f>
        <v xml:space="preserve">ESTANTE EM AÇO ABERTA, com as
seguintes especificações:
 Dimensões: 920 mm x 400 mm x 1.980 mm
(lxpxh), admitidas variações de ± 50 mm para
largura e profundidade e ± 20 mm paraaltura;
 Pintura em epóxi-pó por processo eletrostático,
com aspecto uniforme, sem manchas, sem
deformidades, sem rugas, sem riscos, na cor
cinza, com tratamento anti-corrosivo à base de
fosfato dezinco;
 Com lateral e fundo abertos, com duas tiras em
aço de reforço, em "X", nas partes superior e
inferior de cada lateral (total de quatro) e uma
no fundo, com largura mínima de 20mm;
 Colunas sustentando as prateleiras, chapa de aço
14, estrutura em perfil “L” com dimensões
mínimas de 30 x 30 mm, com perfurações que
possibilitem graduações das prateleiras a cada
50 mm dealtura;
 Seis prateleiras reguláveis, capacidade de carga
uniforme individual de, no mínimo, 90 kg,
fabricadas em, no mínimo, chapa de aço 22,
com três dobras, afixadas por meio de parafusos
deaço;
 Livre de arestascortantes;
Sapatasprotetorasem nylon oupolímeroresistente
para evitardanosaopiso.
</v>
      </c>
      <c r="D25" s="25" t="str">
        <f>Item23!C3</f>
        <v>unidade</v>
      </c>
      <c r="E25" s="25">
        <f>Item23!D3</f>
        <v>100</v>
      </c>
      <c r="F25" s="26">
        <f>Item23!E3</f>
        <v>471</v>
      </c>
      <c r="G25" s="26">
        <f t="shared" si="0"/>
        <v>47100</v>
      </c>
    </row>
    <row r="26" spans="1:7" ht="390" x14ac:dyDescent="0.25">
      <c r="A26" s="25" t="s">
        <v>231</v>
      </c>
      <c r="B26" s="25">
        <f>Item24!A3</f>
        <v>24</v>
      </c>
      <c r="C26" s="27" t="str">
        <f>Item24!B3</f>
        <v xml:space="preserve">ARMÁRIO DE AÇO P/ VESTIÁRIO, 12
PORTAS,
TIPO ROUPEIRO, com as seguintes
especificações:
Dimensões externas: 1250 mm x 400 mm x 1.950 mm (lxpxh), admitidas variações de ±60 mm largura,±50 mm para altura, e de ± 20 mm para a profundidade;
Confeccionado em chapa de aço 22, inclusive as portas;
 Portas com, no mínimo, dois pontos de
travamento e dobradiçainterna;
Venezianas para ventilação em cadaporta;
 Pintura em epóxi-pó por processo
eletrostático, com aspecto uniforme, sem
manchas, sem deformidades, sem rugas,
sem riscos, na cor cinza, com tratamento
anti-corrosivo à base de fosfato dezinco;
Base com sapatas protetoras em nylon ou
polímero resistente;
 Pitão individual em aço paracadeado;
Livre de arestascortantes 
</v>
      </c>
      <c r="D26" s="25" t="str">
        <f>Item24!C3</f>
        <v>unidade</v>
      </c>
      <c r="E26" s="25">
        <f>Item24!D3</f>
        <v>5</v>
      </c>
      <c r="F26" s="26">
        <f>Item24!E3</f>
        <v>787.57</v>
      </c>
      <c r="G26" s="26">
        <f t="shared" si="0"/>
        <v>3937.85</v>
      </c>
    </row>
    <row r="27" spans="1:7" ht="409.5" x14ac:dyDescent="0.25">
      <c r="A27" s="25" t="s">
        <v>231</v>
      </c>
      <c r="B27" s="25">
        <f>Item25!A3</f>
        <v>25</v>
      </c>
      <c r="C27" s="27" t="str">
        <f>Item25!B3</f>
        <v>ARMÁRIO DE AÇO P/ VESTIÁRIO, 16
PORTAS,
TIPO ROUPEIRO, com as seguintes
especificações:
 Dimensões externas: 1250 mm x 400 mm x1.950 mm (lxpxh), admitidas variações de
±60 mm largura, ±50 mm para altura, e de ±
20 mm para aprofundidade; Confeccionado em chapa de aço 22, inclusive
asportas;
 Portas com, no mínimo, dois pontos de
travamento e dobradiçainterna;
 Venezianas para ventilação em cadaporta;
 Pintura em epóxi-pó por processo
eletrostático, com aspecto uniforme, sem
manchas, sem deformidades, sem rugas,
sem riscos, na cor cinza, com tratamento
anti-corrosivo à base de fosfato dezinco;
Base com sapatas protetoras em nylon ou
polímero resistente;
 Pitão individual em aço paracadeado.
Livre de arestascortantes.</v>
      </c>
      <c r="D27" s="25" t="str">
        <f>Item25!C3</f>
        <v>unidade</v>
      </c>
      <c r="E27" s="25">
        <f>Item25!D3</f>
        <v>15</v>
      </c>
      <c r="F27" s="26">
        <f>Item25!E3</f>
        <v>948.5</v>
      </c>
      <c r="G27" s="26">
        <f t="shared" si="0"/>
        <v>14227.5</v>
      </c>
    </row>
    <row r="28" spans="1:7" ht="30" x14ac:dyDescent="0.25">
      <c r="A28" s="28">
        <v>5</v>
      </c>
      <c r="B28" s="25">
        <f>Item26!A3</f>
        <v>26</v>
      </c>
      <c r="C28" s="27" t="str">
        <f>Item26!B3</f>
        <v>Cadeira sobre longarina, sem braços – 2 lugares</v>
      </c>
      <c r="D28" s="25" t="str">
        <f>Item26!C3</f>
        <v>unidade</v>
      </c>
      <c r="E28" s="25">
        <f>Item26!D3</f>
        <v>50</v>
      </c>
      <c r="F28" s="26">
        <f>Item26!E3</f>
        <v>359.46</v>
      </c>
      <c r="G28" s="26">
        <f t="shared" si="0"/>
        <v>17973</v>
      </c>
    </row>
    <row r="29" spans="1:7" ht="30" x14ac:dyDescent="0.25">
      <c r="A29" s="25">
        <v>5</v>
      </c>
      <c r="B29" s="25">
        <f>Item27!A3</f>
        <v>27</v>
      </c>
      <c r="C29" s="31" t="str">
        <f>Item27!B3</f>
        <v>Cadeira sobre longarina, sem braços – 3 lugares</v>
      </c>
      <c r="D29" s="25" t="str">
        <f>Item27!C3</f>
        <v>unidade</v>
      </c>
      <c r="E29" s="25">
        <f>Item27!D3</f>
        <v>50</v>
      </c>
      <c r="F29" s="32">
        <f>Item27!E3</f>
        <v>447.33</v>
      </c>
      <c r="G29" s="26">
        <f t="shared" si="0"/>
        <v>22366.5</v>
      </c>
    </row>
    <row r="30" spans="1:7" ht="15.75" thickBot="1" x14ac:dyDescent="0.3">
      <c r="A30" s="29"/>
      <c r="B30" s="30"/>
    </row>
    <row r="31" spans="1:7" ht="16.5" thickTop="1" thickBot="1" x14ac:dyDescent="0.3">
      <c r="A31" s="29"/>
      <c r="D31" s="22"/>
      <c r="E31" s="23" t="s">
        <v>33</v>
      </c>
      <c r="F31" s="24">
        <f>SUM(G:G)</f>
        <v>693022.2</v>
      </c>
    </row>
    <row r="32" spans="1:7" ht="15.75" thickTop="1" x14ac:dyDescent="0.25">
      <c r="F32" s="3"/>
    </row>
    <row r="33" spans="4:6" x14ac:dyDescent="0.25">
      <c r="D33" s="21" t="s">
        <v>32</v>
      </c>
      <c r="E33" s="13">
        <f>MAX(A:A)</f>
        <v>5</v>
      </c>
    </row>
    <row r="35" spans="4:6" x14ac:dyDescent="0.25">
      <c r="D35" s="18" t="s">
        <v>31</v>
      </c>
      <c r="E35" s="19">
        <v>1</v>
      </c>
      <c r="F35" s="20">
        <f>SUMIF(A:A,E35,G:G)</f>
        <v>268638.45</v>
      </c>
    </row>
    <row r="36" spans="4:6" x14ac:dyDescent="0.25">
      <c r="D36" s="18" t="s">
        <v>31</v>
      </c>
      <c r="E36" s="19">
        <v>2</v>
      </c>
      <c r="F36" s="20">
        <f>SUMIF(A:A,E36,G:G)</f>
        <v>52416</v>
      </c>
    </row>
    <row r="37" spans="4:6" x14ac:dyDescent="0.25">
      <c r="D37" s="18" t="s">
        <v>31</v>
      </c>
      <c r="E37" s="19">
        <v>3</v>
      </c>
      <c r="F37" s="20">
        <f>SUMIF(A:A,E37,G:G)</f>
        <v>70091.5</v>
      </c>
    </row>
    <row r="38" spans="4:6" x14ac:dyDescent="0.25">
      <c r="D38" s="18" t="s">
        <v>31</v>
      </c>
      <c r="E38" s="19">
        <v>4</v>
      </c>
      <c r="F38" s="20">
        <f>SUMIF(A:A,E38,G:G)</f>
        <v>27741.4</v>
      </c>
    </row>
    <row r="39" spans="4:6" x14ac:dyDescent="0.25">
      <c r="D39" s="18" t="s">
        <v>31</v>
      </c>
      <c r="E39" s="19">
        <v>5</v>
      </c>
      <c r="F39" s="20">
        <f>SUMIF(A:A,E39,G:G)</f>
        <v>40339.5</v>
      </c>
    </row>
  </sheetData>
  <mergeCells count="1">
    <mergeCell ref="A1:G1"/>
  </mergeCells>
  <pageMargins left="0.51181102362204722" right="0.51181102362204722" top="1.2598425196850394" bottom="0.78740157480314965" header="0.31496062992125984" footer="0.31496062992125984"/>
  <pageSetup paperSize="9" scale="89" fitToHeight="0"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6" sqref="G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3</v>
      </c>
      <c r="B3" s="35" t="s">
        <v>34</v>
      </c>
      <c r="C3" s="37" t="s">
        <v>7</v>
      </c>
      <c r="D3" s="37">
        <v>30</v>
      </c>
      <c r="E3" s="38">
        <f>IF(C20&lt;=25%,D20,MIN(E20:F20))</f>
        <v>1333.33</v>
      </c>
      <c r="F3" s="38">
        <f>MIN(H3:H17)</f>
        <v>750</v>
      </c>
      <c r="G3" s="5" t="s">
        <v>44</v>
      </c>
      <c r="H3" s="16">
        <v>1850</v>
      </c>
      <c r="I3" s="17">
        <f>IF(H3="","",(IF($C$20&lt;25%,"n/a",IF(H3&lt;=($D$20+$A$20),H3,"Descartado"))))</f>
        <v>1850</v>
      </c>
    </row>
    <row r="4" spans="1:9" x14ac:dyDescent="0.25">
      <c r="A4" s="39"/>
      <c r="B4" s="36"/>
      <c r="C4" s="37"/>
      <c r="D4" s="37"/>
      <c r="E4" s="38"/>
      <c r="F4" s="38"/>
      <c r="G4" s="5" t="s">
        <v>54</v>
      </c>
      <c r="H4" s="16">
        <v>750</v>
      </c>
      <c r="I4" s="17">
        <f t="shared" ref="I4:I17" si="0">IF(H4="","",(IF($C$20&lt;25%,"n/a",IF(H4&lt;=($D$20+$A$20),H4,"Descartado"))))</f>
        <v>750</v>
      </c>
    </row>
    <row r="5" spans="1:9" x14ac:dyDescent="0.25">
      <c r="A5" s="39"/>
      <c r="B5" s="36"/>
      <c r="C5" s="37"/>
      <c r="D5" s="37"/>
      <c r="E5" s="38"/>
      <c r="F5" s="38"/>
      <c r="G5" s="5" t="s">
        <v>196</v>
      </c>
      <c r="H5" s="16">
        <v>1400</v>
      </c>
      <c r="I5" s="17">
        <f t="shared" si="0"/>
        <v>1400</v>
      </c>
    </row>
    <row r="6" spans="1:9" x14ac:dyDescent="0.25">
      <c r="A6" s="39"/>
      <c r="B6" s="36"/>
      <c r="C6" s="37"/>
      <c r="D6" s="37"/>
      <c r="E6" s="38"/>
      <c r="F6" s="38"/>
      <c r="G6" s="5"/>
      <c r="H6" s="16"/>
      <c r="I6" s="17" t="str">
        <f t="shared" si="0"/>
        <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553.02200076790211</v>
      </c>
      <c r="B20" s="8">
        <f>COUNT(H3:H17)</f>
        <v>3</v>
      </c>
      <c r="C20" s="9">
        <f>IF(B20&lt;2,"n/a",(A20/D20))</f>
        <v>0.41476753749477036</v>
      </c>
      <c r="D20" s="10">
        <f>IFERROR(ROUND(AVERAGE(H3:H17),2),"")</f>
        <v>1333.33</v>
      </c>
      <c r="E20" s="15">
        <f>IFERROR(ROUND(IF(B20&lt;2,"n/a",(IF(C20&lt;=25%,"n/a",AVERAGE(I3:I17)))),2),"n/a")</f>
        <v>1333.33</v>
      </c>
      <c r="F20" s="10">
        <f>IFERROR(ROUND(MEDIAN(H3:H17),2),"")</f>
        <v>1400</v>
      </c>
      <c r="G20" s="11" t="str">
        <f>IFERROR(INDEX(G3:G17,MATCH(H20,H3:H17,0)),"")</f>
        <v>MARZO VITORINO INDÚSTRIA E COMERCIO DE MÓVEIS LTDA</v>
      </c>
      <c r="H20" s="12">
        <f>F3</f>
        <v>750</v>
      </c>
    </row>
    <row r="22" spans="1:9" x14ac:dyDescent="0.25">
      <c r="G22" s="13" t="s">
        <v>20</v>
      </c>
      <c r="H22" s="14">
        <f>IF(C20&lt;=25%,D20,MIN(E20:F20))</f>
        <v>1333.33</v>
      </c>
    </row>
    <row r="23" spans="1:9" x14ac:dyDescent="0.25">
      <c r="G23" s="13" t="s">
        <v>6</v>
      </c>
      <c r="H23" s="14">
        <f>ROUND(H22,2)*D3</f>
        <v>39999.899999999994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8" sqref="G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4</v>
      </c>
      <c r="B3" s="35" t="s">
        <v>35</v>
      </c>
      <c r="C3" s="37" t="s">
        <v>7</v>
      </c>
      <c r="D3" s="37">
        <v>50</v>
      </c>
      <c r="E3" s="38">
        <f>IF(C20&lt;=25%,D20,MIN(E20:F20))</f>
        <v>525</v>
      </c>
      <c r="F3" s="38">
        <f>MIN(H3:H17)</f>
        <v>450</v>
      </c>
      <c r="G3" s="5" t="s">
        <v>44</v>
      </c>
      <c r="H3" s="16">
        <v>1810</v>
      </c>
      <c r="I3" s="17" t="str">
        <f>IF(H3="","",(IF($C$20&lt;25%,"n/a",IF(H3&lt;=($D$20+$A$20),H3,"Descartado"))))</f>
        <v>Descartado</v>
      </c>
    </row>
    <row r="4" spans="1:9" x14ac:dyDescent="0.25">
      <c r="A4" s="39"/>
      <c r="B4" s="36"/>
      <c r="C4" s="37"/>
      <c r="D4" s="37"/>
      <c r="E4" s="38"/>
      <c r="F4" s="38"/>
      <c r="G4" s="5" t="s">
        <v>54</v>
      </c>
      <c r="H4" s="16">
        <v>600</v>
      </c>
      <c r="I4" s="17">
        <f t="shared" ref="I4:I17" si="0">IF(H4="","",(IF($C$20&lt;25%,"n/a",IF(H4&lt;=($D$20+$A$20),H4,"Descartado"))))</f>
        <v>600</v>
      </c>
    </row>
    <row r="5" spans="1:9" x14ac:dyDescent="0.25">
      <c r="A5" s="39"/>
      <c r="B5" s="36"/>
      <c r="C5" s="37"/>
      <c r="D5" s="37"/>
      <c r="E5" s="38"/>
      <c r="F5" s="38"/>
      <c r="G5" s="5" t="s">
        <v>197</v>
      </c>
      <c r="H5" s="16">
        <v>450</v>
      </c>
      <c r="I5" s="17">
        <f t="shared" si="0"/>
        <v>450</v>
      </c>
    </row>
    <row r="6" spans="1:9" x14ac:dyDescent="0.25">
      <c r="A6" s="39"/>
      <c r="B6" s="36"/>
      <c r="C6" s="37"/>
      <c r="D6" s="37"/>
      <c r="E6" s="38"/>
      <c r="F6" s="38"/>
      <c r="G6" s="5"/>
      <c r="H6" s="16"/>
      <c r="I6" s="17" t="str">
        <f t="shared" si="0"/>
        <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745.67642669815791</v>
      </c>
      <c r="B20" s="8">
        <f>COUNT(H3:H17)</f>
        <v>3</v>
      </c>
      <c r="C20" s="9">
        <f>IF(B20&lt;2,"n/a",(A20/D20))</f>
        <v>0.78218080486102182</v>
      </c>
      <c r="D20" s="10">
        <f>IFERROR(ROUND(AVERAGE(H3:H17),2),"")</f>
        <v>953.33</v>
      </c>
      <c r="E20" s="15">
        <f>IFERROR(ROUND(IF(B20&lt;2,"n/a",(IF(C20&lt;=25%,"n/a",AVERAGE(I3:I17)))),2),"n/a")</f>
        <v>525</v>
      </c>
      <c r="F20" s="10">
        <f>IFERROR(ROUND(MEDIAN(H3:H17),2),"")</f>
        <v>600</v>
      </c>
      <c r="G20" s="11" t="str">
        <f>IFERROR(INDEX(G3:G17,MATCH(H20,H3:H17,0)),"")</f>
        <v xml:space="preserve">F MACIEL LTDA </v>
      </c>
      <c r="H20" s="12">
        <f>F3</f>
        <v>450</v>
      </c>
    </row>
    <row r="22" spans="1:9" x14ac:dyDescent="0.25">
      <c r="G22" s="13" t="s">
        <v>20</v>
      </c>
      <c r="H22" s="14">
        <f>IF(C20&lt;=25%,D20,MIN(E20:F20))</f>
        <v>525</v>
      </c>
    </row>
    <row r="23" spans="1:9" x14ac:dyDescent="0.25">
      <c r="G23" s="13" t="s">
        <v>6</v>
      </c>
      <c r="H23" s="14">
        <f>ROUND(H22,2)*D3</f>
        <v>26250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0" sqref="G10"/>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5</v>
      </c>
      <c r="B3" s="35" t="s">
        <v>36</v>
      </c>
      <c r="C3" s="37" t="s">
        <v>7</v>
      </c>
      <c r="D3" s="37">
        <v>5</v>
      </c>
      <c r="E3" s="38">
        <f>IF(C20&lt;=25%,D20,MIN(E20:F20))</f>
        <v>1237.5</v>
      </c>
      <c r="F3" s="38">
        <f>MIN(H3:H17)</f>
        <v>450</v>
      </c>
      <c r="G3" s="5" t="s">
        <v>11</v>
      </c>
      <c r="H3" s="16">
        <v>2300</v>
      </c>
      <c r="I3" s="17" t="str">
        <f>IF(H3="","",(IF($C$20&lt;25%,"n/a",IF(H3&lt;=($D$20+$A$20),H3,"Descartado"))))</f>
        <v>Descartado</v>
      </c>
    </row>
    <row r="4" spans="1:9" x14ac:dyDescent="0.25">
      <c r="A4" s="39"/>
      <c r="B4" s="36"/>
      <c r="C4" s="37"/>
      <c r="D4" s="37"/>
      <c r="E4" s="38"/>
      <c r="F4" s="38"/>
      <c r="G4" s="5" t="s">
        <v>54</v>
      </c>
      <c r="H4" s="16">
        <v>1250</v>
      </c>
      <c r="I4" s="17">
        <f t="shared" ref="I4:I17" si="0">IF(H4="","",(IF($C$20&lt;25%,"n/a",IF(H4&lt;=($D$20+$A$20),H4,"Descartado"))))</f>
        <v>1250</v>
      </c>
    </row>
    <row r="5" spans="1:9" x14ac:dyDescent="0.25">
      <c r="A5" s="39"/>
      <c r="B5" s="36"/>
      <c r="C5" s="37"/>
      <c r="D5" s="37"/>
      <c r="E5" s="38"/>
      <c r="F5" s="38"/>
      <c r="G5" s="5" t="s">
        <v>138</v>
      </c>
      <c r="H5" s="16">
        <v>1030</v>
      </c>
      <c r="I5" s="17">
        <f t="shared" si="0"/>
        <v>1030</v>
      </c>
    </row>
    <row r="6" spans="1:9" x14ac:dyDescent="0.25">
      <c r="A6" s="39"/>
      <c r="B6" s="36"/>
      <c r="C6" s="37"/>
      <c r="D6" s="37"/>
      <c r="E6" s="38"/>
      <c r="F6" s="38"/>
      <c r="G6" s="5" t="s">
        <v>199</v>
      </c>
      <c r="H6" s="16">
        <v>450</v>
      </c>
      <c r="I6" s="17">
        <f t="shared" si="0"/>
        <v>450</v>
      </c>
    </row>
    <row r="7" spans="1:9" x14ac:dyDescent="0.25">
      <c r="A7" s="39"/>
      <c r="B7" s="36"/>
      <c r="C7" s="37"/>
      <c r="D7" s="37"/>
      <c r="E7" s="38"/>
      <c r="F7" s="38"/>
      <c r="G7" s="5" t="s">
        <v>200</v>
      </c>
      <c r="H7" s="16">
        <v>2220</v>
      </c>
      <c r="I7" s="17">
        <f t="shared" si="0"/>
        <v>2220</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795.58154830287515</v>
      </c>
      <c r="B20" s="8">
        <f>COUNT(H3:H17)</f>
        <v>5</v>
      </c>
      <c r="C20" s="9">
        <f>IF(B20&lt;2,"n/a",(A20/D20))</f>
        <v>0.54867692986405181</v>
      </c>
      <c r="D20" s="10">
        <f>IFERROR(ROUND(AVERAGE(H3:H17),2),"")</f>
        <v>1450</v>
      </c>
      <c r="E20" s="15">
        <f>IFERROR(ROUND(IF(B20&lt;2,"n/a",(IF(C20&lt;=25%,"n/a",AVERAGE(I3:I17)))),2),"n/a")</f>
        <v>1237.5</v>
      </c>
      <c r="F20" s="10">
        <f>IFERROR(ROUND(MEDIAN(H3:H17),2),"")</f>
        <v>1250</v>
      </c>
      <c r="G20" s="11" t="str">
        <f>IFERROR(INDEX(G3:G17,MATCH(H20,H3:H17,0)),"")</f>
        <v>ACHEI INDUSTRIA DE MOVEIS LTDA</v>
      </c>
      <c r="H20" s="12">
        <f>F3</f>
        <v>450</v>
      </c>
    </row>
    <row r="22" spans="1:9" x14ac:dyDescent="0.25">
      <c r="G22" s="13" t="s">
        <v>20</v>
      </c>
      <c r="H22" s="14">
        <f>IF(C20&lt;=25%,D20,MIN(E20:F20))</f>
        <v>1237.5</v>
      </c>
    </row>
    <row r="23" spans="1:9" x14ac:dyDescent="0.25">
      <c r="G23" s="13" t="s">
        <v>6</v>
      </c>
      <c r="H23" s="14">
        <f>ROUND(H22,2)*D3</f>
        <v>6187.5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3" sqref="G3:H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6</v>
      </c>
      <c r="B3" s="35" t="s">
        <v>36</v>
      </c>
      <c r="C3" s="37" t="s">
        <v>7</v>
      </c>
      <c r="D3" s="37">
        <v>5</v>
      </c>
      <c r="E3" s="38">
        <f>IF(C20&lt;=25%,D20,MIN(E20:F20))</f>
        <v>1237.5</v>
      </c>
      <c r="F3" s="38">
        <f>MIN(H3:H17)</f>
        <v>450</v>
      </c>
      <c r="G3" s="5" t="s">
        <v>11</v>
      </c>
      <c r="H3" s="16">
        <v>2300</v>
      </c>
      <c r="I3" s="17" t="str">
        <f>IF(H3="","",(IF($C$20&lt;25%,"n/a",IF(H3&lt;=($D$20+$A$20),H3,"Descartado"))))</f>
        <v>Descartado</v>
      </c>
    </row>
    <row r="4" spans="1:9" x14ac:dyDescent="0.25">
      <c r="A4" s="39"/>
      <c r="B4" s="36"/>
      <c r="C4" s="37"/>
      <c r="D4" s="37"/>
      <c r="E4" s="38"/>
      <c r="F4" s="38"/>
      <c r="G4" s="5" t="s">
        <v>54</v>
      </c>
      <c r="H4" s="16">
        <v>1250</v>
      </c>
      <c r="I4" s="17">
        <f t="shared" ref="I4:I17" si="0">IF(H4="","",(IF($C$20&lt;25%,"n/a",IF(H4&lt;=($D$20+$A$20),H4,"Descartado"))))</f>
        <v>1250</v>
      </c>
    </row>
    <row r="5" spans="1:9" x14ac:dyDescent="0.25">
      <c r="A5" s="39"/>
      <c r="B5" s="36"/>
      <c r="C5" s="37"/>
      <c r="D5" s="37"/>
      <c r="E5" s="38"/>
      <c r="F5" s="38"/>
      <c r="G5" s="5" t="s">
        <v>138</v>
      </c>
      <c r="H5" s="16">
        <v>1030</v>
      </c>
      <c r="I5" s="17">
        <f t="shared" si="0"/>
        <v>1030</v>
      </c>
    </row>
    <row r="6" spans="1:9" x14ac:dyDescent="0.25">
      <c r="A6" s="39"/>
      <c r="B6" s="36"/>
      <c r="C6" s="37"/>
      <c r="D6" s="37"/>
      <c r="E6" s="38"/>
      <c r="F6" s="38"/>
      <c r="G6" s="5" t="s">
        <v>199</v>
      </c>
      <c r="H6" s="16">
        <v>450</v>
      </c>
      <c r="I6" s="17">
        <f t="shared" si="0"/>
        <v>450</v>
      </c>
    </row>
    <row r="7" spans="1:9" x14ac:dyDescent="0.25">
      <c r="A7" s="39"/>
      <c r="B7" s="36"/>
      <c r="C7" s="37"/>
      <c r="D7" s="37"/>
      <c r="E7" s="38"/>
      <c r="F7" s="38"/>
      <c r="G7" s="5" t="s">
        <v>200</v>
      </c>
      <c r="H7" s="16">
        <v>2220</v>
      </c>
      <c r="I7" s="17">
        <f t="shared" si="0"/>
        <v>2220</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795.58154830287515</v>
      </c>
      <c r="B20" s="8">
        <f>COUNT(H3:H17)</f>
        <v>5</v>
      </c>
      <c r="C20" s="9">
        <f>IF(B20&lt;2,"n/a",(A20/D20))</f>
        <v>0.54867692986405181</v>
      </c>
      <c r="D20" s="10">
        <f>IFERROR(ROUND(AVERAGE(H3:H17),2),"")</f>
        <v>1450</v>
      </c>
      <c r="E20" s="15">
        <f>IFERROR(ROUND(IF(B20&lt;2,"n/a",(IF(C20&lt;=25%,"n/a",AVERAGE(I3:I17)))),2),"n/a")</f>
        <v>1237.5</v>
      </c>
      <c r="F20" s="10">
        <f>IFERROR(ROUND(MEDIAN(H3:H17),2),"")</f>
        <v>1250</v>
      </c>
      <c r="G20" s="11" t="str">
        <f>IFERROR(INDEX(G3:G17,MATCH(H20,H3:H17,0)),"")</f>
        <v>ACHEI INDUSTRIA DE MOVEIS LTDA</v>
      </c>
      <c r="H20" s="12">
        <f>F3</f>
        <v>450</v>
      </c>
    </row>
    <row r="22" spans="1:9" x14ac:dyDescent="0.25">
      <c r="G22" s="13" t="s">
        <v>20</v>
      </c>
      <c r="H22" s="14">
        <f>IF(C20&lt;=25%,D20,MIN(E20:F20))</f>
        <v>1237.5</v>
      </c>
    </row>
    <row r="23" spans="1:9" x14ac:dyDescent="0.25">
      <c r="G23" s="13" t="s">
        <v>6</v>
      </c>
      <c r="H23" s="14">
        <f>ROUND(H22,2)*D3</f>
        <v>6187.5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9" sqref="G9"/>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7</v>
      </c>
      <c r="B3" s="35" t="s">
        <v>48</v>
      </c>
      <c r="C3" s="37" t="s">
        <v>7</v>
      </c>
      <c r="D3" s="37">
        <v>20</v>
      </c>
      <c r="E3" s="38">
        <f>IF(C20&lt;=25%,D20,MIN(E20:F20))</f>
        <v>1032.33</v>
      </c>
      <c r="F3" s="38">
        <f>MIN(H3:H17)</f>
        <v>850</v>
      </c>
      <c r="G3" s="5" t="s">
        <v>44</v>
      </c>
      <c r="H3" s="16">
        <v>1450</v>
      </c>
      <c r="I3" s="17" t="str">
        <f>IF(H3="","",(IF($C$20&lt;25%,"n/a",IF(H3&lt;=($D$20+$A$20),H3,"Descartado"))))</f>
        <v>Descartado</v>
      </c>
    </row>
    <row r="4" spans="1:9" x14ac:dyDescent="0.25">
      <c r="A4" s="39"/>
      <c r="B4" s="36"/>
      <c r="C4" s="37"/>
      <c r="D4" s="37"/>
      <c r="E4" s="38"/>
      <c r="F4" s="38"/>
      <c r="G4" s="5" t="s">
        <v>54</v>
      </c>
      <c r="H4" s="16">
        <v>850</v>
      </c>
      <c r="I4" s="17">
        <f t="shared" ref="I4:I17" si="0">IF(H4="","",(IF($C$20&lt;25%,"n/a",IF(H4&lt;=($D$20+$A$20),H4,"Descartado"))))</f>
        <v>850</v>
      </c>
    </row>
    <row r="5" spans="1:9" x14ac:dyDescent="0.25">
      <c r="A5" s="39"/>
      <c r="B5" s="36"/>
      <c r="C5" s="37"/>
      <c r="D5" s="37"/>
      <c r="E5" s="38"/>
      <c r="F5" s="38"/>
      <c r="G5" s="5" t="s">
        <v>198</v>
      </c>
      <c r="H5" s="16">
        <v>900</v>
      </c>
      <c r="I5" s="17">
        <f t="shared" si="0"/>
        <v>900</v>
      </c>
    </row>
    <row r="6" spans="1:9" x14ac:dyDescent="0.25">
      <c r="A6" s="39"/>
      <c r="B6" s="36"/>
      <c r="C6" s="37"/>
      <c r="D6" s="37"/>
      <c r="E6" s="38"/>
      <c r="F6" s="38"/>
      <c r="G6" s="5" t="s">
        <v>201</v>
      </c>
      <c r="H6" s="16">
        <v>1347</v>
      </c>
      <c r="I6" s="17">
        <f t="shared" si="0"/>
        <v>1347</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305.83587646535739</v>
      </c>
      <c r="B20" s="8">
        <f>COUNT(H3:H17)</f>
        <v>4</v>
      </c>
      <c r="C20" s="9">
        <f>IF(B20&lt;2,"n/a",(A20/D20))</f>
        <v>0.26904409629677362</v>
      </c>
      <c r="D20" s="10">
        <f>IFERROR(ROUND(AVERAGE(H3:H17),2),"")</f>
        <v>1136.75</v>
      </c>
      <c r="E20" s="15">
        <f>IFERROR(ROUND(IF(B20&lt;2,"n/a",(IF(C20&lt;=25%,"n/a",AVERAGE(I3:I17)))),2),"n/a")</f>
        <v>1032.33</v>
      </c>
      <c r="F20" s="10">
        <f>IFERROR(ROUND(MEDIAN(H3:H17),2),"")</f>
        <v>1123.5</v>
      </c>
      <c r="G20" s="11" t="str">
        <f>IFERROR(INDEX(G3:G17,MATCH(H20,H3:H17,0)),"")</f>
        <v>MARZO VITORINO INDÚSTRIA E COMERCIO DE MÓVEIS LTDA</v>
      </c>
      <c r="H20" s="12">
        <f>F3</f>
        <v>850</v>
      </c>
    </row>
    <row r="22" spans="1:9" x14ac:dyDescent="0.25">
      <c r="G22" s="13" t="s">
        <v>20</v>
      </c>
      <c r="H22" s="14">
        <f>IF(C20&lt;=25%,D20,MIN(E20:F20))</f>
        <v>1032.33</v>
      </c>
    </row>
    <row r="23" spans="1:9" x14ac:dyDescent="0.25">
      <c r="G23" s="13" t="s">
        <v>6</v>
      </c>
      <c r="H23" s="14">
        <f>ROUND(H22,2)*D3</f>
        <v>20646.599999999999</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8" sqref="H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8</v>
      </c>
      <c r="B3" s="35" t="s">
        <v>47</v>
      </c>
      <c r="C3" s="37" t="s">
        <v>7</v>
      </c>
      <c r="D3" s="37">
        <v>5</v>
      </c>
      <c r="E3" s="38">
        <f>IF(C20&lt;=25%,D20,MIN(E20:F20))</f>
        <v>1455.67</v>
      </c>
      <c r="F3" s="38">
        <f>MIN(H3:H17)</f>
        <v>1400</v>
      </c>
      <c r="G3" s="5" t="s">
        <v>44</v>
      </c>
      <c r="H3" s="16">
        <v>3150</v>
      </c>
      <c r="I3" s="17" t="str">
        <f>IF(H3="","",(IF($C$20&lt;25%,"n/a",IF(H3&lt;=($D$20+$A$20),H3,"Descartado"))))</f>
        <v>Descartado</v>
      </c>
    </row>
    <row r="4" spans="1:9" x14ac:dyDescent="0.25">
      <c r="A4" s="39"/>
      <c r="B4" s="36"/>
      <c r="C4" s="37"/>
      <c r="D4" s="37"/>
      <c r="E4" s="38"/>
      <c r="F4" s="38"/>
      <c r="G4" s="5" t="s">
        <v>54</v>
      </c>
      <c r="H4" s="16">
        <v>1400</v>
      </c>
      <c r="I4" s="17">
        <f t="shared" ref="I4:I17" si="0">IF(H4="","",(IF($C$20&lt;25%,"n/a",IF(H4&lt;=($D$20+$A$20),H4,"Descartado"))))</f>
        <v>1400</v>
      </c>
    </row>
    <row r="5" spans="1:9" x14ac:dyDescent="0.25">
      <c r="A5" s="39"/>
      <c r="B5" s="36"/>
      <c r="C5" s="37"/>
      <c r="D5" s="37"/>
      <c r="E5" s="38"/>
      <c r="F5" s="38"/>
      <c r="G5" s="5" t="s">
        <v>72</v>
      </c>
      <c r="H5" s="16">
        <v>1484</v>
      </c>
      <c r="I5" s="17">
        <f>IF(H5="","",(IF($C$20&lt;25%,"n/a",IF(H5&lt;=($D$20+$A$20),H5,"Descartado"))))</f>
        <v>1484</v>
      </c>
    </row>
    <row r="6" spans="1:9" x14ac:dyDescent="0.25">
      <c r="A6" s="39"/>
      <c r="B6" s="36"/>
      <c r="C6" s="37"/>
      <c r="D6" s="37"/>
      <c r="E6" s="38"/>
      <c r="F6" s="38"/>
      <c r="G6" s="5" t="s">
        <v>202</v>
      </c>
      <c r="H6" s="16">
        <v>1483</v>
      </c>
      <c r="I6" s="17">
        <f t="shared" si="0"/>
        <v>1483</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848.08072532434471</v>
      </c>
      <c r="B20" s="8">
        <f>COUNT(H3:H17)</f>
        <v>4</v>
      </c>
      <c r="C20" s="9">
        <f>IF(B20&lt;2,"n/a",(A20/D20))</f>
        <v>0.45128680341856842</v>
      </c>
      <c r="D20" s="10">
        <f>IFERROR(ROUND(AVERAGE(H3:H17),2),"")</f>
        <v>1879.25</v>
      </c>
      <c r="E20" s="15">
        <f>IFERROR(ROUND(IF(B20&lt;2,"n/a",(IF(C20&lt;=25%,"n/a",AVERAGE(I3:I17)))),2),"n/a")</f>
        <v>1455.67</v>
      </c>
      <c r="F20" s="10">
        <f>IFERROR(ROUND(MEDIAN(H3:H17),2),"")</f>
        <v>1483.5</v>
      </c>
      <c r="G20" s="11" t="str">
        <f>IFERROR(INDEX(G3:G17,MATCH(H20,H3:H17,0)),"")</f>
        <v>MARZO VITORINO INDÚSTRIA E COMERCIO DE MÓVEIS LTDA</v>
      </c>
      <c r="H20" s="12">
        <f>F3</f>
        <v>1400</v>
      </c>
    </row>
    <row r="22" spans="1:9" x14ac:dyDescent="0.25">
      <c r="G22" s="13" t="s">
        <v>20</v>
      </c>
      <c r="H22" s="14">
        <f>IF(C20&lt;=25%,D20,MIN(E20:F20))</f>
        <v>1455.67</v>
      </c>
    </row>
    <row r="23" spans="1:9" x14ac:dyDescent="0.25">
      <c r="G23" s="13" t="s">
        <v>6</v>
      </c>
      <c r="H23" s="14">
        <f>ROUND(H22,2)*D3</f>
        <v>7278.35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3" sqref="G13"/>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8</v>
      </c>
      <c r="B1" s="34"/>
      <c r="C1" s="34"/>
      <c r="D1" s="34"/>
      <c r="E1" s="34"/>
      <c r="F1" s="34"/>
      <c r="G1" s="34"/>
      <c r="H1" s="34"/>
      <c r="I1" s="34"/>
    </row>
    <row r="2" spans="1:9" s="4" customFormat="1" ht="36" x14ac:dyDescent="0.25">
      <c r="A2" s="6" t="s">
        <v>1</v>
      </c>
      <c r="B2" s="6" t="s">
        <v>2</v>
      </c>
      <c r="C2" s="6" t="s">
        <v>3</v>
      </c>
      <c r="D2" s="6" t="s">
        <v>4</v>
      </c>
      <c r="E2" s="6" t="s">
        <v>9</v>
      </c>
      <c r="F2" s="6" t="s">
        <v>10</v>
      </c>
      <c r="G2" s="6" t="s">
        <v>11</v>
      </c>
      <c r="H2" s="6" t="s">
        <v>12</v>
      </c>
      <c r="I2" s="6" t="s">
        <v>13</v>
      </c>
    </row>
    <row r="3" spans="1:9" x14ac:dyDescent="0.25">
      <c r="A3" s="39">
        <v>9</v>
      </c>
      <c r="B3" s="35" t="s">
        <v>46</v>
      </c>
      <c r="C3" s="37" t="s">
        <v>7</v>
      </c>
      <c r="D3" s="37">
        <v>130</v>
      </c>
      <c r="E3" s="38">
        <f>IF(C20&lt;=25%,D20,MIN(E20:F20))</f>
        <v>551.62</v>
      </c>
      <c r="F3" s="38">
        <f>MIN(H3:H17)</f>
        <v>286.99</v>
      </c>
      <c r="G3" s="5" t="s">
        <v>44</v>
      </c>
      <c r="H3" s="16">
        <v>1100</v>
      </c>
      <c r="I3" s="17" t="str">
        <f>IF(H3="","",(IF($C$20&lt;25%,"n/a",IF(H3&lt;=($D$20+$A$20),H3,"Descartado"))))</f>
        <v>Descartado</v>
      </c>
    </row>
    <row r="4" spans="1:9" x14ac:dyDescent="0.25">
      <c r="A4" s="39"/>
      <c r="B4" s="36"/>
      <c r="C4" s="37"/>
      <c r="D4" s="37"/>
      <c r="E4" s="38"/>
      <c r="F4" s="38"/>
      <c r="G4" s="5" t="s">
        <v>54</v>
      </c>
      <c r="H4" s="16">
        <v>800</v>
      </c>
      <c r="I4" s="17">
        <f t="shared" ref="I4:I17" si="0">IF(H4="","",(IF($C$20&lt;25%,"n/a",IF(H4&lt;=($D$20+$A$20),H4,"Descartado"))))</f>
        <v>800</v>
      </c>
    </row>
    <row r="5" spans="1:9" x14ac:dyDescent="0.25">
      <c r="A5" s="39"/>
      <c r="B5" s="36"/>
      <c r="C5" s="37"/>
      <c r="D5" s="37"/>
      <c r="E5" s="38"/>
      <c r="F5" s="38"/>
      <c r="G5" s="5" t="s">
        <v>203</v>
      </c>
      <c r="H5" s="16">
        <v>670</v>
      </c>
      <c r="I5" s="17">
        <f t="shared" si="0"/>
        <v>670</v>
      </c>
    </row>
    <row r="6" spans="1:9" x14ac:dyDescent="0.25">
      <c r="A6" s="39"/>
      <c r="B6" s="36"/>
      <c r="C6" s="37"/>
      <c r="D6" s="37"/>
      <c r="E6" s="38"/>
      <c r="F6" s="38"/>
      <c r="G6" s="5" t="s">
        <v>204</v>
      </c>
      <c r="H6" s="16">
        <v>440</v>
      </c>
      <c r="I6" s="17">
        <f t="shared" si="0"/>
        <v>440</v>
      </c>
    </row>
    <row r="7" spans="1:9" x14ac:dyDescent="0.25">
      <c r="A7" s="39"/>
      <c r="B7" s="36"/>
      <c r="C7" s="37"/>
      <c r="D7" s="37"/>
      <c r="E7" s="38"/>
      <c r="F7" s="38"/>
      <c r="G7" s="5" t="s">
        <v>105</v>
      </c>
      <c r="H7" s="16">
        <v>750</v>
      </c>
      <c r="I7" s="17">
        <f t="shared" si="0"/>
        <v>750</v>
      </c>
    </row>
    <row r="8" spans="1:9" x14ac:dyDescent="0.25">
      <c r="A8" s="39"/>
      <c r="B8" s="36"/>
      <c r="C8" s="37"/>
      <c r="D8" s="37"/>
      <c r="E8" s="38"/>
      <c r="F8" s="38"/>
      <c r="G8" s="5" t="s">
        <v>205</v>
      </c>
      <c r="H8" s="16">
        <v>361</v>
      </c>
      <c r="I8" s="17">
        <f t="shared" si="0"/>
        <v>361</v>
      </c>
    </row>
    <row r="9" spans="1:9" x14ac:dyDescent="0.25">
      <c r="A9" s="39"/>
      <c r="B9" s="36"/>
      <c r="C9" s="37"/>
      <c r="D9" s="37"/>
      <c r="E9" s="38"/>
      <c r="F9" s="38"/>
      <c r="G9" s="5" t="s">
        <v>183</v>
      </c>
      <c r="H9" s="16">
        <v>800</v>
      </c>
      <c r="I9" s="17">
        <f t="shared" si="0"/>
        <v>800</v>
      </c>
    </row>
    <row r="10" spans="1:9" x14ac:dyDescent="0.25">
      <c r="A10" s="39"/>
      <c r="B10" s="36"/>
      <c r="C10" s="37"/>
      <c r="D10" s="37"/>
      <c r="E10" s="38"/>
      <c r="F10" s="38"/>
      <c r="G10" s="5" t="s">
        <v>206</v>
      </c>
      <c r="H10" s="16">
        <v>1050</v>
      </c>
      <c r="I10" s="17" t="str">
        <f t="shared" si="0"/>
        <v>Descartado</v>
      </c>
    </row>
    <row r="11" spans="1:9" x14ac:dyDescent="0.25">
      <c r="A11" s="39"/>
      <c r="B11" s="36"/>
      <c r="C11" s="37"/>
      <c r="D11" s="37"/>
      <c r="E11" s="38"/>
      <c r="F11" s="38"/>
      <c r="G11" s="5" t="s">
        <v>207</v>
      </c>
      <c r="H11" s="16">
        <v>286.99</v>
      </c>
      <c r="I11" s="17">
        <f t="shared" si="0"/>
        <v>286.99</v>
      </c>
    </row>
    <row r="12" spans="1:9" x14ac:dyDescent="0.25">
      <c r="A12" s="39"/>
      <c r="B12" s="36"/>
      <c r="C12" s="37"/>
      <c r="D12" s="37"/>
      <c r="E12" s="38"/>
      <c r="F12" s="38"/>
      <c r="G12" s="5" t="s">
        <v>99</v>
      </c>
      <c r="H12" s="16">
        <v>305</v>
      </c>
      <c r="I12" s="17">
        <f t="shared" si="0"/>
        <v>305</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14</v>
      </c>
      <c r="B19" s="6" t="s">
        <v>15</v>
      </c>
      <c r="C19" s="6" t="s">
        <v>25</v>
      </c>
      <c r="D19" s="6" t="s">
        <v>16</v>
      </c>
      <c r="E19" s="6" t="s">
        <v>17</v>
      </c>
      <c r="F19" s="6" t="s">
        <v>18</v>
      </c>
      <c r="G19" s="33" t="s">
        <v>19</v>
      </c>
      <c r="H19" s="33"/>
    </row>
    <row r="20" spans="1:9" x14ac:dyDescent="0.25">
      <c r="A20" s="8">
        <f>IF(B20&lt;2,"n/a",(_xlfn.STDEV.S(H3:H17)))</f>
        <v>297.3821869599978</v>
      </c>
      <c r="B20" s="8">
        <f>COUNT(H3:H17)</f>
        <v>10</v>
      </c>
      <c r="C20" s="9">
        <f>IF(B20&lt;2,"n/a",(A20/D20))</f>
        <v>0.45311928532682894</v>
      </c>
      <c r="D20" s="10">
        <f>IFERROR(ROUND(AVERAGE(H3:H17),2),"")</f>
        <v>656.3</v>
      </c>
      <c r="E20" s="15">
        <f>IFERROR(ROUND(IF(B20&lt;2,"n/a",(IF(C20&lt;=25%,"n/a",AVERAGE(I3:I17)))),2),"n/a")</f>
        <v>551.62</v>
      </c>
      <c r="F20" s="10">
        <f>IFERROR(ROUND(MEDIAN(H3:H17),2),"")</f>
        <v>710</v>
      </c>
      <c r="G20" s="11" t="str">
        <f>IFERROR(INDEX(G3:G17,MATCH(H20,H3:H17,0)),"")</f>
        <v>ARTPROJETO COMERCIO E INDUSTRIA DE MOVEIS LTDA</v>
      </c>
      <c r="H20" s="12">
        <f>F3</f>
        <v>286.99</v>
      </c>
    </row>
    <row r="22" spans="1:9" x14ac:dyDescent="0.25">
      <c r="G22" s="13" t="s">
        <v>20</v>
      </c>
      <c r="H22" s="14">
        <f>IF(C20&lt;=25%,D20,MIN(E20:F20))</f>
        <v>551.62</v>
      </c>
    </row>
    <row r="23" spans="1:9" x14ac:dyDescent="0.25">
      <c r="G23" s="13" t="s">
        <v>6</v>
      </c>
      <c r="H23" s="14">
        <f>ROUND(H22,2)*D3</f>
        <v>71710.600000000006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Marconni Rodrigues de Alcantara Santos</cp:lastModifiedBy>
  <cp:lastPrinted>2025-10-09T18:05:12Z</cp:lastPrinted>
  <dcterms:created xsi:type="dcterms:W3CDTF">2023-11-07T17:10:34Z</dcterms:created>
  <dcterms:modified xsi:type="dcterms:W3CDTF">2025-11-26T11:43:21Z</dcterms:modified>
</cp:coreProperties>
</file>