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total!$A$1:$G$23</definedName>
    <definedName name="_xlnm.Print_Titles" localSheetId="27">total!$1:$2</definedName>
  </definedNames>
  <calcPr calcId="145621"/>
</workbook>
</file>

<file path=xl/calcChain.xml><?xml version="1.0" encoding="utf-8"?>
<calcChain xmlns="http://schemas.openxmlformats.org/spreadsheetml/2006/main">
  <c r="I6" i="1" l="1"/>
  <c r="C3" i="23" l="1"/>
  <c r="C4" i="23"/>
  <c r="C5" i="23"/>
  <c r="C6" i="23"/>
  <c r="C7" i="23"/>
  <c r="C8" i="23"/>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15" i="23"/>
  <c r="D4" i="23"/>
  <c r="E4" i="23"/>
  <c r="D5" i="23"/>
  <c r="E5" i="23"/>
  <c r="D6" i="23"/>
  <c r="E6" i="23"/>
  <c r="D7" i="23"/>
  <c r="E7" i="23"/>
  <c r="D8" i="23"/>
  <c r="E8" i="23"/>
  <c r="C9" i="23"/>
  <c r="D9" i="23"/>
  <c r="E9" i="23"/>
  <c r="C10" i="23"/>
  <c r="D10" i="23"/>
  <c r="E10" i="23"/>
  <c r="B10" i="23"/>
  <c r="B9" i="23"/>
  <c r="B8" i="23"/>
  <c r="B7" i="23"/>
  <c r="B6" i="23"/>
  <c r="B5" i="23"/>
  <c r="B4"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s="1"/>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H22" i="28" s="1"/>
  <c r="H23" i="28" s="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3" i="9" s="1"/>
  <c r="C20" i="6"/>
  <c r="I8" i="6" s="1"/>
  <c r="A20" i="7"/>
  <c r="C20" i="7" s="1"/>
  <c r="I16" i="7" s="1"/>
  <c r="A20" i="8"/>
  <c r="C20" i="8" s="1"/>
  <c r="I4" i="8" s="1"/>
  <c r="E3" i="28"/>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17" i="16"/>
  <c r="I11" i="16"/>
  <c r="I10" i="16"/>
  <c r="I15" i="14"/>
  <c r="I9" i="14"/>
  <c r="I3" i="14"/>
  <c r="I16" i="14"/>
  <c r="I14" i="14"/>
  <c r="I8" i="14"/>
  <c r="I10" i="14"/>
  <c r="I13" i="14"/>
  <c r="I7" i="14"/>
  <c r="I12" i="14"/>
  <c r="I6" i="14"/>
  <c r="I17" i="14"/>
  <c r="I11" i="14"/>
  <c r="I5" i="14"/>
  <c r="I4" i="14"/>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11" i="9"/>
  <c r="I17" i="9"/>
  <c r="I15" i="6"/>
  <c r="I14" i="6"/>
  <c r="I7" i="6"/>
  <c r="I17" i="6"/>
  <c r="I16" i="6"/>
  <c r="I12" i="6"/>
  <c r="I12" i="5"/>
  <c r="I17" i="5"/>
  <c r="I11" i="5"/>
  <c r="I16" i="5"/>
  <c r="I13" i="5"/>
  <c r="I15" i="5"/>
  <c r="I14" i="5"/>
  <c r="A20" i="4"/>
  <c r="C20" i="4" s="1"/>
  <c r="C20" i="1"/>
  <c r="I5" i="9" l="1"/>
  <c r="I5" i="6"/>
  <c r="I6" i="6"/>
  <c r="I3" i="6"/>
  <c r="I12" i="9"/>
  <c r="I8" i="9"/>
  <c r="I8" i="5"/>
  <c r="I6" i="16"/>
  <c r="E20" i="14"/>
  <c r="E3" i="14" s="1"/>
  <c r="I6" i="9"/>
  <c r="E20" i="24"/>
  <c r="E3" i="24" s="1"/>
  <c r="I8" i="20"/>
  <c r="I3" i="20"/>
  <c r="I7" i="20"/>
  <c r="I6" i="20"/>
  <c r="I4" i="20"/>
  <c r="I10" i="20"/>
  <c r="I9" i="20"/>
  <c r="I4" i="18"/>
  <c r="I4" i="16"/>
  <c r="I3" i="16"/>
  <c r="E20" i="16" s="1"/>
  <c r="H22" i="16" s="1"/>
  <c r="H23" i="16" s="1"/>
  <c r="I5" i="16"/>
  <c r="I7" i="16"/>
  <c r="I10" i="12"/>
  <c r="I12" i="12"/>
  <c r="I4" i="12"/>
  <c r="I8" i="12"/>
  <c r="I6" i="12"/>
  <c r="I7" i="12"/>
  <c r="I3" i="12"/>
  <c r="I5" i="12"/>
  <c r="I6" i="8"/>
  <c r="I5" i="8"/>
  <c r="I3" i="8"/>
  <c r="I11" i="6"/>
  <c r="I9" i="6"/>
  <c r="I4" i="6"/>
  <c r="I13" i="6"/>
  <c r="I10" i="6"/>
  <c r="I3" i="5"/>
  <c r="I10" i="5"/>
  <c r="I4" i="5"/>
  <c r="I9" i="5"/>
  <c r="I7" i="5"/>
  <c r="I5" i="5"/>
  <c r="E20" i="30"/>
  <c r="E3" i="30" s="1"/>
  <c r="E20" i="29"/>
  <c r="H22" i="29" s="1"/>
  <c r="H23" i="29" s="1"/>
  <c r="E3" i="26"/>
  <c r="E20" i="25"/>
  <c r="H22" i="25" s="1"/>
  <c r="H23" i="25" s="1"/>
  <c r="I11" i="22"/>
  <c r="I12" i="22"/>
  <c r="I9" i="22"/>
  <c r="I6" i="22"/>
  <c r="I5" i="22"/>
  <c r="I8" i="22"/>
  <c r="I4" i="22"/>
  <c r="E20" i="22" s="1"/>
  <c r="H22" i="22" s="1"/>
  <c r="H23" i="22" s="1"/>
  <c r="I7" i="22"/>
  <c r="E20" i="18"/>
  <c r="H22" i="18" s="1"/>
  <c r="H23" i="18" s="1"/>
  <c r="I4" i="9"/>
  <c r="E20" i="9" s="1"/>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4" i="1"/>
  <c r="I10" i="1"/>
  <c r="I16" i="1"/>
  <c r="I5" i="1"/>
  <c r="I11" i="1"/>
  <c r="I17" i="1"/>
  <c r="I12" i="1"/>
  <c r="I3" i="1"/>
  <c r="I13" i="1"/>
  <c r="I14" i="1"/>
  <c r="I9" i="1"/>
  <c r="I15" i="1"/>
  <c r="E20" i="12" l="1"/>
  <c r="E20" i="8"/>
  <c r="H22" i="8" s="1"/>
  <c r="H23" i="8" s="1"/>
  <c r="E20" i="6"/>
  <c r="H22" i="6" s="1"/>
  <c r="H23" i="6" s="1"/>
  <c r="H22" i="24"/>
  <c r="H23" i="24" s="1"/>
  <c r="E20" i="20"/>
  <c r="H22" i="20" s="1"/>
  <c r="H23" i="20" s="1"/>
  <c r="E3" i="16"/>
  <c r="H22" i="12"/>
  <c r="H23" i="12" s="1"/>
  <c r="E3" i="12"/>
  <c r="E20" i="5"/>
  <c r="E3" i="5" s="1"/>
  <c r="F5" i="23" s="1"/>
  <c r="G5" i="23"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F9" i="23" s="1"/>
  <c r="G9" i="23" s="1"/>
  <c r="E20" i="7"/>
  <c r="E20" i="4"/>
  <c r="E3" i="4" s="1"/>
  <c r="F4" i="23" s="1"/>
  <c r="G4" i="23" s="1"/>
  <c r="E20" i="17"/>
  <c r="E20" i="1"/>
  <c r="E3" i="6" l="1"/>
  <c r="F6" i="23" s="1"/>
  <c r="G6" i="23" s="1"/>
  <c r="E3" i="20"/>
  <c r="E3" i="8"/>
  <c r="F8" i="23" s="1"/>
  <c r="G8" i="23" s="1"/>
  <c r="E3" i="21"/>
  <c r="E3" i="19"/>
  <c r="E3" i="15"/>
  <c r="H22" i="13"/>
  <c r="H23" i="13" s="1"/>
  <c r="E3" i="10"/>
  <c r="F10" i="23" s="1"/>
  <c r="G10" i="23" s="1"/>
  <c r="H22" i="5"/>
  <c r="H23" i="5" s="1"/>
  <c r="H22" i="4"/>
  <c r="H23" i="4" s="1"/>
  <c r="E3" i="11"/>
  <c r="H22" i="7"/>
  <c r="H23" i="7" s="1"/>
  <c r="E3" i="7"/>
  <c r="F7" i="23" s="1"/>
  <c r="G7" i="23" s="1"/>
  <c r="H22" i="17"/>
  <c r="H23" i="17" s="1"/>
  <c r="E3" i="17"/>
  <c r="E3" i="1"/>
  <c r="F3" i="23" s="1"/>
  <c r="G3" i="23" s="1"/>
  <c r="H22" i="1"/>
  <c r="H23" i="1" s="1"/>
  <c r="F18" i="23" l="1"/>
  <c r="F17" i="23"/>
  <c r="F13" i="23"/>
</calcChain>
</file>

<file path=xl/sharedStrings.xml><?xml version="1.0" encoding="utf-8"?>
<sst xmlns="http://schemas.openxmlformats.org/spreadsheetml/2006/main" count="842" uniqueCount="110">
  <si>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</si>
  <si>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</si>
  <si>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</si>
  <si>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</si>
  <si>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</si>
  <si>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</si>
  <si>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</si>
  <si>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</si>
  <si>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</si>
  <si>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</si>
  <si>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</si>
  <si>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</si>
  <si>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</si>
  <si>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</si>
  <si>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</si>
  <si>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</si>
  <si>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</si>
  <si>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</si>
  <si>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</si>
  <si>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</si>
  <si>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</si>
  <si>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</si>
  <si>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</si>
  <si>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</si>
  <si>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</si>
  <si>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</si>
  <si>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</si>
  <si>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</si>
  <si>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</si>
  <si>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</si>
  <si>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</si>
  <si>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</si>
  <si>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</si>
  <si>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</si>
  <si>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</si>
  <si>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</si>
  <si>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CLAVES E NOTAS COMERCIO DE INSTRUMENTOS MUSICAIS LTDA</t>
  </si>
  <si>
    <t>CR3 COMERCIO ELETRONICO LTDA</t>
  </si>
  <si>
    <t>PEDRO G.FERNANDES</t>
  </si>
  <si>
    <t>17.410.769 VALNEIDES ARAUJO DA COSTA</t>
  </si>
  <si>
    <t>32.661.461 ROBSON SALVADOR PAIM</t>
  </si>
  <si>
    <t>ISALTEC COMERCIO DE INSTRUMENTOS DE MEDICAO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</si>
  <si>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</si>
  <si>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</si>
  <si>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</si>
  <si>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</si>
  <si>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</si>
  <si>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</si>
  <si>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</si>
  <si>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</si>
  <si>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MAGAZINE LUIZA</t>
  </si>
  <si>
    <t>AKG</t>
  </si>
  <si>
    <t>X5 MUSIC</t>
  </si>
  <si>
    <t>CASAS BAHIA</t>
  </si>
  <si>
    <t>KALIFA</t>
  </si>
  <si>
    <t>Plug 2P+T fêmea, padrão brasileiro, 20 A</t>
  </si>
  <si>
    <t>Primer universal branco.</t>
  </si>
  <si>
    <t>gl</t>
  </si>
  <si>
    <t>Solvente para limpeza .</t>
  </si>
  <si>
    <t>5l</t>
  </si>
  <si>
    <t>18l</t>
  </si>
  <si>
    <t>Solvente Poliuretano (Thinner PU)- embalagem 5 litros.</t>
  </si>
  <si>
    <t>Tinta acrílica fosca, cor branco neve, sem cheiro.</t>
  </si>
  <si>
    <t>Tinta acrílica para concreto, cor cinza .</t>
  </si>
  <si>
    <t>Tinta acrílica para piso, cor amarelo</t>
  </si>
  <si>
    <t>RM COMERCIO DE MERCADORIAS</t>
  </si>
  <si>
    <t>JJ VITALI</t>
  </si>
  <si>
    <t>VRM COMERCIO (ATUALIZADO)</t>
  </si>
  <si>
    <t>DI COMERCIO E SERVIÇOS</t>
  </si>
  <si>
    <t>N. DO AMARAL GOMES LTDA</t>
  </si>
  <si>
    <t>AMARILLO COMERCIAL LTDA</t>
  </si>
  <si>
    <t>S&amp;O DESCARTAVEIS LTDA</t>
  </si>
  <si>
    <t>FERRAMENTAS KENNEDY</t>
  </si>
  <si>
    <t>LOJA DO MECANICO</t>
  </si>
  <si>
    <t>LED MAIS COMERCIO ( PAINEL DE PREÇOS)</t>
  </si>
  <si>
    <t>JANINE RAMOS DA SILVA ( PAINEL DE PREÇOS)</t>
  </si>
  <si>
    <t>AEROQUALITY COMERCIO (PAINEL DE PREÇOS)</t>
  </si>
  <si>
    <t>BIANCA TEIXEIRA</t>
  </si>
  <si>
    <t>ELETROFEST IMPORTAÇÃO</t>
  </si>
  <si>
    <t>CASTRO ARANTES</t>
  </si>
  <si>
    <t>NOVA POMPEIA COMERCIO VAREJISTA E</t>
  </si>
  <si>
    <t xml:space="preserve">S VASCONCELOS ROSAS </t>
  </si>
  <si>
    <t>A. DONIZETE DA SILVA</t>
  </si>
  <si>
    <t>FERREIRA COSTA</t>
  </si>
  <si>
    <t xml:space="preserve">WOLVES GROUP AND </t>
  </si>
  <si>
    <t>NEDA LOPES DUARTE</t>
  </si>
  <si>
    <t>SOMARK DISTRIBUIDORA DE PEÇAS</t>
  </si>
  <si>
    <t>AMAZON PRIME</t>
  </si>
  <si>
    <t>PRIME COMERCIO DE MATERIAIS</t>
  </si>
  <si>
    <t>THS BEZERRA LTDA</t>
  </si>
  <si>
    <t>ACAL HOME CENTER TINTAS</t>
  </si>
  <si>
    <t xml:space="preserve">FERREIRA COSTA </t>
  </si>
  <si>
    <t>Cadeira giratória operacional com espaldar alto, apoio de cabeça e Apoia-braço
- Obrigatório para este item o Certificado de Marca de Conformidade à norma ABNT NBR 13962: 2018 ou mais atualizada.
ASSENTO E ENCOSTO
- Concha dupla, bipartida;
- Estofamento em espuma de poliuretano injetado, isento de CFC, de alta resiliência, com, no mínimo, 50mm de espessura no centro do assento, densidade mínima de 55kg/m3 e 50kg/m3, respectivamente, para assento e encosto, moldados anatomicamente, bordas arredondadas;
- Estrutura moldada em resina poliéster, reforçada com fibra de vidro, de alta resistência, indeformável e auto-extinguível, com espessura mínima de 10mm;
- Revestimento em tecido sintético, similar a couro, na cor preta, fixação sem grampos aparentes;
- Medidas mínimas do encosto - Largura: 42cm, Extensão vertical: 60cm;
- Medidas mínimas do assento - Largura: 42cm, Profundidade da superfície: 44cm;
- Encosto com regulagem da altura do apoio lombar em, no mínimo, quatro posições e horizontal de profundidade em, no mínimo, pelo menos três posições e da inclinação;
- Assento com regulagem horizontal de profundidade em pelo menos três posições;
- Mecanismo de relax excêntrico (livre flutuação) com opção de bloqueio em qualquer ângulo;
- Contra-encosto em polímero de alta resistência, na cor preta;
- Ligeira inclinação na parte frontal do assento;
- Apoio de cabeça incorporado ao encosto, com regulagem de altura e inclinação, em espuma de poliuretano injetado, revestido com tecido sintético, similar a couro, na cor preta.
ESTRUTURA
- Base giratória composta por cinco hastes equidistantes, em alumínio polido;
- Rodízios de duplo giro injetados em nylon com banda de rodagem em poliuretano, em forma de “H”, com eixo vertical de aço 1010/1020 com diâmetro mínimo de 11mm, fixado por meio de bucha de nylon e anel elástico em aço, eixo horizontal em aço 1010/1020 com diâmetro mínimo de 8 mm, rodas com diâmetro mínimo de 50 mm, largura da superfície de rolamento de no mínimo 7mm, distância entre rodas de 18 a 22mm;
- Com coluna central, com sistema de regulagem milimétrica da altura do assento e giro livre a 360°, composta de: pistão a gás (pneumático), rolamento com esferas de aço e mola amortecedora de alta resistência com diâmetro do fio aço-mola, no mínimo, de 6 mm, dimensionada para absorção de impactos do sentar brusco;
- Toda a estrutura metálica, que não seja em alumínio polido ou aço cromado, com tratamento anticorrosivo por fosfatização e acabamento em pintura eletrostática epóxi-pó na cor preta.
APOIA-BRAÇOS:
- Braços tipo '’T’ retilíneos, em alumínio polido ou em aço cromado, afixados sob o assento;
- Regulagem vertical de altura, de profundidade, com, no mínimo, cinco e três estágios, respectivamente, e lateral;
- Apoio com bordas arredondadas, revestido em poliuretano injetado, na cor preta;
- Medidas mínimas: 7 cm de largura e 25cm de comprimento;
- Leve inclinação na parte frontal do apoio.
MANUAL
- Toda unidade deverá vir acompanhada de manual de instruções para utilização de todos os mecanismos da cadeira.
OBSERVAÇÕES
- Item da mesma marca e linha (ou linha superior) do Item 14</t>
  </si>
  <si>
    <t>TECNO2000 INDÚSTRIA E COMÉRCIO LTDA</t>
  </si>
  <si>
    <t>PE3/2023-MIN DEFESA DF- ITEM2-METAFLEX (atualizada)</t>
  </si>
  <si>
    <t>PE6/2022-Min Def PLANALTO- ITEM39-1º-MILANFLEX (atualizada)</t>
  </si>
  <si>
    <t>PE01/2023-MIN FAZ - SUPERINT ADM ACRE-item19-1º ASTA MOBILIAR MOVEIS (atualizada)</t>
  </si>
  <si>
    <t>PE01/2023-MIN FAZ - SUPERINT ADM ACRE-item19-2º MOVESC COMERCIO (atualizada)</t>
  </si>
  <si>
    <t>CATRACA, 
a) Fornecimento e instalação de
catraca para uso em ambiente
interno com design moderno e
diferenciado.
Requisitos:
a) Com comunicação Ethernet
10/100/1000Mbps, IP fixo ou
DHCP, conexão TCP/IP iniciada
pelas catracas.
b) Permitir comunicação com redes
locais e remotas, com modo de
funcionamento no modo off -line e
on-line. -Alimentação 100-240Vac,
50-60Hz.
c) Ser equipada com bateria
recarregável de chumbo que
garanta o funcionamento da parte
lógica da catraca em caso de falta
de energia elétrica, além de bateria
que assegure o funcionamento do
relógio de tempo real;
d) Possuir cada uma delas 01 (um)
Leitor Biométrico Facial de até
5.000 usuários, leitor de Cartão de
Proximidade 125 khz e Leitor
RFID 13,56Mhz. Deverá possuir
urna coletora de cartões de
proximidade interna ou
incorporada ao corpo da catraca, para controle de acesso de
visitantes;
e) Dois modos de configuração,
“Pare ou Segue”, e armazenamento
na catraca de tabelas de horário
para controle de acesso.
f) Capacidade de armazenamento
de 200.000 registros em
armazenamento e até 100.000
credenciais. Com memória não
volátil de armazenamento de
registros e listas; biometria digital
de até 5.000 usuários; deverá
permitir consulta de usuários
cadastrados em sua memória
interna (local), sem depender do
software instalado no servidor (nos
casos que estiver off line).
g) O funcionamento padrão do
equipamento deve ser online. O
modo off line deverá ser utilizado
somente em situações de
contingência, isto é, os
equipamentos da solução devem
prosseguir sua operação padrão.
h) Os equipamentos da solução
devem detectar automaticamente o
retorno da disponibilidade da rede
e sincronizar-se com a base de
dados centralizada do servidor
imediatamente, ou seja, tão logo
detecte o retorno da rede, deve
sincronizar os registros de acessos
automaticamente, sem necessidade
de intervenção, coletando os
registros para o banco de dados do
software de gerenciamento de forma automática;
i) O equipamento deverá possuir
espaço para integração de leitores e
placas eletrônicas.
j) Deverá possuir tampo superior
em acrílico e espelho em aço inox
escovado AISI 304. Display com
iluminação back light, além de
teclado com mínimo de 12 (doze)
teclas para digitação de funções,
matrículas e programações
diversas. A catraca deverá vir
acompanhada com suporte em aço
inox AISI 304 para Leitor de
Biometria Facial (controladora de
Reconhecimento Facial) e possuir
estrutura também em aço inox e
mecanismos de alta performance
para suportar fluxo de pessoas,
leitor biométrico de até 5000
usuários - entrada e saída –
diariamente em dois
períodos) e de travamento que
controla o fluxo de usuários de
forma
independente (entrada e saída).
k) Deverá possuir estrutura interna
formada por chapas de açocarbono com mínimo de 1,0mm de
espessura, pintado em tinta epóxi
pó na cor preta. Deverá possuir
ainda revestimento em chapa de
aço inox escovado AISI 304 com
no mínimo 1,2mm de espessura.
l) Deve possuir mecanismo de giro
bidirecional ou unidirecional, com
sentido de passagem configurável, com 03 braços em tubo de aço inox
polido AISI 304, com abertura de
90º
garantindo que, em seu trabalho,
não cause deformações que
prejudique o seu funcionamento ou
quaisquer alterações que possa
trazer riscos aos usuários.
m) Deverá funcionar de forma
suave e sem ruídos, garantindo que
o mecanismo não esteja atuando de
forma rústica para assim aumentar
sua longevidade e garantir conforto
e segurança aos usuários
(mecanismo de giro com
desacelerador linear de
movimentos). A liberação de
acesso deverá ser acionada por
cartões de proximidade e
biometria. Deverá possuir
pictogramas luminosos, indicativos
e direcionais para indicação visual
de giro liberado para confirmação
de acesso.
n) Abertura de emergência que
possibilite a abertura automática
dos braços em caso de falta de
energia ou de acionamento de
alarme de emergência, para que o
dispositivo se desarme
automaticamente e não obstrua a
rota de fuga. Para esta
característica, a empresa deverá
emitir Anotação Técnica para fins
de liberação de Certificado de
Conformidade perante o Corpo de
Bombeiros. Deve permitir também
a liberação dos braços por meio de um botão externo de liberação
configurável (entrada, saída ou
ambos).
o) Dimensões aproximadas sem os
braços de 300x1050x250mm
(LxAxP) e com os braços de
390x1050x670mm (LxAxP),
podendo variar para mais, com
alimentação e funcionamento em
voltagem 220V ou bivolt.
p) Circuito baseado em
microcontrolador, tecnologia 32
bits, velocidade de processamento
120MHz; Conectividade
obrigatória
entre a catraca, a controladora e o
software de gerenciamento da
solução de controle de acesso para
pessoas, de modo que possa ser
lido qualquer tentativa de acesso e
o equipamento obtenha resposta
imediata do software, liberando ou
não o acesso.
q) Suporte e garantia de
manutenção on site de 60
(sessenta) meses.
r) Instalação física: Montagem,
instalação e configuração da
catraca (equipamento de controle
de acesso).
s) Infraestrutura local: conforme
layout fornecido pelo TRE.</t>
  </si>
  <si>
    <t xml:space="preserve">CATRACA PARA PCD
a)Fornecimento e instalação de
catraca PCD para uso em ambiente
interno com design moderno e diferenciado.
Requisitos:
a)Com comunicação Ethernet
10/100/1000Mbps, IP fixo ou
DHCP, conexão TCP/IP iniciada
pela catraca.
b) Permitir comunicação com redes
locais e remotas, com modo de
funcionamento no modo off -line e
on-line. Alimentação 100-240Vac,
50-60Hz.
c) Ser equipada com nobreak
interno ou bateria recarregável de
chumbo que garanta o
funcionamento da parte lógica da
catraca em caso de falta de energia
elétrica, além de bateria que
assegure o funcionamento do
relógio de tempo real;
d) Deverá atender à norma ABNT
NBR 9050/2020;
e) Possuir 01 (um) Leitor
Biométrico Facial de até 5.000
usuários, Leitor de Cartão de
Proximidade 125 khz e leitor RFID
13,56Mhz. Deverá possuir urna
coletora de cartões de
proximidade, interna ou
incorporada ao corpo da catraca,
para controle de acesso de
visitantes;
f) Dois modos de configuração,
“Pare ou Segue”, e armazenamento
na catraca de tabelas de horário
para controle de acesso.
g) Capacidade de armazenamento de até 200.000 registros em
armazenamento e até 100.000
credenciais; memória não volátil
de armazenamento de registros e
listas; biometria de até 5.000
usuários; deverá permitir consulta
de usuários cadastrados em sua
memória interna (local), sem
depender do software instalado no
servidor (nos casos que estiver off
line).
h) O funcionamento padrão do
equipamento deve ser online. O
modo off line deverá ser utilizado
somente em situações de
contingência, isto é, os
equipamentos da solução devem
prosseguir sua operação padrão.
i) Os equipamentos da solução
devem detectar automaticamente o
retorno da disponibilidade da rede
e sincronizar-se com a base de
dados centralizada do servidor
imediatamente, ou seja, tão logo
detecte o retorno da rede, deve
sincronizar os registros de acessos
automaticamente, sem necessidade
de intervenção, coletando os
registros para o banco de dados do
software de gerenciamento de
forma automática;
j) O equipamento deverá possuir
espaço para integração de leitores e
placas eletrônicas, permitindo
integração com leitores e acesso
faciais.
k) Deverá possuir tampo superior em ABS com acabamento em aço
inox escovado AISI 304. Display
com iluminação back light, além
de teclado com mínimo de 12
(doze) teclas para digitação de
funções, matrículas e
programações diversas. A catraca
deverá vir acompanhada com
suporte em aço inox AISI 304 para
Leitor de Biometria Facial
(controladora de Reconhecimento
Facial) e possuir corpo e estrutura
em chapa de aço inox escovado;
barreira constituída por dois tubos
de aço inox escovados; leitor
biométrico de até 5000 usuários -
entrada e saída – diariamente em
dois períodos) e de travamento que
controla o fluxo de usuários de
forma independente (entrada e
saída).
l) Deve possuir sentido de
passagem bidirecional ou
unidirecional, configurável, com
barreira constituída por dois tubos
de aço inox escovados, permitindo
acessibilidade a usuários com
mobilidade reduzida, com braço
maior que proporcione
comodidade e conforto, dotado de
estrutura tal que, em seu trabalho,
não cause deformações que
prejudiquem o seu funcionamento
ou quaisquer alterações que
possam trazer riscos aos usuários.
m) Deverá funcionar de forma
suave e sem ruídos, garantindo que
o mecanismo não esteja atuando de forma rústica para assim aumentar
sua longevidade e garantir conforto
e segurança aos usuários. A
liberação de acesso poderá ser
acionada por cartões de
proximidade e biometria.
Liberação ou bloqueio por
identificação de usuário. Deverá
possuir pictogramas luminosos,
indicativos e direcionais para
indicação do sentido de acesso
liberado.
n) Abertura de emergência que
possibilite a abertura automática da
barreira em caso de falta de energia
ou de acionamento de alarme de
emergência, para que o dispositivo
se desarme automaticamente e não
obstrua a rota de fuga. Para esta
característica, a empresa deverá
emitir Anotação Técnica para fins
de liberação de Certificado de
Conformidade perante o Corpo de
Bombeiros. Deve permitir também
a liberação dos braços por meio de
um botão externo de liberação
configurável (entrada, saída ou
ambos).
o) Dimensões aproximadas sem os
braços de 300x1050x250mm
(LxAxP) e com os braços de
390x1050x1.150mm (LxAxP),
podendo variar para mais, com
alimentação e funcionamento em
voltagem 220V ou bivolt.
p) Circuito baseado em
microcontrolador, tecnologia 32
bits, velocidade de processamento 120MHz, Conectividade
obrigatória entre a catraca, a
controladora e o software de
gerenciamento da solução de
controle de acesso para pessoas, de
modo que possa ser lido qualquer
tentativa de acesso e o
equipamento obtenha resposta
imediata do software, liberando ou
não o acesso.
q) Suporte e garantia de
manutenção on site de 60
(sessenta) meses.
r) Instalação física: Montagem,
instalação e configuração da
catraca PCD (equipamento de
controle de acesso).
s) Infraestrutura local: conforme
layout fornecido pelo TRE.
</t>
  </si>
  <si>
    <t xml:space="preserve">SOFTWARE PARA
CONTROLE DE ACESSO
Fornecimento e instalação de
software compatível com as
tecnologias de proximidade e
biometria facial, digitação de senha
e código de barras. Requisitos:
a) Licenciado, de uso livre e
caráter vitalício
b) Conter cadastros ilimitados,
tendo em vista que o TRE-BA
recebe visitantes, além de seus
próprios servidores.
c) Captura de imagens via
Webcam.
d) Acionamento de sensores,
catracas, cancelas, detectores de metais, botoeiras, portas, etc.
e) Compatível com a arquitetura de
TIC composta por sistema
operacional Red Hat Enterprise
Linux; servidor web Apache,
Tomcat ou JBoss; e banco de
dados Oracle ou MySQL e
derivados ou PostgreSQL.
f) Sistema de monitoramento de
acesso por relatórios.
g) Exportação de relatórios para
diversos formatos.
h) Cadastro completo dos
servidores e visitantes (com fotos,
dados pessoais, etc.).
i) Cadastro de crachás com
validade e possibilidade de
reutilização (visitantes).
j) Integração com os principais
modelos de controladores de
acesso dos principais fabricantes.
k) Controle de acesso por
permissão por usuário (telas, ações,
departamentos, etc.).
 l) Cadastro de horários com
controle dos dias e feriados.
m) Liberação de acesso via
software.
n) Exportação de dados para
arquivo texto.
o) Importação de
pedestres/visitantes de arquivo
texto.
p) Serviço automatizado de backup.
q) Todos os recursos como
manuais, documentação,
instaladores relativos ao software e
monitoramento deverão ser
fornecidos.
r) Capacidade de sistematização,
integração e interoperabilidade
para no mínimo 37 (trinta e sete)
catracas, 37 (trinta e sete) leitores
de reconhecimento facial, com
leitor de proximidade e biometria e
20 (vinte) impressoras térmicas de
QD Code.
s) Cadastro, exclusão e edição dos
usuários.
t) Instalação lógica: instalação e
configuração do software para
controle de acesso (equipamento
de controle de acesso).
u) Infraestrutura local: conforme
layout fornecido pelo TRE.
t) Suporte e garantia de
manutenção on site de 60 meses.
</t>
  </si>
  <si>
    <t xml:space="preserve">LEITOR DE
RECONHECIMENTO
FACIAL, COM LEITOR DE
PROXIMIDADE, BIOMETRIA,
SOFTWARE DE EMISSÃO DE
RELATÓRIOS DE ENTRADA
E SAÍDA, COM SUPORTE
FACIAL E CHICOTE.
Requisitos:
a) Capacidade: Leitura mínima de
5000 faces; b) Tecnologia: Reconhecimento
facial com câmera integrada, leitor
de proximidade RFID.
c) Software: Inclui um software de
gerenciamento que permite
emissão de relatórios de entrada e
saída dos usuários com filtros por
data, dia e mês.
d) Integração: Compatibilidade
com o sistema de controle de
acesso e com o software de
emissão de relatórios.
e) Compatível com a tecnologia
Mifare de frequência de 13.56Mhz.
g) Instalação física: Montagem,
instalação e configuração do leitor
de reconhecimento facial, com
leitor de proximidade, biometria,
software de emissão de relatórios
de entrada e saída com suporte
facial e chicote (equipamento de
controle de acesso).
u) Infraestrutura local: conforme
layout fornecido pelo TRE.
t) Suporte e garantia de
manutenção on site de 60 meses.
</t>
  </si>
  <si>
    <t>TREINAMENTO DE
COLABORADORES PARA
MANUSEIO E
CONFIGURAÇÃO DO
SISTEMA
a) Treinamento prático presencial
para até 30 (trinta) servidores e
colaboradores responsáveis
pelo manuseio e operação do
sistema de controle de acesso, incluindo catraca e leitor de
reconhecimento facial.
b) Instruções de uso:
Documentação detalhada com
instruções de uso e
procedimentos operacionais.</t>
  </si>
  <si>
    <t>IMPRESSORA TÉRMICA DE
QD CODE PARA ACESSO DE
VISITANTES
a) Velocidade de impressão: Até
250 mm/s, permitindo a impressão
rápida de documentos, incluindo
imagens, logotipos personalizados,
códigos de barras e QR Codes.
b) Interfaces de comunicação:
Possuir conexões Ethernet e USB,
garantindo flexibilidade na
integração com diversos sistemas.
c) Sistema de carregamento de
papel: Equipada com o sistema
drop-in, que facilita a troca rápida
da bobina de papel.
d) Corte de papel: Dispõe de
guilhotina para corte automático,
com durabilidade de até 1 milhão
de cortes.
e) Compatibilidade de comandos:
Compatível com comandos
ESC/POS, softwares existentes.
f) Capacidade da bobina: Suportar
bobinas com largura de 80 mm e
diâmetro de até 80 mm (82 metros
de comprimento de papel).
g) Suporte a códigos de barras:
Imprimir códigos de barras 1D
(UPC-A, UPC-E, EAN-13, EAN-8, CODE39, ITF25, CODEBAR,
CODE93, CODE128) e 2D
(PDF417, QR Code, Data Matrix).
h) Buffer de memória: Possuir um
buffer de 512 KB para
armazenamento temporário de
dados de impressão.
i) Dimensões e peso (referência):
Altura: 120 mm Largura: 137 mm
Profundidade: 185 mm Peso bruto:
1,83 kg Peso líquido: 1,20 kg (mais
0,231 kg da fonte)
j) Instalação física: Montagem,
instalação e configuração de
impressora térmica de QD CODE
para acesso de visitantes.
l) Suporte e garantia de
manutenção on site de 60 meses.</t>
  </si>
  <si>
    <t>SISTEMA DE FECHAMENTO
- (com porta chaveada) - portão
PNE em aço inox
a)Fornecimento e instalação de
fechamento de catraca; Requisitos:
adaptado segundo layout fornecido
pelo TRE;
b) Confeccionado em aço inox;
c) Fechamento central em barras
de inox;
d) Medidas: conforme projeto
fornecido pelo TRE. a empresa
deverá alocar primeiramente os
equipamentos do Lote 1, de forma
que no espaço restante possa ser
alocado o portão PCD, de modo
que o fechamento esteja em
perfeita harmonia com o conjunto instalado.
e) Instalação física: Montagem,
instalação e configuração do
sistema de fechamento.
e) Suporte e garantia de
manutenção on site de 60 meses.</t>
  </si>
  <si>
    <t>DETECTOR DE METAIS TIPO
PÓRTICO
Requisitos:
Composto com 8 zonas de
detecção e sistema digital microprocessado, detecta metais ferrosos
e não ferrosos.
a) Estrutura: acabamento com
pintura eletrostática na cor cinza
ou preta, robusta e resistente a
impactos mecânicos. Não possuir
cantos ou pontas angulosas,
pontiagudas ou afiadas, que
possam causar danos em pessoas
ou roupas.
b) Dimensões aproximadas: 2,10 m
de altura x 0,70 m de largura
interna x 0,35 m de profundidade.
c) Sensibilidade: ajuste digital de
sensibilidade em 100 níveis
variando de 0 a 100. Ajuste do
nível de sensibilidade por zona.
d) Alarmes: sinal sonoro com
volume e tom ajustáveis e
indicador visual de anormalidade
na cor vermelha.
e) Painel para configurações das
funções do equipamento, tais como: alarme sonoro e visual,
teclado, sensibilidade, frequência
de operação, potência e demais
configurações.
f) Programação local ou remota
com possibilidade de conexão à
rede de informática.
g) Deverá possuir contador de
eventos de detecções/passagens.
h) O equipamento deve possuir
função de emissão de relatórios
operacionais que possam ser
exportados e, posteriormente, lidos
e impressos.
i) A emissão eletromagnética do
equipamento deve estar limitada a
um nível considerado inofensivo
para seres humanos (portadores de
marca-passo, sistemas de apoio
vital, mulheres grávidas etc.).
j) Alimentação: bivolt (110V ~
220V), 60 Hz. k) Deverá ser
entregue completo, instalado,
calibrado e pronto para entrar em
operação imediata, com manual em
português contendo todas as
instruções relativas ao
equipamento e as especificações
técnicas do fabricante.
l) Instalação física: Montagem,
instalação e configuração dos
detectores de metais tipo pórtico.
m) Infraestrutura local: conforme
layout fornecido pelo TRE.
n) Suporte e garantia de manutenção on site de 60 meses.</t>
  </si>
  <si>
    <t>PRÓ ATIVA ALARMES LTDA</t>
  </si>
  <si>
    <t>TECNOLOGIAS E SEGURANÇA SOLUÇÕES INTELIGENTES</t>
  </si>
  <si>
    <t>AMDTECH SOLUTION LTDA</t>
  </si>
  <si>
    <t>DIMIP SISTEMAS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</si>
</sst>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19" sqref="G19:H1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98</v>
      </c>
      <c r="C3" s="36" t="s">
        <v>7</v>
      </c>
      <c r="D3" s="36">
        <v>20</v>
      </c>
      <c r="E3" s="37">
        <f>IF(C20&lt;=25%,D20,MIN(E20:F20))</f>
        <v>15529.07</v>
      </c>
      <c r="F3" s="37">
        <f>MIN(H3:H17)</f>
        <v>7800</v>
      </c>
      <c r="G3" s="5" t="s">
        <v>106</v>
      </c>
      <c r="H3" s="16">
        <v>7800</v>
      </c>
      <c r="I3" s="17">
        <f>IF(H3="","",(IF($C$20&lt;25%,"n/a",IF(H3&lt;=($D$20+$A$20),H3,"Descartado"))))</f>
        <v>7800</v>
      </c>
    </row>
    <row r="4" spans="1:9" x14ac:dyDescent="0.25">
      <c r="A4" s="38"/>
      <c r="B4" s="35"/>
      <c r="C4" s="36"/>
      <c r="D4" s="36"/>
      <c r="E4" s="37"/>
      <c r="F4" s="37"/>
      <c r="G4" s="5" t="s">
        <v>107</v>
      </c>
      <c r="H4" s="16">
        <v>18223.2</v>
      </c>
      <c r="I4" s="17">
        <f t="shared" ref="I4:I17" si="0">IF(H4="","",(IF($C$20&lt;25%,"n/a",IF(H4&lt;=($D$20+$A$20),H4,"Descartado"))))</f>
        <v>18223.2</v>
      </c>
    </row>
    <row r="5" spans="1:9" x14ac:dyDescent="0.25">
      <c r="A5" s="38"/>
      <c r="B5" s="35"/>
      <c r="C5" s="36"/>
      <c r="D5" s="36"/>
      <c r="E5" s="37"/>
      <c r="F5" s="37"/>
      <c r="G5" s="5" t="s">
        <v>108</v>
      </c>
      <c r="H5" s="16">
        <v>26741.56</v>
      </c>
      <c r="I5" s="17" t="str">
        <f t="shared" si="0"/>
        <v>Descartado</v>
      </c>
    </row>
    <row r="6" spans="1:9" x14ac:dyDescent="0.25">
      <c r="A6" s="38"/>
      <c r="B6" s="35"/>
      <c r="C6" s="36"/>
      <c r="D6" s="36"/>
      <c r="E6" s="37"/>
      <c r="F6" s="37"/>
      <c r="G6" s="5" t="s">
        <v>109</v>
      </c>
      <c r="H6" s="16">
        <v>20564</v>
      </c>
      <c r="I6" s="17">
        <f>IF(H6="","",(IF($C$20&lt;25%,"n/a",IF(H6&lt;=($D$20+$A$20),H6,"Descartado"))))</f>
        <v>20564</v>
      </c>
    </row>
    <row r="7" spans="1:9" x14ac:dyDescent="0.25">
      <c r="A7" s="38"/>
      <c r="B7" s="35"/>
      <c r="C7" s="36"/>
      <c r="D7" s="36"/>
      <c r="E7" s="37"/>
      <c r="F7" s="37"/>
      <c r="G7" s="5"/>
      <c r="H7" s="16"/>
      <c r="I7" s="17"/>
    </row>
    <row r="8" spans="1:9" x14ac:dyDescent="0.25">
      <c r="A8" s="38"/>
      <c r="B8" s="35"/>
      <c r="C8" s="36"/>
      <c r="D8" s="36"/>
      <c r="E8" s="37"/>
      <c r="F8" s="37"/>
      <c r="G8" s="5"/>
      <c r="H8" s="16"/>
      <c r="I8" s="17"/>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7887.4876585048651</v>
      </c>
      <c r="B20" s="8">
        <f>COUNT(H3:H17)</f>
        <v>4</v>
      </c>
      <c r="C20" s="9">
        <f>IF(B20&lt;2,"n/a",(A20/D20))</f>
        <v>0.43025343172337105</v>
      </c>
      <c r="D20" s="10">
        <f>IFERROR(ROUND(AVERAGE(H3:H17),2),"")</f>
        <v>18332.189999999999</v>
      </c>
      <c r="E20" s="15">
        <f>IFERROR(ROUND(IF(B20&lt;2,"n/a",(IF(C20&lt;=25%,"n/a",AVERAGE(I3:I17)))),2),"n/a")</f>
        <v>15529.07</v>
      </c>
      <c r="F20" s="10">
        <f>IFERROR(ROUND(MEDIAN(H3:H17),2),"")</f>
        <v>19393.599999999999</v>
      </c>
      <c r="G20" s="11" t="str">
        <f>IFERROR(INDEX(G3:G17,MATCH(H20,H3:H17,0)),"")</f>
        <v>PRÓ ATIVA ALARMES LTDA</v>
      </c>
      <c r="H20" s="12">
        <f>F3</f>
        <v>7800</v>
      </c>
    </row>
    <row r="22" spans="1:9" x14ac:dyDescent="0.25">
      <c r="G22" s="13" t="s">
        <v>20</v>
      </c>
      <c r="H22" s="14">
        <f>IF(C20&lt;=25%,D20,MIN(E20:F20))</f>
        <v>15529.07</v>
      </c>
    </row>
    <row r="23" spans="1:9" x14ac:dyDescent="0.25">
      <c r="G23" s="13" t="s">
        <v>6</v>
      </c>
      <c r="H23" s="14">
        <f>ROUND(H22,2)*D3</f>
        <v>310581.40000000002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4" sqref="G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4" sqref="G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4" sqref="G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4" sqref="G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4" sqref="G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92</v>
      </c>
      <c r="C3" s="36" t="s">
        <v>7</v>
      </c>
      <c r="D3" s="36"/>
      <c r="E3" s="37">
        <f>IF(C20&lt;=25%,D20,MIN(E20:F20))</f>
        <v>4065.18</v>
      </c>
      <c r="F3" s="37">
        <f>MIN(H3:H17)</f>
        <v>2900</v>
      </c>
      <c r="G3" s="5" t="s">
        <v>93</v>
      </c>
      <c r="H3" s="16">
        <v>2900</v>
      </c>
      <c r="I3" s="17">
        <f>IF(H3="","",(IF($C$20&lt;25%,"n/a",IF(H3&lt;=($D$20+$A$20),H3,"Descartado"))))</f>
        <v>2900</v>
      </c>
    </row>
    <row r="4" spans="1:9" x14ac:dyDescent="0.25">
      <c r="A4" s="38"/>
      <c r="B4" s="35"/>
      <c r="C4" s="36"/>
      <c r="D4" s="36"/>
      <c r="E4" s="37"/>
      <c r="F4" s="37"/>
      <c r="G4" s="5" t="s">
        <v>94</v>
      </c>
      <c r="H4" s="16">
        <v>5006.71</v>
      </c>
      <c r="I4" s="17">
        <f t="shared" ref="I4:I17" si="0">IF(H4="","",(IF($C$20&lt;25%,"n/a",IF(H4&lt;=($D$20+$A$20),H4,"Descartado"))))</f>
        <v>5006.71</v>
      </c>
    </row>
    <row r="5" spans="1:9" x14ac:dyDescent="0.25">
      <c r="A5" s="38"/>
      <c r="B5" s="35"/>
      <c r="C5" s="36"/>
      <c r="D5" s="36"/>
      <c r="E5" s="37"/>
      <c r="F5" s="37"/>
      <c r="G5" s="5" t="s">
        <v>95</v>
      </c>
      <c r="H5" s="16">
        <v>2987.5</v>
      </c>
      <c r="I5" s="17">
        <f t="shared" si="0"/>
        <v>2987.5</v>
      </c>
    </row>
    <row r="6" spans="1:9" x14ac:dyDescent="0.25">
      <c r="A6" s="38"/>
      <c r="B6" s="35"/>
      <c r="C6" s="36"/>
      <c r="D6" s="36"/>
      <c r="E6" s="37"/>
      <c r="F6" s="37"/>
      <c r="G6" s="5" t="s">
        <v>96</v>
      </c>
      <c r="H6" s="16">
        <v>5366.52</v>
      </c>
      <c r="I6" s="17">
        <f t="shared" si="0"/>
        <v>5366.52</v>
      </c>
    </row>
    <row r="7" spans="1:9" x14ac:dyDescent="0.25">
      <c r="A7" s="38"/>
      <c r="B7" s="35"/>
      <c r="C7" s="36"/>
      <c r="D7" s="36"/>
      <c r="E7" s="37"/>
      <c r="F7" s="37"/>
      <c r="G7" s="5" t="s">
        <v>97</v>
      </c>
      <c r="H7" s="16">
        <v>5847.17</v>
      </c>
      <c r="I7" s="17" t="str">
        <f t="shared" si="0"/>
        <v>Descartado</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1381.9720249882039</v>
      </c>
      <c r="B20" s="8">
        <f>COUNT(H3:H17)</f>
        <v>5</v>
      </c>
      <c r="C20" s="9">
        <f>IF(B20&lt;2,"n/a",(A20/D20))</f>
        <v>0.31255162746986459</v>
      </c>
      <c r="D20" s="10">
        <f>IFERROR(ROUND(AVERAGE(H3:H17),2),"")</f>
        <v>4421.58</v>
      </c>
      <c r="E20" s="15">
        <f>IFERROR(ROUND(IF(B20&lt;2,"n/a",(IF(C20&lt;=25%,"n/a",AVERAGE(I3:I17)))),2),"n/a")</f>
        <v>4065.18</v>
      </c>
      <c r="F20" s="10">
        <f>IFERROR(ROUND(MEDIAN(H3:H17),2),"")</f>
        <v>5006.71</v>
      </c>
      <c r="G20" s="11" t="str">
        <f>IFERROR(INDEX(G3:G17,MATCH(H20,H3:H17,0)),"")</f>
        <v>TECNO2000 INDÚSTRIA E COMÉRCIO LTDA</v>
      </c>
      <c r="H20" s="12">
        <f>F3</f>
        <v>2900</v>
      </c>
    </row>
    <row r="22" spans="1:9" x14ac:dyDescent="0.25">
      <c r="G22" s="13" t="s">
        <v>20</v>
      </c>
      <c r="H22" s="14">
        <f>IF(C20&lt;=25%,D20,MIN(E20:F20))</f>
        <v>4065.18</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55</v>
      </c>
      <c r="C3" s="36" t="s">
        <v>7</v>
      </c>
      <c r="D3" s="36">
        <v>1000</v>
      </c>
      <c r="E3" s="37">
        <f>IF(C20&lt;=25%,D20,MIN(E20:F20))</f>
        <v>4.68</v>
      </c>
      <c r="F3" s="37">
        <f>MIN(H3:H17)</f>
        <v>3.57</v>
      </c>
      <c r="G3" s="5" t="s">
        <v>65</v>
      </c>
      <c r="H3" s="16">
        <v>3.69</v>
      </c>
      <c r="I3" s="17">
        <f>IF(H3="","",(IF($C$20&lt;25%,"n/a",IF(H3&lt;=($D$20+$A$20),H3,"Descartado"))))</f>
        <v>3.69</v>
      </c>
    </row>
    <row r="4" spans="1:9" x14ac:dyDescent="0.25">
      <c r="A4" s="38"/>
      <c r="B4" s="35"/>
      <c r="C4" s="36"/>
      <c r="D4" s="36"/>
      <c r="E4" s="37"/>
      <c r="F4" s="37"/>
      <c r="G4" s="5" t="s">
        <v>66</v>
      </c>
      <c r="H4" s="16">
        <v>3.57</v>
      </c>
      <c r="I4" s="17">
        <f t="shared" ref="I4:I17" si="0">IF(H4="","",(IF($C$20&lt;25%,"n/a",IF(H4&lt;=($D$20+$A$20),H4,"Descartado"))))</f>
        <v>3.57</v>
      </c>
    </row>
    <row r="5" spans="1:9" x14ac:dyDescent="0.25">
      <c r="A5" s="38"/>
      <c r="B5" s="35"/>
      <c r="C5" s="36"/>
      <c r="D5" s="36"/>
      <c r="E5" s="37"/>
      <c r="F5" s="37"/>
      <c r="G5" s="5" t="s">
        <v>67</v>
      </c>
      <c r="H5" s="16">
        <v>6.79</v>
      </c>
      <c r="I5" s="17">
        <f t="shared" si="0"/>
        <v>6.79</v>
      </c>
    </row>
    <row r="6" spans="1:9" x14ac:dyDescent="0.25">
      <c r="A6" s="38"/>
      <c r="B6" s="35"/>
      <c r="C6" s="36"/>
      <c r="D6" s="36"/>
      <c r="E6" s="37"/>
      <c r="F6" s="37"/>
      <c r="G6" s="5" t="s">
        <v>68</v>
      </c>
      <c r="H6" s="16">
        <v>17.46</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6.5598951973335673</v>
      </c>
      <c r="B20" s="8">
        <f>COUNT(H3:H17)</f>
        <v>4</v>
      </c>
      <c r="C20" s="9">
        <f>IF(B20&lt;2,"n/a",(A20/D20))</f>
        <v>0.83247400981390451</v>
      </c>
      <c r="D20" s="10">
        <f>IFERROR(ROUND(AVERAGE(H3:H17),2),"")</f>
        <v>7.88</v>
      </c>
      <c r="E20" s="15">
        <f>IFERROR(ROUND(IF(B20&lt;2,"n/a",(IF(C20&lt;=25%,"n/a",AVERAGE(I3:I17)))),2),"n/a")</f>
        <v>4.68</v>
      </c>
      <c r="F20" s="10">
        <f>IFERROR(ROUND(MEDIAN(H3:H17),2),"")</f>
        <v>5.24</v>
      </c>
      <c r="G20" s="11" t="str">
        <f>IFERROR(INDEX(G3:G17,MATCH(H20,H3:H17,0)),"")</f>
        <v>JJ VITALI</v>
      </c>
      <c r="H20" s="12">
        <f>F3</f>
        <v>3.57</v>
      </c>
    </row>
    <row r="22" spans="1:9" x14ac:dyDescent="0.25">
      <c r="G22" s="13" t="s">
        <v>20</v>
      </c>
      <c r="H22" s="14">
        <f>IF(C20&lt;=25%,D20,MIN(E20:F20))</f>
        <v>4.68</v>
      </c>
    </row>
    <row r="23" spans="1:9" x14ac:dyDescent="0.25">
      <c r="G23" s="13" t="s">
        <v>6</v>
      </c>
      <c r="H23" s="14">
        <f>ROUND(H22,2)*D3</f>
        <v>4680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56</v>
      </c>
      <c r="C3" s="36" t="s">
        <v>57</v>
      </c>
      <c r="D3" s="36">
        <v>100</v>
      </c>
      <c r="E3" s="37">
        <f>IF(C20&lt;=25%,D20,MIN(E20:F20))</f>
        <v>112.83</v>
      </c>
      <c r="F3" s="37">
        <f>MIN(H3:H17)</f>
        <v>95.67</v>
      </c>
      <c r="G3" s="5" t="s">
        <v>69</v>
      </c>
      <c r="H3" s="16">
        <v>95.67</v>
      </c>
      <c r="I3" s="17">
        <f>IF(H3="","",(IF($C$20&lt;25%,"n/a",IF(H3&lt;=($D$20+$A$20),H3,"Descartado"))))</f>
        <v>95.67</v>
      </c>
    </row>
    <row r="4" spans="1:9" x14ac:dyDescent="0.25">
      <c r="A4" s="38"/>
      <c r="B4" s="35"/>
      <c r="C4" s="36"/>
      <c r="D4" s="36"/>
      <c r="E4" s="37"/>
      <c r="F4" s="37"/>
      <c r="G4" s="5" t="s">
        <v>70</v>
      </c>
      <c r="H4" s="16">
        <v>129.99</v>
      </c>
      <c r="I4" s="17">
        <f t="shared" ref="I4:I17" si="0">IF(H4="","",(IF($C$20&lt;25%,"n/a",IF(H4&lt;=($D$20+$A$20),H4,"Descartado"))))</f>
        <v>129.99</v>
      </c>
    </row>
    <row r="5" spans="1:9" x14ac:dyDescent="0.25">
      <c r="A5" s="38"/>
      <c r="B5" s="35"/>
      <c r="C5" s="36"/>
      <c r="D5" s="36"/>
      <c r="E5" s="37"/>
      <c r="F5" s="37"/>
      <c r="G5" s="5" t="s">
        <v>71</v>
      </c>
      <c r="H5" s="16">
        <v>543.89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249.46350461206413</v>
      </c>
      <c r="B20" s="8">
        <f>COUNT(H3:H17)</f>
        <v>3</v>
      </c>
      <c r="C20" s="9">
        <f>IF(B20&lt;2,"n/a",(A20/D20))</f>
        <v>0.97249144165002399</v>
      </c>
      <c r="D20" s="10">
        <f>IFERROR(ROUND(AVERAGE(H3:H17),2),"")</f>
        <v>256.52</v>
      </c>
      <c r="E20" s="15">
        <f>IFERROR(ROUND(IF(B20&lt;2,"n/a",(IF(C20&lt;=25%,"n/a",AVERAGE(I3:I17)))),2),"n/a")</f>
        <v>112.83</v>
      </c>
      <c r="F20" s="10">
        <f>IFERROR(ROUND(MEDIAN(H3:H17),2),"")</f>
        <v>129.99</v>
      </c>
      <c r="G20" s="11" t="str">
        <f>IFERROR(INDEX(G3:G17,MATCH(H20,H3:H17,0)),"")</f>
        <v>N. DO AMARAL GOMES LTDA</v>
      </c>
      <c r="H20" s="12">
        <f>F3</f>
        <v>95.67</v>
      </c>
    </row>
    <row r="22" spans="1:9" x14ac:dyDescent="0.25">
      <c r="G22" s="13" t="s">
        <v>20</v>
      </c>
      <c r="H22" s="14">
        <f>IF(C20&lt;=25%,D20,MIN(E20:F20))</f>
        <v>112.83</v>
      </c>
    </row>
    <row r="23" spans="1:9" x14ac:dyDescent="0.25">
      <c r="G23" s="13" t="s">
        <v>6</v>
      </c>
      <c r="H23" s="14">
        <f>ROUND(H22,2)*D3</f>
        <v>11283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58</v>
      </c>
      <c r="C3" s="36" t="s">
        <v>59</v>
      </c>
      <c r="D3" s="36">
        <v>100</v>
      </c>
      <c r="E3" s="37">
        <f>IF(C20&lt;=25%,D20,MIN(E20:F20))</f>
        <v>83.03</v>
      </c>
      <c r="F3" s="37">
        <f>MIN(H3:H17)</f>
        <v>45</v>
      </c>
      <c r="G3" s="5" t="s">
        <v>72</v>
      </c>
      <c r="H3" s="16">
        <v>103.19</v>
      </c>
      <c r="I3" s="17">
        <f>IF(H3="","",(IF($C$20&lt;25%,"n/a",IF(H3&lt;=($D$20+$A$20),H3,"Descartado"))))</f>
        <v>103.19</v>
      </c>
    </row>
    <row r="4" spans="1:9" x14ac:dyDescent="0.25">
      <c r="A4" s="38"/>
      <c r="B4" s="35"/>
      <c r="C4" s="36"/>
      <c r="D4" s="36"/>
      <c r="E4" s="37"/>
      <c r="F4" s="37"/>
      <c r="G4" s="5" t="s">
        <v>73</v>
      </c>
      <c r="H4" s="16">
        <v>107.9</v>
      </c>
      <c r="I4" s="17">
        <f t="shared" ref="I4:I17" si="0">IF(H4="","",(IF($C$20&lt;25%,"n/a",IF(H4&lt;=($D$20+$A$20),H4,"Descartado"))))</f>
        <v>107.9</v>
      </c>
    </row>
    <row r="5" spans="1:9" x14ac:dyDescent="0.25">
      <c r="A5" s="38"/>
      <c r="B5" s="35"/>
      <c r="C5" s="36"/>
      <c r="D5" s="36"/>
      <c r="E5" s="37"/>
      <c r="F5" s="37"/>
      <c r="G5" s="5" t="s">
        <v>74</v>
      </c>
      <c r="H5" s="16">
        <v>45</v>
      </c>
      <c r="I5" s="17">
        <f t="shared" si="0"/>
        <v>45</v>
      </c>
    </row>
    <row r="6" spans="1:9" x14ac:dyDescent="0.25">
      <c r="A6" s="38"/>
      <c r="B6" s="35"/>
      <c r="C6" s="36"/>
      <c r="D6" s="36"/>
      <c r="E6" s="37"/>
      <c r="F6" s="37"/>
      <c r="G6" s="5" t="s">
        <v>75</v>
      </c>
      <c r="H6" s="16">
        <v>67.25</v>
      </c>
      <c r="I6" s="17">
        <f t="shared" si="0"/>
        <v>67.25</v>
      </c>
    </row>
    <row r="7" spans="1:9" x14ac:dyDescent="0.25">
      <c r="A7" s="38"/>
      <c r="B7" s="35"/>
      <c r="C7" s="36"/>
      <c r="D7" s="36"/>
      <c r="E7" s="37"/>
      <c r="F7" s="37"/>
      <c r="G7" s="5" t="s">
        <v>76</v>
      </c>
      <c r="H7" s="16">
        <v>91.8</v>
      </c>
      <c r="I7" s="17">
        <f t="shared" si="0"/>
        <v>91.8</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26.44401955074148</v>
      </c>
      <c r="B20" s="8">
        <f>COUNT(H3:H17)</f>
        <v>5</v>
      </c>
      <c r="C20" s="9">
        <f>IF(B20&lt;2,"n/a",(A20/D20))</f>
        <v>0.31848752921524121</v>
      </c>
      <c r="D20" s="10">
        <f>IFERROR(ROUND(AVERAGE(H3:H17),2),"")</f>
        <v>83.03</v>
      </c>
      <c r="E20" s="15">
        <f>IFERROR(ROUND(IF(B20&lt;2,"n/a",(IF(C20&lt;=25%,"n/a",AVERAGE(I3:I17)))),2),"n/a")</f>
        <v>83.03</v>
      </c>
      <c r="F20" s="10">
        <f>IFERROR(ROUND(MEDIAN(H3:H17),2),"")</f>
        <v>91.8</v>
      </c>
      <c r="G20" s="11" t="str">
        <f>IFERROR(INDEX(G3:G17,MATCH(H20,H3:H17,0)),"")</f>
        <v>LED MAIS COMERCIO ( PAINEL DE PREÇOS)</v>
      </c>
      <c r="H20" s="12">
        <f>F3</f>
        <v>45</v>
      </c>
    </row>
    <row r="22" spans="1:9" x14ac:dyDescent="0.25">
      <c r="G22" s="13" t="s">
        <v>20</v>
      </c>
      <c r="H22" s="14">
        <f>IF(C20&lt;=25%,D20,MIN(E20:F20))</f>
        <v>83.03</v>
      </c>
    </row>
    <row r="23" spans="1:9" x14ac:dyDescent="0.25">
      <c r="G23" s="13" t="s">
        <v>6</v>
      </c>
      <c r="H23" s="14">
        <f>ROUND(H22,2)*D3</f>
        <v>8303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61</v>
      </c>
      <c r="C3" s="36" t="s">
        <v>7</v>
      </c>
      <c r="D3" s="36">
        <v>50</v>
      </c>
      <c r="E3" s="37">
        <f>IF(C20&lt;=25%,D20,MIN(E20:F20))</f>
        <v>68.7</v>
      </c>
      <c r="F3" s="37">
        <f>MIN(H3:H17)</f>
        <v>58.5</v>
      </c>
      <c r="G3" s="5" t="s">
        <v>77</v>
      </c>
      <c r="H3" s="16">
        <v>58.5</v>
      </c>
      <c r="I3" s="17" t="str">
        <f>IF(H3="","",(IF($C$20&lt;25%,"n/a",IF(H3&lt;=($D$20+$A$20),H3,"Descartado"))))</f>
        <v>n/a</v>
      </c>
    </row>
    <row r="4" spans="1:9" x14ac:dyDescent="0.25">
      <c r="A4" s="38"/>
      <c r="B4" s="35"/>
      <c r="C4" s="36"/>
      <c r="D4" s="36"/>
      <c r="E4" s="37"/>
      <c r="F4" s="37"/>
      <c r="G4" s="5" t="s">
        <v>78</v>
      </c>
      <c r="H4" s="16">
        <v>62.61</v>
      </c>
      <c r="I4" s="17" t="str">
        <f t="shared" ref="I4:I17" si="0">IF(H4="","",(IF($C$20&lt;25%,"n/a",IF(H4&lt;=($D$20+$A$20),H4,"Descartado"))))</f>
        <v>n/a</v>
      </c>
    </row>
    <row r="5" spans="1:9" x14ac:dyDescent="0.25">
      <c r="A5" s="38"/>
      <c r="B5" s="35"/>
      <c r="C5" s="36"/>
      <c r="D5" s="36"/>
      <c r="E5" s="37"/>
      <c r="F5" s="37"/>
      <c r="G5" s="5" t="s">
        <v>79</v>
      </c>
      <c r="H5" s="16">
        <v>85</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14.262153881280781</v>
      </c>
      <c r="B20" s="8">
        <f>COUNT(H3:H17)</f>
        <v>3</v>
      </c>
      <c r="C20" s="9">
        <f>IF(B20&lt;2,"n/a",(A20/D20))</f>
        <v>0.20760049317730395</v>
      </c>
      <c r="D20" s="10">
        <f>IFERROR(ROUND(AVERAGE(H3:H17),2),"")</f>
        <v>68.7</v>
      </c>
      <c r="E20" s="15" t="str">
        <f>IFERROR(ROUND(IF(B20&lt;2,"n/a",(IF(C20&lt;=25%,"n/a",AVERAGE(I3:I17)))),2),"n/a")</f>
        <v>n/a</v>
      </c>
      <c r="F20" s="10">
        <f>IFERROR(ROUND(MEDIAN(H3:H17),2),"")</f>
        <v>62.61</v>
      </c>
      <c r="G20" s="11" t="str">
        <f>IFERROR(INDEX(G3:G17,MATCH(H20,H3:H17,0)),"")</f>
        <v>BIANCA TEIXEIRA</v>
      </c>
      <c r="H20" s="12">
        <f>F3</f>
        <v>58.5</v>
      </c>
    </row>
    <row r="22" spans="1:9" x14ac:dyDescent="0.25">
      <c r="G22" s="13" t="s">
        <v>20</v>
      </c>
      <c r="H22" s="14">
        <f>IF(C20&lt;=25%,D20,MIN(E20:F20))</f>
        <v>68.7</v>
      </c>
    </row>
    <row r="23" spans="1:9" x14ac:dyDescent="0.25">
      <c r="G23" s="13" t="s">
        <v>6</v>
      </c>
      <c r="H23" s="14">
        <f>ROUND(H22,2)*D3</f>
        <v>3435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99</v>
      </c>
      <c r="C3" s="36" t="s">
        <v>7</v>
      </c>
      <c r="D3" s="36">
        <v>17</v>
      </c>
      <c r="E3" s="37">
        <f>IF(C20&lt;=25%,D20,MIN(E20:F20))</f>
        <v>13644.87</v>
      </c>
      <c r="F3" s="37">
        <f>MIN(H3:H17)</f>
        <v>6800</v>
      </c>
      <c r="G3" s="5" t="s">
        <v>106</v>
      </c>
      <c r="H3" s="16">
        <v>6800</v>
      </c>
      <c r="I3" s="17">
        <f>IF(H3="","",(IF($C$20&lt;25%,"n/a",IF(H3&lt;=($D$20+$A$20),H3,"Descartado"))))</f>
        <v>6800</v>
      </c>
    </row>
    <row r="4" spans="1:9" x14ac:dyDescent="0.25">
      <c r="A4" s="38"/>
      <c r="B4" s="35"/>
      <c r="C4" s="36"/>
      <c r="D4" s="36"/>
      <c r="E4" s="37"/>
      <c r="F4" s="37"/>
      <c r="G4" s="5" t="s">
        <v>107</v>
      </c>
      <c r="H4" s="16">
        <v>25246.35</v>
      </c>
      <c r="I4" s="17" t="str">
        <f t="shared" ref="I4:I17" si="0">IF(H4="","",(IF($C$20&lt;25%,"n/a",IF(H4&lt;=($D$20+$A$20),H4,"Descartado"))))</f>
        <v>Descartado</v>
      </c>
    </row>
    <row r="5" spans="1:9" x14ac:dyDescent="0.25">
      <c r="A5" s="38"/>
      <c r="B5" s="35"/>
      <c r="C5" s="36"/>
      <c r="D5" s="36"/>
      <c r="E5" s="37"/>
      <c r="F5" s="37"/>
      <c r="G5" s="5" t="s">
        <v>108</v>
      </c>
      <c r="H5" s="16">
        <v>19619.599999999999</v>
      </c>
      <c r="I5" s="17">
        <f t="shared" si="0"/>
        <v>19619.599999999999</v>
      </c>
    </row>
    <row r="6" spans="1:9" x14ac:dyDescent="0.25">
      <c r="A6" s="38"/>
      <c r="B6" s="35"/>
      <c r="C6" s="36"/>
      <c r="D6" s="36"/>
      <c r="E6" s="37"/>
      <c r="F6" s="37"/>
      <c r="G6" s="5" t="s">
        <v>109</v>
      </c>
      <c r="H6" s="16">
        <v>14515</v>
      </c>
      <c r="I6" s="17">
        <f t="shared" si="0"/>
        <v>14515</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7836.9335362941338</v>
      </c>
      <c r="B20" s="8">
        <f>COUNT(H3:H17)</f>
        <v>4</v>
      </c>
      <c r="C20" s="9">
        <f>IF(B20&lt;2,"n/a",(A20/D20))</f>
        <v>0.47366696018275545</v>
      </c>
      <c r="D20" s="10">
        <f>IFERROR(ROUND(AVERAGE(H3:H17),2),"")</f>
        <v>16545.240000000002</v>
      </c>
      <c r="E20" s="15">
        <f>IFERROR(ROUND(IF(B20&lt;2,"n/a",(IF(C20&lt;=25%,"n/a",AVERAGE(I3:I17)))),2),"n/a")</f>
        <v>13644.87</v>
      </c>
      <c r="F20" s="10">
        <f>IFERROR(ROUND(MEDIAN(H3:H17),2),"")</f>
        <v>17067.3</v>
      </c>
      <c r="G20" s="11" t="str">
        <f>IFERROR(INDEX(G3:G17,MATCH(H20,H3:H17,0)),"")</f>
        <v>PRÓ ATIVA ALARMES LTDA</v>
      </c>
      <c r="H20" s="12">
        <f>F3</f>
        <v>6800</v>
      </c>
    </row>
    <row r="22" spans="1:9" x14ac:dyDescent="0.25">
      <c r="G22" s="13" t="s">
        <v>20</v>
      </c>
      <c r="H22" s="14">
        <f>IF(C20&lt;=25%,D20,MIN(E20:F20))</f>
        <v>13644.87</v>
      </c>
    </row>
    <row r="23" spans="1:9" x14ac:dyDescent="0.25">
      <c r="G23" s="13" t="s">
        <v>6</v>
      </c>
      <c r="H23" s="14">
        <f>ROUND(H22,2)*D3</f>
        <v>231962.79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62</v>
      </c>
      <c r="C3" s="36" t="s">
        <v>60</v>
      </c>
      <c r="D3" s="36">
        <v>50</v>
      </c>
      <c r="E3" s="37">
        <f>IF(C20&lt;=25%,D20,MIN(E20:F20))</f>
        <v>169.47</v>
      </c>
      <c r="F3" s="37">
        <f>MIN(H3:H17)</f>
        <v>53.9</v>
      </c>
      <c r="G3" s="5" t="s">
        <v>80</v>
      </c>
      <c r="H3" s="16">
        <v>53.9</v>
      </c>
      <c r="I3" s="17">
        <f>IF(H3="","",(IF($C$20&lt;25%,"n/a",IF(H3&lt;=($D$20+$A$20),H3,"Descartado"))))</f>
        <v>53.9</v>
      </c>
    </row>
    <row r="4" spans="1:9" x14ac:dyDescent="0.25">
      <c r="A4" s="38"/>
      <c r="B4" s="35"/>
      <c r="C4" s="36"/>
      <c r="D4" s="36"/>
      <c r="E4" s="37"/>
      <c r="F4" s="37"/>
      <c r="G4" s="5" t="s">
        <v>81</v>
      </c>
      <c r="H4" s="16">
        <v>114.5</v>
      </c>
      <c r="I4" s="17">
        <f t="shared" ref="I4:I17" si="0">IF(H4="","",(IF($C$20&lt;25%,"n/a",IF(H4&lt;=($D$20+$A$20),H4,"Descartado"))))</f>
        <v>114.5</v>
      </c>
    </row>
    <row r="5" spans="1:9" x14ac:dyDescent="0.25">
      <c r="A5" s="38"/>
      <c r="B5" s="35"/>
      <c r="C5" s="36"/>
      <c r="D5" s="36"/>
      <c r="E5" s="37"/>
      <c r="F5" s="37"/>
      <c r="G5" s="5" t="s">
        <v>82</v>
      </c>
      <c r="H5" s="16">
        <v>340</v>
      </c>
      <c r="I5" s="17">
        <f t="shared" si="0"/>
        <v>340</v>
      </c>
    </row>
    <row r="6" spans="1:9" x14ac:dyDescent="0.25">
      <c r="A6" s="38"/>
      <c r="B6" s="35"/>
      <c r="C6" s="36"/>
      <c r="D6" s="36"/>
      <c r="E6" s="37"/>
      <c r="F6" s="37"/>
      <c r="G6" s="5" t="s">
        <v>83</v>
      </c>
      <c r="H6" s="16">
        <v>489</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201.68851396811533</v>
      </c>
      <c r="B20" s="8">
        <f>COUNT(H3:H17)</f>
        <v>4</v>
      </c>
      <c r="C20" s="9">
        <f>IF(B20&lt;2,"n/a",(A20/D20))</f>
        <v>0.80885708429161951</v>
      </c>
      <c r="D20" s="10">
        <f>IFERROR(ROUND(AVERAGE(H3:H17),2),"")</f>
        <v>249.35</v>
      </c>
      <c r="E20" s="15">
        <f>IFERROR(ROUND(IF(B20&lt;2,"n/a",(IF(C20&lt;=25%,"n/a",AVERAGE(I3:I17)))),2),"n/a")</f>
        <v>169.47</v>
      </c>
      <c r="F20" s="10">
        <f>IFERROR(ROUND(MEDIAN(H3:H17),2),"")</f>
        <v>227.25</v>
      </c>
      <c r="G20" s="11" t="str">
        <f>IFERROR(INDEX(G3:G17,MATCH(H20,H3:H17,0)),"")</f>
        <v>NOVA POMPEIA COMERCIO VAREJISTA E</v>
      </c>
      <c r="H20" s="12">
        <f>F3</f>
        <v>53.9</v>
      </c>
    </row>
    <row r="22" spans="1:9" x14ac:dyDescent="0.25">
      <c r="G22" s="13" t="s">
        <v>20</v>
      </c>
      <c r="H22" s="14">
        <f>IF(C20&lt;=25%,D20,MIN(E20:F20))</f>
        <v>169.47</v>
      </c>
    </row>
    <row r="23" spans="1:9" x14ac:dyDescent="0.25">
      <c r="G23" s="13" t="s">
        <v>6</v>
      </c>
      <c r="H23" s="14">
        <f>ROUND(H22,2)*D3</f>
        <v>8473.5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63</v>
      </c>
      <c r="C3" s="36" t="s">
        <v>60</v>
      </c>
      <c r="D3" s="36">
        <v>50</v>
      </c>
      <c r="E3" s="37">
        <f>IF(C20&lt;=25%,D20,MIN(E20:F20))</f>
        <v>203.92</v>
      </c>
      <c r="F3" s="37">
        <f>MIN(H3:H17)</f>
        <v>108.9</v>
      </c>
      <c r="G3" s="5" t="s">
        <v>84</v>
      </c>
      <c r="H3" s="16">
        <v>108.9</v>
      </c>
      <c r="I3" s="17">
        <f>IF(H3="","",(IF($C$20&lt;25%,"n/a",IF(H3&lt;=($D$20+$A$20),H3,"Descartado"))))</f>
        <v>108.9</v>
      </c>
    </row>
    <row r="4" spans="1:9" x14ac:dyDescent="0.25">
      <c r="A4" s="38"/>
      <c r="B4" s="35"/>
      <c r="C4" s="36"/>
      <c r="D4" s="36"/>
      <c r="E4" s="37"/>
      <c r="F4" s="37"/>
      <c r="G4" s="5" t="s">
        <v>85</v>
      </c>
      <c r="H4" s="16">
        <v>138.97999999999999</v>
      </c>
      <c r="I4" s="17">
        <f t="shared" ref="I4:I17" si="0">IF(H4="","",(IF($C$20&lt;25%,"n/a",IF(H4&lt;=($D$20+$A$20),H4,"Descartado"))))</f>
        <v>138.97999999999999</v>
      </c>
    </row>
    <row r="5" spans="1:9" x14ac:dyDescent="0.25">
      <c r="A5" s="38"/>
      <c r="B5" s="35"/>
      <c r="C5" s="36"/>
      <c r="D5" s="36"/>
      <c r="E5" s="37"/>
      <c r="F5" s="37"/>
      <c r="G5" s="5" t="s">
        <v>86</v>
      </c>
      <c r="H5" s="16">
        <v>307.89999999999998</v>
      </c>
      <c r="I5" s="17">
        <f t="shared" si="0"/>
        <v>307.89999999999998</v>
      </c>
    </row>
    <row r="6" spans="1:9" x14ac:dyDescent="0.25">
      <c r="A6" s="38"/>
      <c r="B6" s="35"/>
      <c r="C6" s="36"/>
      <c r="D6" s="36"/>
      <c r="E6" s="37"/>
      <c r="F6" s="37"/>
      <c r="G6" s="5" t="s">
        <v>83</v>
      </c>
      <c r="H6" s="16">
        <v>259.89999999999998</v>
      </c>
      <c r="I6" s="17">
        <f t="shared" si="0"/>
        <v>259.89999999999998</v>
      </c>
    </row>
    <row r="7" spans="1:9" x14ac:dyDescent="0.25">
      <c r="A7" s="38"/>
      <c r="B7" s="35"/>
      <c r="C7" s="36"/>
      <c r="D7" s="36"/>
      <c r="E7" s="37"/>
      <c r="F7" s="37"/>
      <c r="G7" s="5" t="s">
        <v>87</v>
      </c>
      <c r="H7" s="16">
        <v>379.9</v>
      </c>
      <c r="I7" s="17" t="str">
        <f t="shared" si="0"/>
        <v>Descartado</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113.98110931202594</v>
      </c>
      <c r="B20" s="8">
        <f>COUNT(H3:H17)</f>
        <v>5</v>
      </c>
      <c r="C20" s="9">
        <f>IF(B20&lt;2,"n/a",(A20/D20))</f>
        <v>0.47666907540994452</v>
      </c>
      <c r="D20" s="10">
        <f>IFERROR(ROUND(AVERAGE(H3:H17),2),"")</f>
        <v>239.12</v>
      </c>
      <c r="E20" s="15">
        <f>IFERROR(ROUND(IF(B20&lt;2,"n/a",(IF(C20&lt;=25%,"n/a",AVERAGE(I3:I17)))),2),"n/a")</f>
        <v>203.92</v>
      </c>
      <c r="F20" s="10">
        <f>IFERROR(ROUND(MEDIAN(H3:H17),2),"")</f>
        <v>259.89999999999998</v>
      </c>
      <c r="G20" s="11" t="str">
        <f>IFERROR(INDEX(G3:G17,MATCH(H20,H3:H17,0)),"")</f>
        <v xml:space="preserve">WOLVES GROUP AND </v>
      </c>
      <c r="H20" s="12">
        <f>F3</f>
        <v>108.9</v>
      </c>
    </row>
    <row r="22" spans="1:9" x14ac:dyDescent="0.25">
      <c r="G22" s="13" t="s">
        <v>20</v>
      </c>
      <c r="H22" s="14">
        <f>IF(C20&lt;=25%,D20,MIN(E20:F20))</f>
        <v>203.92</v>
      </c>
    </row>
    <row r="23" spans="1:9" x14ac:dyDescent="0.25">
      <c r="G23" s="13" t="s">
        <v>6</v>
      </c>
      <c r="H23" s="14">
        <f>ROUND(H22,2)*D3</f>
        <v>10196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64</v>
      </c>
      <c r="C3" s="36" t="s">
        <v>57</v>
      </c>
      <c r="D3" s="36">
        <v>100</v>
      </c>
      <c r="E3" s="37">
        <f>IF(C20&lt;=25%,D20,MIN(E20:F20))</f>
        <v>64.989999999999995</v>
      </c>
      <c r="F3" s="37">
        <f>MIN(H3:H17)</f>
        <v>30.8</v>
      </c>
      <c r="G3" s="5" t="s">
        <v>88</v>
      </c>
      <c r="H3" s="16">
        <v>30.8</v>
      </c>
      <c r="I3" s="17">
        <f>IF(H3="","",(IF($C$20&lt;25%,"n/a",IF(H3&lt;=($D$20+$A$20),H3,"Descartado"))))</f>
        <v>30.8</v>
      </c>
    </row>
    <row r="4" spans="1:9" x14ac:dyDescent="0.25">
      <c r="A4" s="38"/>
      <c r="B4" s="35"/>
      <c r="C4" s="36"/>
      <c r="D4" s="36"/>
      <c r="E4" s="37"/>
      <c r="F4" s="37"/>
      <c r="G4" s="5" t="s">
        <v>78</v>
      </c>
      <c r="H4" s="16">
        <v>56</v>
      </c>
      <c r="I4" s="17">
        <f t="shared" ref="I4:I17" si="0">IF(H4="","",(IF($C$20&lt;25%,"n/a",IF(H4&lt;=($D$20+$A$20),H4,"Descartado"))))</f>
        <v>56</v>
      </c>
    </row>
    <row r="5" spans="1:9" x14ac:dyDescent="0.25">
      <c r="A5" s="38"/>
      <c r="B5" s="35"/>
      <c r="C5" s="36"/>
      <c r="D5" s="36"/>
      <c r="E5" s="37"/>
      <c r="F5" s="37"/>
      <c r="G5" s="5" t="s">
        <v>89</v>
      </c>
      <c r="H5" s="16">
        <v>83.25</v>
      </c>
      <c r="I5" s="17">
        <f t="shared" si="0"/>
        <v>83.25</v>
      </c>
    </row>
    <row r="6" spans="1:9" x14ac:dyDescent="0.25">
      <c r="A6" s="38"/>
      <c r="B6" s="35"/>
      <c r="C6" s="36"/>
      <c r="D6" s="36"/>
      <c r="E6" s="37"/>
      <c r="F6" s="37"/>
      <c r="G6" s="5" t="s">
        <v>90</v>
      </c>
      <c r="H6" s="16">
        <v>89.9</v>
      </c>
      <c r="I6" s="17">
        <f t="shared" si="0"/>
        <v>89.9</v>
      </c>
    </row>
    <row r="7" spans="1:9" x14ac:dyDescent="0.25">
      <c r="A7" s="38"/>
      <c r="B7" s="35"/>
      <c r="C7" s="36"/>
      <c r="D7" s="36"/>
      <c r="E7" s="37"/>
      <c r="F7" s="37"/>
      <c r="G7" s="5" t="s">
        <v>91</v>
      </c>
      <c r="H7" s="16">
        <v>122.9</v>
      </c>
      <c r="I7" s="17" t="str">
        <f t="shared" si="0"/>
        <v>Descartado</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34.952818198251194</v>
      </c>
      <c r="B20" s="8">
        <f>COUNT(H3:H17)</f>
        <v>5</v>
      </c>
      <c r="C20" s="9">
        <f>IF(B20&lt;2,"n/a",(A20/D20))</f>
        <v>0.45648188844522919</v>
      </c>
      <c r="D20" s="10">
        <f>IFERROR(ROUND(AVERAGE(H3:H17),2),"")</f>
        <v>76.569999999999993</v>
      </c>
      <c r="E20" s="15">
        <f>IFERROR(ROUND(IF(B20&lt;2,"n/a",(IF(C20&lt;=25%,"n/a",AVERAGE(I3:I17)))),2),"n/a")</f>
        <v>64.989999999999995</v>
      </c>
      <c r="F20" s="10">
        <f>IFERROR(ROUND(MEDIAN(H3:H17),2),"")</f>
        <v>83.25</v>
      </c>
      <c r="G20" s="11" t="str">
        <f>IFERROR(INDEX(G3:G17,MATCH(H20,H3:H17,0)),"")</f>
        <v>PRIME COMERCIO DE MATERIAIS</v>
      </c>
      <c r="H20" s="12">
        <f>F3</f>
        <v>30.8</v>
      </c>
    </row>
    <row r="22" spans="1:9" x14ac:dyDescent="0.25">
      <c r="G22" s="13" t="s">
        <v>20</v>
      </c>
      <c r="H22" s="14">
        <f>IF(C20&lt;=25%,D20,MIN(E20:F20))</f>
        <v>64.989999999999995</v>
      </c>
    </row>
    <row r="23" spans="1:9" x14ac:dyDescent="0.25">
      <c r="G23" s="13" t="s">
        <v>6</v>
      </c>
      <c r="H23" s="14">
        <f>ROUND(H22,2)*D3</f>
        <v>6498.9999999999991</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34</v>
      </c>
      <c r="C3" s="36" t="s">
        <v>7</v>
      </c>
      <c r="D3" s="36">
        <v>4</v>
      </c>
      <c r="E3" s="37">
        <f>IF(C20&lt;=25%,D20,MIN(E20:F20))</f>
        <v>314.5</v>
      </c>
      <c r="F3" s="37">
        <f>MIN(H3:H17)</f>
        <v>149.97</v>
      </c>
      <c r="G3" s="5" t="s">
        <v>42</v>
      </c>
      <c r="H3" s="16">
        <v>1257</v>
      </c>
      <c r="I3" s="17" t="str">
        <f>IF(H3="","",(IF($C$20&lt;25%,"n/a",IF(H3&lt;=($D$20+$A$20),H3,"Descartado"))))</f>
        <v>Descartado</v>
      </c>
    </row>
    <row r="4" spans="1:9" x14ac:dyDescent="0.25">
      <c r="A4" s="38"/>
      <c r="B4" s="35"/>
      <c r="C4" s="36"/>
      <c r="D4" s="36"/>
      <c r="E4" s="37"/>
      <c r="F4" s="37"/>
      <c r="G4" s="5" t="s">
        <v>36</v>
      </c>
      <c r="H4" s="16">
        <v>160</v>
      </c>
      <c r="I4" s="17">
        <f t="shared" ref="I4:I17" si="0">IF(H4="","",(IF($C$20&lt;25%,"n/a",IF(H4&lt;=($D$20+$A$20),H4,"Descartado"))))</f>
        <v>160</v>
      </c>
    </row>
    <row r="5" spans="1:9" x14ac:dyDescent="0.25">
      <c r="A5" s="38"/>
      <c r="B5" s="35"/>
      <c r="C5" s="36"/>
      <c r="D5" s="36"/>
      <c r="E5" s="37"/>
      <c r="F5" s="37"/>
      <c r="G5" s="5" t="s">
        <v>43</v>
      </c>
      <c r="H5" s="16">
        <v>330</v>
      </c>
      <c r="I5" s="17">
        <f t="shared" si="0"/>
        <v>330</v>
      </c>
    </row>
    <row r="6" spans="1:9" x14ac:dyDescent="0.25">
      <c r="A6" s="38"/>
      <c r="B6" s="35"/>
      <c r="C6" s="36"/>
      <c r="D6" s="36"/>
      <c r="E6" s="37"/>
      <c r="F6" s="37"/>
      <c r="G6" s="5" t="s">
        <v>38</v>
      </c>
      <c r="H6" s="16">
        <v>259</v>
      </c>
      <c r="I6" s="17">
        <f t="shared" si="0"/>
        <v>259</v>
      </c>
    </row>
    <row r="7" spans="1:9" x14ac:dyDescent="0.25">
      <c r="A7" s="38"/>
      <c r="B7" s="35"/>
      <c r="C7" s="36"/>
      <c r="D7" s="36"/>
      <c r="E7" s="37"/>
      <c r="F7" s="37"/>
      <c r="G7" s="5" t="s">
        <v>39</v>
      </c>
      <c r="H7" s="16">
        <v>1000</v>
      </c>
      <c r="I7" s="17">
        <f t="shared" si="0"/>
        <v>1000</v>
      </c>
    </row>
    <row r="8" spans="1:9" x14ac:dyDescent="0.25">
      <c r="A8" s="38"/>
      <c r="B8" s="35"/>
      <c r="C8" s="36"/>
      <c r="D8" s="36"/>
      <c r="E8" s="37"/>
      <c r="F8" s="37"/>
      <c r="G8" s="5" t="s">
        <v>44</v>
      </c>
      <c r="H8" s="16">
        <v>177.5</v>
      </c>
      <c r="I8" s="17">
        <f t="shared" si="0"/>
        <v>177.5</v>
      </c>
    </row>
    <row r="9" spans="1:9" x14ac:dyDescent="0.25">
      <c r="A9" s="38"/>
      <c r="B9" s="35"/>
      <c r="C9" s="36"/>
      <c r="D9" s="36"/>
      <c r="E9" s="37"/>
      <c r="F9" s="37"/>
      <c r="G9" s="5" t="s">
        <v>37</v>
      </c>
      <c r="H9" s="16">
        <v>160</v>
      </c>
      <c r="I9" s="17">
        <f t="shared" si="0"/>
        <v>160</v>
      </c>
    </row>
    <row r="10" spans="1:9" x14ac:dyDescent="0.25">
      <c r="A10" s="38"/>
      <c r="B10" s="35"/>
      <c r="C10" s="36"/>
      <c r="D10" s="36"/>
      <c r="E10" s="37"/>
      <c r="F10" s="37"/>
      <c r="G10" s="5" t="s">
        <v>45</v>
      </c>
      <c r="H10" s="16">
        <v>1342</v>
      </c>
      <c r="I10" s="17" t="str">
        <f t="shared" si="0"/>
        <v>Descartado</v>
      </c>
    </row>
    <row r="11" spans="1:9" x14ac:dyDescent="0.25">
      <c r="A11" s="38"/>
      <c r="B11" s="35"/>
      <c r="C11" s="36"/>
      <c r="D11" s="36"/>
      <c r="E11" s="37"/>
      <c r="F11" s="37"/>
      <c r="G11" s="5" t="s">
        <v>46</v>
      </c>
      <c r="H11" s="16">
        <v>1650</v>
      </c>
      <c r="I11" s="17" t="str">
        <f t="shared" si="0"/>
        <v>Descartado</v>
      </c>
    </row>
    <row r="12" spans="1:9" x14ac:dyDescent="0.25">
      <c r="A12" s="38"/>
      <c r="B12" s="35"/>
      <c r="C12" s="36"/>
      <c r="D12" s="36"/>
      <c r="E12" s="37"/>
      <c r="F12" s="37"/>
      <c r="G12" s="5" t="s">
        <v>41</v>
      </c>
      <c r="H12" s="16">
        <v>149.97</v>
      </c>
      <c r="I12" s="17">
        <f t="shared" si="0"/>
        <v>149.97</v>
      </c>
    </row>
    <row r="13" spans="1:9" x14ac:dyDescent="0.25">
      <c r="A13" s="38"/>
      <c r="B13" s="35"/>
      <c r="C13" s="36"/>
      <c r="D13" s="36"/>
      <c r="E13" s="37"/>
      <c r="F13" s="37"/>
      <c r="G13" s="5" t="s">
        <v>51</v>
      </c>
      <c r="H13" s="16">
        <v>299</v>
      </c>
      <c r="I13" s="17">
        <f t="shared" si="0"/>
        <v>299</v>
      </c>
    </row>
    <row r="14" spans="1:9" x14ac:dyDescent="0.25">
      <c r="A14" s="38"/>
      <c r="B14" s="35"/>
      <c r="C14" s="36"/>
      <c r="D14" s="36"/>
      <c r="E14" s="37"/>
      <c r="F14" s="37"/>
      <c r="G14" s="5" t="s">
        <v>53</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35</v>
      </c>
      <c r="C3" s="36" t="s">
        <v>7</v>
      </c>
      <c r="D3" s="36">
        <v>2</v>
      </c>
      <c r="E3" s="37">
        <f>IF(C20&lt;=25%,D20,MIN(E20:F20))</f>
        <v>2336.66</v>
      </c>
      <c r="F3" s="37">
        <f>MIN(H3:H17)</f>
        <v>985</v>
      </c>
      <c r="G3" s="5" t="s">
        <v>43</v>
      </c>
      <c r="H3" s="16">
        <v>985</v>
      </c>
      <c r="I3" s="17">
        <f>IF(H3="","",(IF($C$20&lt;25%,"n/a",IF(H3&lt;=($D$20+$A$20),H3,"Descartado"))))</f>
        <v>985</v>
      </c>
    </row>
    <row r="4" spans="1:9" x14ac:dyDescent="0.25">
      <c r="A4" s="38"/>
      <c r="B4" s="35"/>
      <c r="C4" s="36"/>
      <c r="D4" s="36"/>
      <c r="E4" s="37"/>
      <c r="F4" s="37"/>
      <c r="G4" s="5" t="s">
        <v>47</v>
      </c>
      <c r="H4" s="16">
        <v>1750</v>
      </c>
      <c r="I4" s="17">
        <f t="shared" ref="I4:I17" si="0">IF(H4="","",(IF($C$20&lt;25%,"n/a",IF(H4&lt;=($D$20+$A$20),H4,"Descartado"))))</f>
        <v>1750</v>
      </c>
    </row>
    <row r="5" spans="1:9" x14ac:dyDescent="0.25">
      <c r="A5" s="38"/>
      <c r="B5" s="35"/>
      <c r="C5" s="36"/>
      <c r="D5" s="36"/>
      <c r="E5" s="37"/>
      <c r="F5" s="37"/>
      <c r="G5" s="5" t="s">
        <v>48</v>
      </c>
      <c r="H5" s="16">
        <v>3775.12</v>
      </c>
      <c r="I5" s="17" t="str">
        <f t="shared" si="0"/>
        <v>Descartado</v>
      </c>
    </row>
    <row r="6" spans="1:9" x14ac:dyDescent="0.25">
      <c r="A6" s="38"/>
      <c r="B6" s="35"/>
      <c r="C6" s="36"/>
      <c r="D6" s="36"/>
      <c r="E6" s="37"/>
      <c r="F6" s="37"/>
      <c r="G6" s="5" t="s">
        <v>36</v>
      </c>
      <c r="H6" s="16">
        <v>1449.99</v>
      </c>
      <c r="I6" s="17">
        <f t="shared" si="0"/>
        <v>1449.99</v>
      </c>
    </row>
    <row r="7" spans="1:9" x14ac:dyDescent="0.25">
      <c r="A7" s="38"/>
      <c r="B7" s="35"/>
      <c r="C7" s="36"/>
      <c r="D7" s="36"/>
      <c r="E7" s="37"/>
      <c r="F7" s="37"/>
      <c r="G7" s="5" t="s">
        <v>40</v>
      </c>
      <c r="H7" s="16">
        <v>1738.77</v>
      </c>
      <c r="I7" s="17">
        <f t="shared" si="0"/>
        <v>1738.77</v>
      </c>
    </row>
    <row r="8" spans="1:9" x14ac:dyDescent="0.25">
      <c r="A8" s="38"/>
      <c r="B8" s="35"/>
      <c r="C8" s="36"/>
      <c r="D8" s="36"/>
      <c r="E8" s="37"/>
      <c r="F8" s="37"/>
      <c r="G8" s="5" t="s">
        <v>49</v>
      </c>
      <c r="H8" s="16">
        <v>2582</v>
      </c>
      <c r="I8" s="17">
        <f t="shared" si="0"/>
        <v>2582</v>
      </c>
    </row>
    <row r="9" spans="1:9" x14ac:dyDescent="0.25">
      <c r="A9" s="38"/>
      <c r="B9" s="35"/>
      <c r="C9" s="36"/>
      <c r="D9" s="36"/>
      <c r="E9" s="37"/>
      <c r="F9" s="37"/>
      <c r="G9" s="5" t="s">
        <v>54</v>
      </c>
      <c r="H9" s="16">
        <v>3179.25</v>
      </c>
      <c r="I9" s="17">
        <f t="shared" si="0"/>
        <v>3179.25</v>
      </c>
    </row>
    <row r="10" spans="1:9" x14ac:dyDescent="0.25">
      <c r="A10" s="38"/>
      <c r="B10" s="35"/>
      <c r="C10" s="36"/>
      <c r="D10" s="36"/>
      <c r="E10" s="37"/>
      <c r="F10" s="37"/>
      <c r="G10" s="5" t="s">
        <v>50</v>
      </c>
      <c r="H10" s="16">
        <v>3484.8</v>
      </c>
      <c r="I10" s="17">
        <f t="shared" si="0"/>
        <v>3484.8</v>
      </c>
    </row>
    <row r="11" spans="1:9" x14ac:dyDescent="0.25">
      <c r="A11" s="38"/>
      <c r="B11" s="35"/>
      <c r="C11" s="36"/>
      <c r="D11" s="36"/>
      <c r="E11" s="37"/>
      <c r="F11" s="37"/>
      <c r="G11" s="5" t="s">
        <v>52</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BreakPreview" topLeftCell="A7" zoomScaleNormal="100" zoomScaleSheetLayoutView="100" workbookViewId="0">
      <selection activeCell="F38" sqref="F38"/>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409.5" x14ac:dyDescent="0.25">
      <c r="A3" s="25">
        <v>1</v>
      </c>
      <c r="B3" s="25">
        <f>Item1!A3</f>
        <v>1</v>
      </c>
      <c r="C3" s="27" t="str">
        <f>Item1!B3</f>
        <v>CATRACA, 
a) Fornecimento e instalação de
catraca para uso em ambiente
interno com design moderno e
diferenciado.
Requisitos:
a) Com comunicação Ethernet
10/100/1000Mbps, IP fixo ou
DHCP, conexão TCP/IP iniciada
pelas catracas.
b) Permitir comunicação com redes
locais e remotas, com modo de
funcionamento no modo off -line e
on-line. -Alimentação 100-240Vac,
50-60Hz.
c) Ser equipada com bateria
recarregável de chumbo que
garanta o funcionamento da parte
lógica da catraca em caso de falta
de energia elétrica, além de bateria
que assegure o funcionamento do
relógio de tempo real;
d) Possuir cada uma delas 01 (um)
Leitor Biométrico Facial de até
5.000 usuários, leitor de Cartão de
Proximidade 125 khz e Leitor
RFID 13,56Mhz. Deverá possuir
urna coletora de cartões de
proximidade interna ou
incorporada ao corpo da catraca, para controle de acesso de
visitantes;
e) Dois modos de configuração,
“Pare ou Segue”, e armazenamento
na catraca de tabelas de horário
para controle de acesso.
f) Capacidade de armazenamento
de 200.000 registros em
armazenamento e até 100.000
credenciais. Com memória não
volátil de armazenamento de
registros e listas; biometria digital
de até 5.000 usuários; deverá
permitir consulta de usuários
cadastrados em sua memória
interna (local), sem depender do
software instalado no servidor (nos
casos que estiver off line).
g) O funcionamento padrão do
equipamento deve ser online. O
modo off line deverá ser utilizado
somente em situações de
contingência, isto é, os
equipamentos da solução devem
prosseguir sua operação padrão.
h) Os equipamentos da solução
devem detectar automaticamente o
retorno da disponibilidade da rede
e sincronizar-se com a base de
dados centralizada do servidor
imediatamente, ou seja, tão logo
detecte o retorno da rede, deve
sincronizar os registros de acessos
automaticamente, sem necessidade
de intervenção, coletando os
registros para o banco de dados do
software de gerenciamento de forma automática;
i) O equipamento deverá possuir
espaço para integração de leitores e
placas eletrônicas.
j) Deverá possuir tampo superior
em acrílico e espelho em aço inox
escovado AISI 304. Display com
iluminação back light, além de
teclado com mínimo de 12 (doze)
teclas para digitação de funções,
matrículas e programações
diversas. A catraca deverá vir
acompanhada com suporte em aço
inox AISI 304 para Leitor de
Biometria Facial (controladora de
Reconhecimento Facial) e possuir
estrutura também em aço inox e
mecanismos de alta performance
para suportar fluxo de pessoas,
leitor biométrico de até 5000
usuários - entrada e saída –
diariamente em dois
períodos) e de travamento que
controla o fluxo de usuários de
forma
independente (entrada e saída).
k) Deverá possuir estrutura interna
formada por chapas de açocarbono com mínimo de 1,0mm de
espessura, pintado em tinta epóxi
pó na cor preta. Deverá possuir
ainda revestimento em chapa de
aço inox escovado AISI 304 com
no mínimo 1,2mm de espessura.
l) Deve possuir mecanismo de giro
bidirecional ou unidirecional, com
sentido de passagem configurável, com 03 braços em tubo de aço inox
polido AISI 304, com abertura de
90º
garantindo que, em seu trabalho,
não cause deformações que
prejudique o seu funcionamento ou
quaisquer alterações que possa
trazer riscos aos usuários.
m) Deverá funcionar de forma
suave e sem ruídos, garantindo que
o mecanismo não esteja atuando de
forma rústica para assim aumentar
sua longevidade e garantir conforto
e segurança aos usuários
(mecanismo de giro com
desacelerador linear de
movimentos). A liberação de
acesso deverá ser acionada por
cartões de proximidade e
biometria. Deverá possuir
pictogramas luminosos, indicativos
e direcionais para indicação visual
de giro liberado para confirmação
de acesso.
n) Abertura de emergência que
possibilite a abertura automática
dos braços em caso de falta de
energia ou de acionamento de
alarme de emergência, para que o
dispositivo se desarme
automaticamente e não obstrua a
rota de fuga. Para esta
característica, a empresa deverá
emitir Anotação Técnica para fins
de liberação de Certificado de
Conformidade perante o Corpo de
Bombeiros. Deve permitir também
a liberação dos braços por meio de um botão externo de liberação
configurável (entrada, saída ou
ambos).
o) Dimensões aproximadas sem os
braços de 300x1050x250mm
(LxAxP) e com os braços de
390x1050x670mm (LxAxP),
podendo variar para mais, com
alimentação e funcionamento em
voltagem 220V ou bivolt.
p) Circuito baseado em
microcontrolador, tecnologia 32
bits, velocidade de processamento
120MHz; Conectividade
obrigatória
entre a catraca, a controladora e o
software de gerenciamento da
solução de controle de acesso para
pessoas, de modo que possa ser
lido qualquer tentativa de acesso e
o equipamento obtenha resposta
imediata do software, liberando ou
não o acesso.
q) Suporte e garantia de
manutenção on site de 60
(sessenta) meses.
r) Instalação física: Montagem,
instalação e configuração da
catraca (equipamento de controle
de acesso).
s) Infraestrutura local: conforme
layout fornecido pelo TRE.</v>
      </c>
      <c r="D3" s="25" t="str">
        <f>Item1!C3</f>
        <v>unidade</v>
      </c>
      <c r="E3" s="25">
        <f>Item1!D3</f>
        <v>20</v>
      </c>
      <c r="F3" s="26">
        <f>Item1!E3</f>
        <v>15529.07</v>
      </c>
      <c r="G3" s="26">
        <f>ROUND((E3*F3),2)</f>
        <v>310581.40000000002</v>
      </c>
    </row>
    <row r="4" spans="1:7" ht="409.5" x14ac:dyDescent="0.25">
      <c r="A4" s="25">
        <v>1</v>
      </c>
      <c r="B4" s="25">
        <f>Item2!A3</f>
        <v>2</v>
      </c>
      <c r="C4" s="27" t="str">
        <f>Item2!B3</f>
        <v xml:space="preserve">CATRACA PARA PCD
a)Fornecimento e instalação de
catraca PCD para uso em ambiente
interno com design moderno e diferenciado.
Requisitos:
a)Com comunicação Ethernet
10/100/1000Mbps, IP fixo ou
DHCP, conexão TCP/IP iniciada
pela catraca.
b) Permitir comunicação com redes
locais e remotas, com modo de
funcionamento no modo off -line e
on-line. Alimentação 100-240Vac,
50-60Hz.
c) Ser equipada com nobreak
interno ou bateria recarregável de
chumbo que garanta o
funcionamento da parte lógica da
catraca em caso de falta de energia
elétrica, além de bateria que
assegure o funcionamento do
relógio de tempo real;
d) Deverá atender à norma ABNT
NBR 9050/2020;
e) Possuir 01 (um) Leitor
Biométrico Facial de até 5.000
usuários, Leitor de Cartão de
Proximidade 125 khz e leitor RFID
13,56Mhz. Deverá possuir urna
coletora de cartões de
proximidade, interna ou
incorporada ao corpo da catraca,
para controle de acesso de
visitantes;
f) Dois modos de configuração,
“Pare ou Segue”, e armazenamento
na catraca de tabelas de horário
para controle de acesso.
g) Capacidade de armazenamento de até 200.000 registros em
armazenamento e até 100.000
credenciais; memória não volátil
de armazenamento de registros e
listas; biometria de até 5.000
usuários; deverá permitir consulta
de usuários cadastrados em sua
memória interna (local), sem
depender do software instalado no
servidor (nos casos que estiver off
line).
h) O funcionamento padrão do
equipamento deve ser online. O
modo off line deverá ser utilizado
somente em situações de
contingência, isto é, os
equipamentos da solução devem
prosseguir sua operação padrão.
i) Os equipamentos da solução
devem detectar automaticamente o
retorno da disponibilidade da rede
e sincronizar-se com a base de
dados centralizada do servidor
imediatamente, ou seja, tão logo
detecte o retorno da rede, deve
sincronizar os registros de acessos
automaticamente, sem necessidade
de intervenção, coletando os
registros para o banco de dados do
software de gerenciamento de
forma automática;
j) O equipamento deverá possuir
espaço para integração de leitores e
placas eletrônicas, permitindo
integração com leitores e acesso
faciais.
k) Deverá possuir tampo superior em ABS com acabamento em aço
inox escovado AISI 304. Display
com iluminação back light, além
de teclado com mínimo de 12
(doze) teclas para digitação de
funções, matrículas e
programações diversas. A catraca
deverá vir acompanhada com
suporte em aço inox AISI 304 para
Leitor de Biometria Facial
(controladora de Reconhecimento
Facial) e possuir corpo e estrutura
em chapa de aço inox escovado;
barreira constituída por dois tubos
de aço inox escovados; leitor
biométrico de até 5000 usuários -
entrada e saída – diariamente em
dois períodos) e de travamento que
controla o fluxo de usuários de
forma independente (entrada e
saída).
l) Deve possuir sentido de
passagem bidirecional ou
unidirecional, configurável, com
barreira constituída por dois tubos
de aço inox escovados, permitindo
acessibilidade a usuários com
mobilidade reduzida, com braço
maior que proporcione
comodidade e conforto, dotado de
estrutura tal que, em seu trabalho,
não cause deformações que
prejudiquem o seu funcionamento
ou quaisquer alterações que
possam trazer riscos aos usuários.
m) Deverá funcionar de forma
suave e sem ruídos, garantindo que
o mecanismo não esteja atuando de forma rústica para assim aumentar
sua longevidade e garantir conforto
e segurança aos usuários. A
liberação de acesso poderá ser
acionada por cartões de
proximidade e biometria.
Liberação ou bloqueio por
identificação de usuário. Deverá
possuir pictogramas luminosos,
indicativos e direcionais para
indicação do sentido de acesso
liberado.
n) Abertura de emergência que
possibilite a abertura automática da
barreira em caso de falta de energia
ou de acionamento de alarme de
emergência, para que o dispositivo
se desarme automaticamente e não
obstrua a rota de fuga. Para esta
característica, a empresa deverá
emitir Anotação Técnica para fins
de liberação de Certificado de
Conformidade perante o Corpo de
Bombeiros. Deve permitir também
a liberação dos braços por meio de
um botão externo de liberação
configurável (entrada, saída ou
ambos).
o) Dimensões aproximadas sem os
braços de 300x1050x250mm
(LxAxP) e com os braços de
390x1050x1.150mm (LxAxP),
podendo variar para mais, com
alimentação e funcionamento em
voltagem 220V ou bivolt.
p) Circuito baseado em
microcontrolador, tecnologia 32
bits, velocidade de processamento 120MHz, Conectividade
obrigatória entre a catraca, a
controladora e o software de
gerenciamento da solução de
controle de acesso para pessoas, de
modo que possa ser lido qualquer
tentativa de acesso e o
equipamento obtenha resposta
imediata do software, liberando ou
não o acesso.
q) Suporte e garantia de
manutenção on site de 60
(sessenta) meses.
r) Instalação física: Montagem,
instalação e configuração da
catraca PCD (equipamento de
controle de acesso).
s) Infraestrutura local: conforme
layout fornecido pelo TRE.
</v>
      </c>
      <c r="D4" s="25" t="str">
        <f>Item2!C3</f>
        <v>unidade</v>
      </c>
      <c r="E4" s="25">
        <f>Item2!D3</f>
        <v>17</v>
      </c>
      <c r="F4" s="26">
        <f>Item2!E3</f>
        <v>13644.87</v>
      </c>
      <c r="G4" s="26">
        <f t="shared" ref="G4:G10" si="0">ROUND((E4*F4),2)</f>
        <v>231962.79</v>
      </c>
    </row>
    <row r="5" spans="1:7" ht="409.5" x14ac:dyDescent="0.25">
      <c r="A5" s="25">
        <v>1</v>
      </c>
      <c r="B5" s="25">
        <f>Item3!A3</f>
        <v>3</v>
      </c>
      <c r="C5" s="27" t="str">
        <f>Item3!B3</f>
        <v xml:space="preserve">SOFTWARE PARA
CONTROLE DE ACESSO
Fornecimento e instalação de
software compatível com as
tecnologias de proximidade e
biometria facial, digitação de senha
e código de barras. Requisitos:
a) Licenciado, de uso livre e
caráter vitalício
b) Conter cadastros ilimitados,
tendo em vista que o TRE-BA
recebe visitantes, além de seus
próprios servidores.
c) Captura de imagens via
Webcam.
d) Acionamento de sensores,
catracas, cancelas, detectores de metais, botoeiras, portas, etc.
e) Compatível com a arquitetura de
TIC composta por sistema
operacional Red Hat Enterprise
Linux; servidor web Apache,
Tomcat ou JBoss; e banco de
dados Oracle ou MySQL e
derivados ou PostgreSQL.
f) Sistema de monitoramento de
acesso por relatórios.
g) Exportação de relatórios para
diversos formatos.
h) Cadastro completo dos
servidores e visitantes (com fotos,
dados pessoais, etc.).
i) Cadastro de crachás com
validade e possibilidade de
reutilização (visitantes).
j) Integração com os principais
modelos de controladores de
acesso dos principais fabricantes.
k) Controle de acesso por
permissão por usuário (telas, ações,
departamentos, etc.).
 l) Cadastro de horários com
controle dos dias e feriados.
m) Liberação de acesso via
software.
n) Exportação de dados para
arquivo texto.
o) Importação de
pedestres/visitantes de arquivo
texto.
p) Serviço automatizado de backup.
q) Todos os recursos como
manuais, documentação,
instaladores relativos ao software e
monitoramento deverão ser
fornecidos.
r) Capacidade de sistematização,
integração e interoperabilidade
para no mínimo 37 (trinta e sete)
catracas, 37 (trinta e sete) leitores
de reconhecimento facial, com
leitor de proximidade e biometria e
20 (vinte) impressoras térmicas de
QD Code.
s) Cadastro, exclusão e edição dos
usuários.
t) Instalação lógica: instalação e
configuração do software para
controle de acesso (equipamento
de controle de acesso).
u) Infraestrutura local: conforme
layout fornecido pelo TRE.
t) Suporte e garantia de
manutenção on site de 60 meses.
</v>
      </c>
      <c r="D5" s="25" t="str">
        <f>Item3!C3</f>
        <v>unidade</v>
      </c>
      <c r="E5" s="25">
        <f>Item3!D3</f>
        <v>1</v>
      </c>
      <c r="F5" s="26">
        <f>Item3!E3</f>
        <v>9965.33</v>
      </c>
      <c r="G5" s="26">
        <f t="shared" si="0"/>
        <v>9965.33</v>
      </c>
    </row>
    <row r="6" spans="1:7" ht="409.5" x14ac:dyDescent="0.25">
      <c r="A6" s="25">
        <v>1</v>
      </c>
      <c r="B6" s="25">
        <f>Item4!A3</f>
        <v>4</v>
      </c>
      <c r="C6" s="27" t="str">
        <f>Item4!B3</f>
        <v xml:space="preserve">LEITOR DE
RECONHECIMENTO
FACIAL, COM LEITOR DE
PROXIMIDADE, BIOMETRIA,
SOFTWARE DE EMISSÃO DE
RELATÓRIOS DE ENTRADA
E SAÍDA, COM SUPORTE
FACIAL E CHICOTE.
Requisitos:
a) Capacidade: Leitura mínima de
5000 faces; b) Tecnologia: Reconhecimento
facial com câmera integrada, leitor
de proximidade RFID.
c) Software: Inclui um software de
gerenciamento que permite
emissão de relatórios de entrada e
saída dos usuários com filtros por
data, dia e mês.
d) Integração: Compatibilidade
com o sistema de controle de
acesso e com o software de
emissão de relatórios.
e) Compatível com a tecnologia
Mifare de frequência de 13.56Mhz.
g) Instalação física: Montagem,
instalação e configuração do leitor
de reconhecimento facial, com
leitor de proximidade, biometria,
software de emissão de relatórios
de entrada e saída com suporte
facial e chicote (equipamento de
controle de acesso).
u) Infraestrutura local: conforme
layout fornecido pelo TRE.
t) Suporte e garantia de
manutenção on site de 60 meses.
</v>
      </c>
      <c r="D6" s="25" t="str">
        <f>Item4!C3</f>
        <v>unidade</v>
      </c>
      <c r="E6" s="25">
        <f>Item4!D3</f>
        <v>37</v>
      </c>
      <c r="F6" s="26">
        <f>Item4!E3</f>
        <v>2804.61</v>
      </c>
      <c r="G6" s="26">
        <f t="shared" si="0"/>
        <v>103770.57</v>
      </c>
    </row>
    <row r="7" spans="1:7" ht="240" x14ac:dyDescent="0.25">
      <c r="A7" s="25">
        <v>1</v>
      </c>
      <c r="B7" s="25">
        <f>Item5!A3</f>
        <v>5</v>
      </c>
      <c r="C7" s="27" t="str">
        <f>Item5!B3</f>
        <v>TREINAMENTO DE
COLABORADORES PARA
MANUSEIO E
CONFIGURAÇÃO DO
SISTEMA
a) Treinamento prático presencial
para até 30 (trinta) servidores e
colaboradores responsáveis
pelo manuseio e operação do
sistema de controle de acesso, incluindo catraca e leitor de
reconhecimento facial.
b) Instruções de uso:
Documentação detalhada com
instruções de uso e
procedimentos operacionais.</v>
      </c>
      <c r="D7" s="25" t="str">
        <f>Item5!C3</f>
        <v>unidade</v>
      </c>
      <c r="E7" s="25">
        <f>Item5!D3</f>
        <v>1</v>
      </c>
      <c r="F7" s="26">
        <f>Item5!E3</f>
        <v>10500</v>
      </c>
      <c r="G7" s="26">
        <f t="shared" si="0"/>
        <v>10500</v>
      </c>
    </row>
    <row r="8" spans="1:7" ht="409.5" x14ac:dyDescent="0.25">
      <c r="A8" s="25">
        <v>1</v>
      </c>
      <c r="B8" s="25">
        <f>Item6!A3</f>
        <v>6</v>
      </c>
      <c r="C8" s="27" t="str">
        <f>Item6!B3</f>
        <v>IMPRESSORA TÉRMICA DE
QD CODE PARA ACESSO DE
VISITANTES
a) Velocidade de impressão: Até
250 mm/s, permitindo a impressão
rápida de documentos, incluindo
imagens, logotipos personalizados,
códigos de barras e QR Codes.
b) Interfaces de comunicação:
Possuir conexões Ethernet e USB,
garantindo flexibilidade na
integração com diversos sistemas.
c) Sistema de carregamento de
papel: Equipada com o sistema
drop-in, que facilita a troca rápida
da bobina de papel.
d) Corte de papel: Dispõe de
guilhotina para corte automático,
com durabilidade de até 1 milhão
de cortes.
e) Compatibilidade de comandos:
Compatível com comandos
ESC/POS, softwares existentes.
f) Capacidade da bobina: Suportar
bobinas com largura de 80 mm e
diâmetro de até 80 mm (82 metros
de comprimento de papel).
g) Suporte a códigos de barras:
Imprimir códigos de barras 1D
(UPC-A, UPC-E, EAN-13, EAN-8, CODE39, ITF25, CODEBAR,
CODE93, CODE128) e 2D
(PDF417, QR Code, Data Matrix).
h) Buffer de memória: Possuir um
buffer de 512 KB para
armazenamento temporário de
dados de impressão.
i) Dimensões e peso (referência):
Altura: 120 mm Largura: 137 mm
Profundidade: 185 mm Peso bruto:
1,83 kg Peso líquido: 1,20 kg (mais
0,231 kg da fonte)
j) Instalação física: Montagem,
instalação e configuração de
impressora térmica de QD CODE
para acesso de visitantes.
l) Suporte e garantia de
manutenção on site de 60 meses.</v>
      </c>
      <c r="D8" s="25" t="str">
        <f>Item6!C3</f>
        <v>unidade</v>
      </c>
      <c r="E8" s="25">
        <f>Item6!D3</f>
        <v>20</v>
      </c>
      <c r="F8" s="26">
        <f>Item6!E3</f>
        <v>1270.5</v>
      </c>
      <c r="G8" s="26">
        <f t="shared" si="0"/>
        <v>25410</v>
      </c>
    </row>
    <row r="9" spans="1:7" ht="360" x14ac:dyDescent="0.25">
      <c r="A9" s="25">
        <v>1</v>
      </c>
      <c r="B9" s="25">
        <f>Item7!A3</f>
        <v>7</v>
      </c>
      <c r="C9" s="27" t="str">
        <f>Item7!B3</f>
        <v>SISTEMA DE FECHAMENTO
- (com porta chaveada) - portão
PNE em aço inox
a)Fornecimento e instalação de
fechamento de catraca; Requisitos:
adaptado segundo layout fornecido
pelo TRE;
b) Confeccionado em aço inox;
c) Fechamento central em barras
de inox;
d) Medidas: conforme projeto
fornecido pelo TRE. a empresa
deverá alocar primeiramente os
equipamentos do Lote 1, de forma
que no espaço restante possa ser
alocado o portão PCD, de modo
que o fechamento esteja em
perfeita harmonia com o conjunto instalado.
e) Instalação física: Montagem,
instalação e configuração do
sistema de fechamento.
e) Suporte e garantia de
manutenção on site de 60 meses.</v>
      </c>
      <c r="D9" s="25" t="str">
        <f>Item7!C3</f>
        <v>unidade</v>
      </c>
      <c r="E9" s="25">
        <f>Item7!D3</f>
        <v>13</v>
      </c>
      <c r="F9" s="26">
        <f>Item7!E3</f>
        <v>4996.67</v>
      </c>
      <c r="G9" s="26">
        <f t="shared" si="0"/>
        <v>64956.71</v>
      </c>
    </row>
    <row r="10" spans="1:7" ht="409.5" x14ac:dyDescent="0.25">
      <c r="A10" s="25">
        <v>2</v>
      </c>
      <c r="B10" s="25">
        <f>Item8!A3</f>
        <v>8</v>
      </c>
      <c r="C10" s="27" t="str">
        <f>Item8!B3</f>
        <v>DETECTOR DE METAIS TIPO
PÓRTICO
Requisitos:
Composto com 8 zonas de
detecção e sistema digital microprocessado, detecta metais ferrosos
e não ferrosos.
a) Estrutura: acabamento com
pintura eletrostática na cor cinza
ou preta, robusta e resistente a
impactos mecânicos. Não possuir
cantos ou pontas angulosas,
pontiagudas ou afiadas, que
possam causar danos em pessoas
ou roupas.
b) Dimensões aproximadas: 2,10 m
de altura x 0,70 m de largura
interna x 0,35 m de profundidade.
c) Sensibilidade: ajuste digital de
sensibilidade em 100 níveis
variando de 0 a 100. Ajuste do
nível de sensibilidade por zona.
d) Alarmes: sinal sonoro com
volume e tom ajustáveis e
indicador visual de anormalidade
na cor vermelha.
e) Painel para configurações das
funções do equipamento, tais como: alarme sonoro e visual,
teclado, sensibilidade, frequência
de operação, potência e demais
configurações.
f) Programação local ou remota
com possibilidade de conexão à
rede de informática.
g) Deverá possuir contador de
eventos de detecções/passagens.
h) O equipamento deve possuir
função de emissão de relatórios
operacionais que possam ser
exportados e, posteriormente, lidos
e impressos.
i) A emissão eletromagnética do
equipamento deve estar limitada a
um nível considerado inofensivo
para seres humanos (portadores de
marca-passo, sistemas de apoio
vital, mulheres grávidas etc.).
j) Alimentação: bivolt (110V ~
220V), 60 Hz. k) Deverá ser
entregue completo, instalado,
calibrado e pronto para entrar em
operação imediata, com manual em
português contendo todas as
instruções relativas ao
equipamento e as especificações
técnicas do fabricante.
l) Instalação física: Montagem,
instalação e configuração dos
detectores de metais tipo pórtico.
m) Infraestrutura local: conforme
layout fornecido pelo TRE.
n) Suporte e garantia de manutenção on site de 60 meses.</v>
      </c>
      <c r="D10" s="25" t="str">
        <f>Item8!C3</f>
        <v>unidade</v>
      </c>
      <c r="E10" s="25">
        <f>Item8!D3</f>
        <v>21</v>
      </c>
      <c r="F10" s="26">
        <f>Item8!E3</f>
        <v>15329</v>
      </c>
      <c r="G10" s="26">
        <f t="shared" si="0"/>
        <v>321909</v>
      </c>
    </row>
    <row r="11" spans="1:7" x14ac:dyDescent="0.25">
      <c r="A11" s="28"/>
      <c r="B11" s="28"/>
      <c r="C11" s="29"/>
      <c r="D11" s="30"/>
      <c r="E11" s="30"/>
      <c r="F11" s="31"/>
      <c r="G11" s="31"/>
    </row>
    <row r="12" spans="1:7" ht="15.75" thickBot="1" x14ac:dyDescent="0.3"/>
    <row r="13" spans="1:7" ht="16.5" thickTop="1" thickBot="1" x14ac:dyDescent="0.3">
      <c r="D13" s="22"/>
      <c r="E13" s="23" t="s">
        <v>33</v>
      </c>
      <c r="F13" s="24">
        <f>SUM(G:G)</f>
        <v>1079055.8</v>
      </c>
    </row>
    <row r="14" spans="1:7" ht="15.75" thickTop="1" x14ac:dyDescent="0.25">
      <c r="F14" s="3"/>
    </row>
    <row r="15" spans="1:7" x14ac:dyDescent="0.25">
      <c r="D15" s="21" t="s">
        <v>32</v>
      </c>
      <c r="E15" s="13">
        <f>MAX(A:A)</f>
        <v>2</v>
      </c>
    </row>
    <row r="17" spans="4:7" x14ac:dyDescent="0.25">
      <c r="D17" s="18" t="s">
        <v>31</v>
      </c>
      <c r="E17" s="19">
        <v>1</v>
      </c>
      <c r="F17" s="20">
        <f>SUMIF(A:A,E17,G:G)</f>
        <v>757146.8</v>
      </c>
    </row>
    <row r="18" spans="4:7" x14ac:dyDescent="0.25">
      <c r="D18" s="18" t="s">
        <v>31</v>
      </c>
      <c r="E18" s="19">
        <v>2</v>
      </c>
      <c r="F18" s="20">
        <f>SUMIF(A:A,E18,G:G)</f>
        <v>321909</v>
      </c>
    </row>
    <row r="19" spans="4:7" x14ac:dyDescent="0.25">
      <c r="E19" s="4"/>
      <c r="G19" s="4"/>
    </row>
    <row r="20" spans="4:7" x14ac:dyDescent="0.25">
      <c r="E20" s="4"/>
      <c r="G20" s="4"/>
    </row>
    <row r="21" spans="4:7" x14ac:dyDescent="0.25">
      <c r="E21" s="4"/>
      <c r="G21" s="4"/>
    </row>
    <row r="22" spans="4:7" x14ac:dyDescent="0.25">
      <c r="E22" s="4"/>
      <c r="G22" s="4"/>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100</v>
      </c>
      <c r="C3" s="36" t="s">
        <v>7</v>
      </c>
      <c r="D3" s="36">
        <v>1</v>
      </c>
      <c r="E3" s="37">
        <f>IF(C20&lt;=25%,D20,MIN(E20:F20))</f>
        <v>9965.33</v>
      </c>
      <c r="F3" s="37">
        <f>MIN(H3:H17)</f>
        <v>1600</v>
      </c>
      <c r="G3" s="5" t="s">
        <v>106</v>
      </c>
      <c r="H3" s="16">
        <v>1600</v>
      </c>
      <c r="I3" s="17">
        <f>IF(H3="","",(IF($C$20&lt;25%,"n/a",IF(H3&lt;=($D$20+$A$20),H3,"Descartado"))))</f>
        <v>1600</v>
      </c>
    </row>
    <row r="4" spans="1:9" x14ac:dyDescent="0.25">
      <c r="A4" s="38"/>
      <c r="B4" s="35"/>
      <c r="C4" s="36"/>
      <c r="D4" s="36"/>
      <c r="E4" s="37"/>
      <c r="F4" s="37"/>
      <c r="G4" s="5" t="s">
        <v>107</v>
      </c>
      <c r="H4" s="16">
        <v>48406.17</v>
      </c>
      <c r="I4" s="17" t="str">
        <f t="shared" ref="I4:I17" si="0">IF(H4="","",(IF($C$20&lt;25%,"n/a",IF(H4&lt;=($D$20+$A$20),H4,"Descartado"))))</f>
        <v>Descartado</v>
      </c>
    </row>
    <row r="5" spans="1:9" x14ac:dyDescent="0.25">
      <c r="A5" s="38"/>
      <c r="B5" s="35"/>
      <c r="C5" s="36"/>
      <c r="D5" s="36"/>
      <c r="E5" s="37"/>
      <c r="F5" s="37"/>
      <c r="G5" s="5" t="s">
        <v>108</v>
      </c>
      <c r="H5" s="16">
        <v>12000</v>
      </c>
      <c r="I5" s="17">
        <f t="shared" si="0"/>
        <v>12000</v>
      </c>
    </row>
    <row r="6" spans="1:9" x14ac:dyDescent="0.25">
      <c r="A6" s="38"/>
      <c r="B6" s="35"/>
      <c r="C6" s="36"/>
      <c r="D6" s="36"/>
      <c r="E6" s="37"/>
      <c r="F6" s="37"/>
      <c r="G6" s="5" t="s">
        <v>109</v>
      </c>
      <c r="H6" s="16">
        <v>16296</v>
      </c>
      <c r="I6" s="17">
        <f t="shared" si="0"/>
        <v>16296</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20186.377034951689</v>
      </c>
      <c r="B20" s="8">
        <f>COUNT(H3:H17)</f>
        <v>4</v>
      </c>
      <c r="C20" s="9">
        <f>IF(B20&lt;2,"n/a",(A20/D20))</f>
        <v>1.0312040962829985</v>
      </c>
      <c r="D20" s="10">
        <f>IFERROR(ROUND(AVERAGE(H3:H17),2),"")</f>
        <v>19575.54</v>
      </c>
      <c r="E20" s="15">
        <f>IFERROR(ROUND(IF(B20&lt;2,"n/a",(IF(C20&lt;=25%,"n/a",AVERAGE(I3:I17)))),2),"n/a")</f>
        <v>9965.33</v>
      </c>
      <c r="F20" s="10">
        <f>IFERROR(ROUND(MEDIAN(H3:H17),2),"")</f>
        <v>14148</v>
      </c>
      <c r="G20" s="11" t="str">
        <f>IFERROR(INDEX(G3:G17,MATCH(H20,H3:H17,0)),"")</f>
        <v>PRÓ ATIVA ALARMES LTDA</v>
      </c>
      <c r="H20" s="12">
        <f>F3</f>
        <v>1600</v>
      </c>
    </row>
    <row r="22" spans="1:9" x14ac:dyDescent="0.25">
      <c r="G22" s="13" t="s">
        <v>20</v>
      </c>
      <c r="H22" s="14">
        <f>IF(C20&lt;=25%,D20,MIN(E20:F20))</f>
        <v>9965.33</v>
      </c>
    </row>
    <row r="23" spans="1:9" x14ac:dyDescent="0.25">
      <c r="G23" s="13" t="s">
        <v>6</v>
      </c>
      <c r="H23" s="14">
        <f>ROUND(H22,2)*D3</f>
        <v>9965.33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101</v>
      </c>
      <c r="C3" s="36" t="s">
        <v>7</v>
      </c>
      <c r="D3" s="36">
        <v>37</v>
      </c>
      <c r="E3" s="37">
        <f>IF(C20&lt;=25%,D20,MIN(E20:F20))</f>
        <v>2804.61</v>
      </c>
      <c r="F3" s="37">
        <f>MIN(H3:H17)</f>
        <v>2200</v>
      </c>
      <c r="G3" s="5" t="s">
        <v>106</v>
      </c>
      <c r="H3" s="16">
        <v>2200</v>
      </c>
      <c r="I3" s="17" t="str">
        <f>IF(H3="","",(IF($C$20&lt;25%,"n/a",IF(H3&lt;=($D$20+$A$20),H3,"Descartado"))))</f>
        <v>n/a</v>
      </c>
    </row>
    <row r="4" spans="1:9" x14ac:dyDescent="0.25">
      <c r="A4" s="38"/>
      <c r="B4" s="35"/>
      <c r="C4" s="36"/>
      <c r="D4" s="36"/>
      <c r="E4" s="37"/>
      <c r="F4" s="37"/>
      <c r="G4" s="5" t="s">
        <v>107</v>
      </c>
      <c r="H4" s="16">
        <v>3544</v>
      </c>
      <c r="I4" s="17" t="str">
        <f t="shared" ref="I4:I17" si="0">IF(H4="","",(IF($C$20&lt;25%,"n/a",IF(H4&lt;=($D$20+$A$20),H4,"Descartado"))))</f>
        <v>n/a</v>
      </c>
    </row>
    <row r="5" spans="1:9" x14ac:dyDescent="0.25">
      <c r="A5" s="38"/>
      <c r="B5" s="35"/>
      <c r="C5" s="36"/>
      <c r="D5" s="36"/>
      <c r="E5" s="37"/>
      <c r="F5" s="37"/>
      <c r="G5" s="5" t="s">
        <v>108</v>
      </c>
      <c r="H5" s="16">
        <v>2600</v>
      </c>
      <c r="I5" s="17" t="str">
        <f t="shared" si="0"/>
        <v>n/a</v>
      </c>
    </row>
    <row r="6" spans="1:9" x14ac:dyDescent="0.25">
      <c r="A6" s="38"/>
      <c r="B6" s="35"/>
      <c r="C6" s="36"/>
      <c r="D6" s="36"/>
      <c r="E6" s="37"/>
      <c r="F6" s="37"/>
      <c r="G6" s="5" t="s">
        <v>109</v>
      </c>
      <c r="H6" s="16">
        <v>2874.44</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565.38845206931126</v>
      </c>
      <c r="B20" s="8">
        <f>COUNT(H3:H17)</f>
        <v>4</v>
      </c>
      <c r="C20" s="9">
        <f>IF(B20&lt;2,"n/a",(A20/D20))</f>
        <v>0.20159253945087238</v>
      </c>
      <c r="D20" s="10">
        <f>IFERROR(ROUND(AVERAGE(H3:H17),2),"")</f>
        <v>2804.61</v>
      </c>
      <c r="E20" s="15" t="str">
        <f>IFERROR(ROUND(IF(B20&lt;2,"n/a",(IF(C20&lt;=25%,"n/a",AVERAGE(I3:I17)))),2),"n/a")</f>
        <v>n/a</v>
      </c>
      <c r="F20" s="10">
        <f>IFERROR(ROUND(MEDIAN(H3:H17),2),"")</f>
        <v>2737.22</v>
      </c>
      <c r="G20" s="11" t="str">
        <f>IFERROR(INDEX(G3:G17,MATCH(H20,H3:H17,0)),"")</f>
        <v>PRÓ ATIVA ALARMES LTDA</v>
      </c>
      <c r="H20" s="12">
        <f>F3</f>
        <v>2200</v>
      </c>
    </row>
    <row r="22" spans="1:9" x14ac:dyDescent="0.25">
      <c r="G22" s="13" t="s">
        <v>20</v>
      </c>
      <c r="H22" s="14">
        <f>IF(C20&lt;=25%,D20,MIN(E20:F20))</f>
        <v>2804.61</v>
      </c>
    </row>
    <row r="23" spans="1:9" x14ac:dyDescent="0.25">
      <c r="G23" s="13" t="s">
        <v>6</v>
      </c>
      <c r="H23" s="14">
        <f>ROUND(H22,2)*D3</f>
        <v>103770.57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5" sqref="G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102</v>
      </c>
      <c r="C3" s="36" t="s">
        <v>7</v>
      </c>
      <c r="D3" s="36">
        <v>1</v>
      </c>
      <c r="E3" s="37">
        <f>IF(C20&lt;=25%,D20,MIN(E20:F20))</f>
        <v>10500</v>
      </c>
      <c r="F3" s="37">
        <f>MIN(H3:H17)</f>
        <v>6000</v>
      </c>
      <c r="G3" s="5" t="s">
        <v>107</v>
      </c>
      <c r="H3" s="16">
        <v>15000</v>
      </c>
      <c r="I3" s="17">
        <f>IF(H3="","",(IF($C$20&lt;25%,"n/a",IF(H3&lt;=($D$20+$A$20),H3,"Descartado"))))</f>
        <v>15000</v>
      </c>
    </row>
    <row r="4" spans="1:9" x14ac:dyDescent="0.25">
      <c r="A4" s="38"/>
      <c r="B4" s="35"/>
      <c r="C4" s="36"/>
      <c r="D4" s="36"/>
      <c r="E4" s="37"/>
      <c r="F4" s="37"/>
      <c r="G4" s="5" t="s">
        <v>108</v>
      </c>
      <c r="H4" s="16">
        <v>6000</v>
      </c>
      <c r="I4" s="17">
        <f t="shared" ref="I4:I17" si="0">IF(H4="","",(IF($C$20&lt;25%,"n/a",IF(H4&lt;=($D$20+$A$20),H4,"Descartado"))))</f>
        <v>6000</v>
      </c>
    </row>
    <row r="5" spans="1:9" x14ac:dyDescent="0.25">
      <c r="A5" s="38"/>
      <c r="B5" s="35"/>
      <c r="C5" s="36"/>
      <c r="D5" s="36"/>
      <c r="E5" s="37"/>
      <c r="F5" s="37"/>
      <c r="G5" s="5" t="s">
        <v>109</v>
      </c>
      <c r="H5" s="16">
        <v>60000</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28930.952282978866</v>
      </c>
      <c r="B20" s="8">
        <f>COUNT(H3:H17)</f>
        <v>3</v>
      </c>
      <c r="C20" s="9">
        <f>IF(B20&lt;2,"n/a",(A20/D20))</f>
        <v>1.0715167512214394</v>
      </c>
      <c r="D20" s="10">
        <f>IFERROR(ROUND(AVERAGE(H3:H17),2),"")</f>
        <v>27000</v>
      </c>
      <c r="E20" s="15">
        <f>IFERROR(ROUND(IF(B20&lt;2,"n/a",(IF(C20&lt;=25%,"n/a",AVERAGE(I3:I17)))),2),"n/a")</f>
        <v>10500</v>
      </c>
      <c r="F20" s="10">
        <f>IFERROR(ROUND(MEDIAN(H3:H17),2),"")</f>
        <v>15000</v>
      </c>
      <c r="G20" s="11" t="str">
        <f>IFERROR(INDEX(G3:G17,MATCH(H20,H3:H17,0)),"")</f>
        <v>AMDTECH SOLUTION LTDA</v>
      </c>
      <c r="H20" s="12">
        <f>F3</f>
        <v>6000</v>
      </c>
    </row>
    <row r="22" spans="1:9" x14ac:dyDescent="0.25">
      <c r="G22" s="13" t="s">
        <v>20</v>
      </c>
      <c r="H22" s="14">
        <f>IF(C20&lt;=25%,D20,MIN(E20:F20))</f>
        <v>10500</v>
      </c>
    </row>
    <row r="23" spans="1:9" x14ac:dyDescent="0.25">
      <c r="G23" s="13" t="s">
        <v>6</v>
      </c>
      <c r="H23" s="14">
        <f>ROUND(H22,2)*D3</f>
        <v>10500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5" sqref="G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103</v>
      </c>
      <c r="C3" s="36" t="s">
        <v>7</v>
      </c>
      <c r="D3" s="36">
        <v>20</v>
      </c>
      <c r="E3" s="37">
        <f>IF(C20&lt;=25%,D20,MIN(E20:F20))</f>
        <v>1270.5</v>
      </c>
      <c r="F3" s="37">
        <f>MIN(H3:H17)</f>
        <v>741</v>
      </c>
      <c r="G3" s="5" t="s">
        <v>107</v>
      </c>
      <c r="H3" s="16">
        <v>3704</v>
      </c>
      <c r="I3" s="17" t="str">
        <f>IF(H3="","",(IF($C$20&lt;25%,"n/a",IF(H3&lt;=($D$20+$A$20),H3,"Descartado"))))</f>
        <v>Descartado</v>
      </c>
    </row>
    <row r="4" spans="1:9" x14ac:dyDescent="0.25">
      <c r="A4" s="38"/>
      <c r="B4" s="35"/>
      <c r="C4" s="36"/>
      <c r="D4" s="36"/>
      <c r="E4" s="37"/>
      <c r="F4" s="37"/>
      <c r="G4" s="5" t="s">
        <v>108</v>
      </c>
      <c r="H4" s="16">
        <v>1800</v>
      </c>
      <c r="I4" s="17">
        <f t="shared" ref="I4:I17" si="0">IF(H4="","",(IF($C$20&lt;25%,"n/a",IF(H4&lt;=($D$20+$A$20),H4,"Descartado"))))</f>
        <v>1800</v>
      </c>
    </row>
    <row r="5" spans="1:9" x14ac:dyDescent="0.25">
      <c r="A5" s="38"/>
      <c r="B5" s="35"/>
      <c r="C5" s="36"/>
      <c r="D5" s="36"/>
      <c r="E5" s="37"/>
      <c r="F5" s="37"/>
      <c r="G5" s="5" t="s">
        <v>109</v>
      </c>
      <c r="H5" s="16">
        <v>741</v>
      </c>
      <c r="I5" s="17">
        <f t="shared" si="0"/>
        <v>741</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1501.4474127765291</v>
      </c>
      <c r="B20" s="8">
        <f>COUNT(H3:H17)</f>
        <v>3</v>
      </c>
      <c r="C20" s="9">
        <f>IF(B20&lt;2,"n/a",(A20/D20))</f>
        <v>0.72127062059621794</v>
      </c>
      <c r="D20" s="10">
        <f>IFERROR(ROUND(AVERAGE(H3:H17),2),"")</f>
        <v>2081.67</v>
      </c>
      <c r="E20" s="15">
        <f>IFERROR(ROUND(IF(B20&lt;2,"n/a",(IF(C20&lt;=25%,"n/a",AVERAGE(I3:I17)))),2),"n/a")</f>
        <v>1270.5</v>
      </c>
      <c r="F20" s="10">
        <f>IFERROR(ROUND(MEDIAN(H3:H17),2),"")</f>
        <v>1800</v>
      </c>
      <c r="G20" s="11" t="str">
        <f>IFERROR(INDEX(G3:G17,MATCH(H20,H3:H17,0)),"")</f>
        <v>DIMIP SISTEMAS</v>
      </c>
      <c r="H20" s="12">
        <f>F3</f>
        <v>741</v>
      </c>
    </row>
    <row r="22" spans="1:9" x14ac:dyDescent="0.25">
      <c r="G22" s="13" t="s">
        <v>20</v>
      </c>
      <c r="H22" s="14">
        <f>IF(C20&lt;=25%,D20,MIN(E20:F20))</f>
        <v>1270.5</v>
      </c>
    </row>
    <row r="23" spans="1:9" x14ac:dyDescent="0.25">
      <c r="G23" s="13" t="s">
        <v>6</v>
      </c>
      <c r="H23" s="14">
        <f>ROUND(H22,2)*D3</f>
        <v>25410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5" sqref="G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104</v>
      </c>
      <c r="C3" s="36" t="s">
        <v>7</v>
      </c>
      <c r="D3" s="36">
        <v>13</v>
      </c>
      <c r="E3" s="37">
        <f>IF(C20&lt;=25%,D20,MIN(E20:F20))</f>
        <v>4996.67</v>
      </c>
      <c r="F3" s="37">
        <f>MIN(H3:H17)</f>
        <v>3000</v>
      </c>
      <c r="G3" s="5" t="s">
        <v>107</v>
      </c>
      <c r="H3" s="16">
        <v>6990</v>
      </c>
      <c r="I3" s="17">
        <f>IF(H3="","",(IF($C$20&lt;25%,"n/a",IF(H3&lt;=($D$20+$A$20),H3,"Descartado"))))</f>
        <v>6990</v>
      </c>
    </row>
    <row r="4" spans="1:9" x14ac:dyDescent="0.25">
      <c r="A4" s="38"/>
      <c r="B4" s="35"/>
      <c r="C4" s="36"/>
      <c r="D4" s="36"/>
      <c r="E4" s="37"/>
      <c r="F4" s="37"/>
      <c r="G4" s="5" t="s">
        <v>108</v>
      </c>
      <c r="H4" s="16">
        <v>3000</v>
      </c>
      <c r="I4" s="17">
        <f t="shared" ref="I4:I17" si="0">IF(H4="","",(IF($C$20&lt;25%,"n/a",IF(H4&lt;=($D$20+$A$20),H4,"Descartado"))))</f>
        <v>3000</v>
      </c>
    </row>
    <row r="5" spans="1:9" x14ac:dyDescent="0.25">
      <c r="A5" s="38"/>
      <c r="B5" s="35"/>
      <c r="C5" s="36"/>
      <c r="D5" s="36"/>
      <c r="E5" s="37"/>
      <c r="F5" s="37"/>
      <c r="G5" s="5" t="s">
        <v>109</v>
      </c>
      <c r="H5" s="16">
        <v>5000</v>
      </c>
      <c r="I5" s="17">
        <f t="shared" si="0"/>
        <v>5000</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1995.0020885536276</v>
      </c>
      <c r="B20" s="8">
        <f>COUNT(H3:H17)</f>
        <v>3</v>
      </c>
      <c r="C20" s="9">
        <f>IF(B20&lt;2,"n/a",(A20/D20))</f>
        <v>0.39926632908589671</v>
      </c>
      <c r="D20" s="10">
        <f>IFERROR(ROUND(AVERAGE(H3:H17),2),"")</f>
        <v>4996.67</v>
      </c>
      <c r="E20" s="15">
        <f>IFERROR(ROUND(IF(B20&lt;2,"n/a",(IF(C20&lt;=25%,"n/a",AVERAGE(I3:I17)))),2),"n/a")</f>
        <v>4996.67</v>
      </c>
      <c r="F20" s="10">
        <f>IFERROR(ROUND(MEDIAN(H3:H17),2),"")</f>
        <v>5000</v>
      </c>
      <c r="G20" s="11" t="str">
        <f>IFERROR(INDEX(G3:G17,MATCH(H20,H3:H17,0)),"")</f>
        <v>AMDTECH SOLUTION LTDA</v>
      </c>
      <c r="H20" s="12">
        <f>F3</f>
        <v>3000</v>
      </c>
    </row>
    <row r="22" spans="1:9" x14ac:dyDescent="0.25">
      <c r="G22" s="13" t="s">
        <v>20</v>
      </c>
      <c r="H22" s="14">
        <f>IF(C20&lt;=25%,D20,MIN(E20:F20))</f>
        <v>4996.67</v>
      </c>
    </row>
    <row r="23" spans="1:9" x14ac:dyDescent="0.25">
      <c r="G23" s="13" t="s">
        <v>6</v>
      </c>
      <c r="H23" s="14">
        <f>ROUND(H22,2)*D3</f>
        <v>64956.71</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105</v>
      </c>
      <c r="C3" s="36" t="s">
        <v>7</v>
      </c>
      <c r="D3" s="36">
        <v>21</v>
      </c>
      <c r="E3" s="37">
        <f>IF(C20&lt;=25%,D20,MIN(E20:F20))</f>
        <v>15329</v>
      </c>
      <c r="F3" s="37">
        <f>MIN(H3:H17)</f>
        <v>10658</v>
      </c>
      <c r="G3" s="5" t="s">
        <v>107</v>
      </c>
      <c r="H3" s="16">
        <v>44406.17</v>
      </c>
      <c r="I3" s="17" t="str">
        <f>IF(H3="","",(IF($C$20&lt;25%,"n/a",IF(H3&lt;=($D$20+$A$20),H3,"Descartado"))))</f>
        <v>Descartado</v>
      </c>
    </row>
    <row r="4" spans="1:9" x14ac:dyDescent="0.25">
      <c r="A4" s="38"/>
      <c r="B4" s="35"/>
      <c r="C4" s="36"/>
      <c r="D4" s="36"/>
      <c r="E4" s="37"/>
      <c r="F4" s="37"/>
      <c r="G4" s="5" t="s">
        <v>108</v>
      </c>
      <c r="H4" s="16">
        <v>20000</v>
      </c>
      <c r="I4" s="17">
        <f t="shared" ref="I4:I17" si="0">IF(H4="","",(IF($C$20&lt;25%,"n/a",IF(H4&lt;=($D$20+$A$20),H4,"Descartado"))))</f>
        <v>20000</v>
      </c>
    </row>
    <row r="5" spans="1:9" x14ac:dyDescent="0.25">
      <c r="A5" s="38"/>
      <c r="B5" s="35"/>
      <c r="C5" s="36"/>
      <c r="D5" s="36"/>
      <c r="E5" s="37"/>
      <c r="F5" s="37"/>
      <c r="G5" s="5" t="s">
        <v>109</v>
      </c>
      <c r="H5" s="16">
        <v>10658</v>
      </c>
      <c r="I5" s="17">
        <f t="shared" si="0"/>
        <v>10658</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17425.427189492373</v>
      </c>
      <c r="B20" s="8">
        <f>COUNT(H3:H17)</f>
        <v>3</v>
      </c>
      <c r="C20" s="9">
        <f>IF(B20&lt;2,"n/a",(A20/D20))</f>
        <v>0.69642122957566999</v>
      </c>
      <c r="D20" s="10">
        <f>IFERROR(ROUND(AVERAGE(H3:H17),2),"")</f>
        <v>25021.39</v>
      </c>
      <c r="E20" s="15">
        <f>IFERROR(ROUND(IF(B20&lt;2,"n/a",(IF(C20&lt;=25%,"n/a",AVERAGE(I3:I17)))),2),"n/a")</f>
        <v>15329</v>
      </c>
      <c r="F20" s="10">
        <f>IFERROR(ROUND(MEDIAN(H3:H17),2),"")</f>
        <v>20000</v>
      </c>
      <c r="G20" s="11" t="str">
        <f>IFERROR(INDEX(G3:G17,MATCH(H20,H3:H17,0)),"")</f>
        <v>DIMIP SISTEMAS</v>
      </c>
      <c r="H20" s="12">
        <f>F3</f>
        <v>10658</v>
      </c>
    </row>
    <row r="22" spans="1:9" x14ac:dyDescent="0.25">
      <c r="G22" s="13" t="s">
        <v>20</v>
      </c>
      <c r="H22" s="14">
        <f>IF(C20&lt;=25%,D20,MIN(E20:F20))</f>
        <v>15329</v>
      </c>
    </row>
    <row r="23" spans="1:9" x14ac:dyDescent="0.25">
      <c r="G23" s="13" t="s">
        <v>6</v>
      </c>
      <c r="H23" s="14">
        <f>ROUND(H22,2)*D3</f>
        <v>321909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4" sqref="G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Camille dos Santos Xavier</cp:lastModifiedBy>
  <cp:lastPrinted>2025-10-24T17:39:57Z</cp:lastPrinted>
  <dcterms:created xsi:type="dcterms:W3CDTF">2023-11-07T17:10:34Z</dcterms:created>
  <dcterms:modified xsi:type="dcterms:W3CDTF">2025-10-24T17:46:50Z</dcterms:modified>
</cp:coreProperties>
</file>