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firstSheet="6" activeTab="11"/>
  </bookViews>
  <sheets>
    <sheet name="atendIII" sheetId="1" r:id="rId1"/>
    <sheet name="atendIV" sheetId="2" r:id="rId2"/>
    <sheet name="telef" sheetId="3" r:id="rId3"/>
    <sheet name="telefb" sheetId="4" r:id="rId4"/>
    <sheet name="super" sheetId="5" r:id="rId5"/>
    <sheet name="auxsuper" sheetId="6" r:id="rId6"/>
    <sheet name="atendIIIad" sheetId="7" r:id="rId7"/>
    <sheet name="atendIVad" sheetId="8" r:id="rId8"/>
    <sheet name="telefad" sheetId="9" r:id="rId9"/>
    <sheet name="telefbad" sheetId="10" r:id="rId10"/>
    <sheet name="auxsuperad" sheetId="11" r:id="rId11"/>
    <sheet name="horaextra" sheetId="13" r:id="rId12"/>
    <sheet name="total" sheetId="14" r:id="rId13"/>
  </sheets>
  <definedNames>
    <definedName name="_xlnm.Print_Titles" localSheetId="11">horaextra!$1:$12</definedName>
  </definedNames>
  <calcPr calcId="145621"/>
</workbook>
</file>

<file path=xl/calcChain.xml><?xml version="1.0" encoding="utf-8"?>
<calcChain xmlns="http://schemas.openxmlformats.org/spreadsheetml/2006/main">
  <c r="D19" i="14" l="1"/>
  <c r="D18" i="14"/>
  <c r="E18" i="14" s="1"/>
  <c r="F18" i="14" s="1"/>
  <c r="D17" i="14"/>
  <c r="D16" i="14"/>
  <c r="E16" i="14" s="1"/>
  <c r="F16" i="14" s="1"/>
  <c r="C19" i="14"/>
  <c r="C18" i="14"/>
  <c r="C17" i="14"/>
  <c r="C16" i="14"/>
  <c r="B19" i="14"/>
  <c r="B18" i="14"/>
  <c r="B17" i="14"/>
  <c r="B16" i="14"/>
  <c r="D15" i="14"/>
  <c r="C15" i="14"/>
  <c r="B15" i="14"/>
  <c r="C10" i="14"/>
  <c r="C9" i="14"/>
  <c r="C8" i="14"/>
  <c r="C7" i="14"/>
  <c r="C6" i="14"/>
  <c r="C5" i="14"/>
  <c r="D159" i="3"/>
  <c r="D159" i="4"/>
  <c r="D159" i="5"/>
  <c r="D159" i="6"/>
  <c r="D159" i="7"/>
  <c r="D159" i="8"/>
  <c r="D159" i="9"/>
  <c r="D159" i="10"/>
  <c r="D159" i="11"/>
  <c r="D159" i="2"/>
  <c r="D159" i="1"/>
  <c r="D10" i="14"/>
  <c r="B10" i="14"/>
  <c r="D9" i="14"/>
  <c r="B9" i="14"/>
  <c r="D8" i="14"/>
  <c r="B8" i="14"/>
  <c r="D7" i="14"/>
  <c r="B7" i="14"/>
  <c r="D6" i="14"/>
  <c r="B6" i="14"/>
  <c r="D5" i="14"/>
  <c r="B5" i="14"/>
  <c r="E19" i="14" l="1"/>
  <c r="F19" i="14" s="1"/>
  <c r="E17" i="14"/>
  <c r="F17" i="14" s="1"/>
  <c r="F20" i="14"/>
  <c r="E10" i="14"/>
  <c r="F10" i="14" s="1"/>
  <c r="E6" i="14"/>
  <c r="F6" i="14" s="1"/>
  <c r="E15" i="14"/>
  <c r="F15" i="14" s="1"/>
  <c r="E8" i="14"/>
  <c r="F8" i="14" s="1"/>
  <c r="E9" i="14"/>
  <c r="F9" i="14" s="1"/>
  <c r="E7" i="14"/>
  <c r="F7" i="14" s="1"/>
  <c r="E5" i="14"/>
  <c r="F5" i="14" s="1"/>
  <c r="F25" i="14" l="1"/>
  <c r="F11" i="14"/>
  <c r="F24" i="14"/>
  <c r="C24" i="14"/>
  <c r="M45" i="13" l="1"/>
  <c r="K45" i="13"/>
  <c r="I45" i="13"/>
  <c r="G45" i="13"/>
  <c r="E45" i="13"/>
  <c r="C45" i="13"/>
  <c r="M42" i="13"/>
  <c r="K42" i="13"/>
  <c r="I42" i="13"/>
  <c r="G42" i="13"/>
  <c r="E42" i="13"/>
  <c r="C42" i="13"/>
  <c r="L21" i="13"/>
  <c r="L43" i="13" s="1"/>
  <c r="J21" i="13"/>
  <c r="J43" i="13" s="1"/>
  <c r="H21" i="13"/>
  <c r="H43" i="13" s="1"/>
  <c r="F21" i="13"/>
  <c r="F43" i="13" s="1"/>
  <c r="D21" i="13"/>
  <c r="D43" i="13" s="1"/>
  <c r="B21" i="13"/>
  <c r="B43" i="13" s="1"/>
  <c r="L31" i="13"/>
  <c r="L19" i="13"/>
  <c r="L17" i="13"/>
  <c r="M15" i="13"/>
  <c r="M16" i="13" s="1"/>
  <c r="L14" i="13"/>
  <c r="L51" i="13" s="1"/>
  <c r="J31" i="13"/>
  <c r="J19" i="13"/>
  <c r="J17" i="13"/>
  <c r="K15" i="13"/>
  <c r="K16" i="13" s="1"/>
  <c r="J14" i="13"/>
  <c r="J51" i="13" s="1"/>
  <c r="H31" i="13"/>
  <c r="H49" i="13" s="1"/>
  <c r="H19" i="13"/>
  <c r="H17" i="13"/>
  <c r="I15" i="13"/>
  <c r="I16" i="13" s="1"/>
  <c r="H14" i="13"/>
  <c r="H51" i="13" s="1"/>
  <c r="F31" i="13"/>
  <c r="F49" i="13" s="1"/>
  <c r="F19" i="13"/>
  <c r="F17" i="13"/>
  <c r="G15" i="13"/>
  <c r="G16" i="13" s="1"/>
  <c r="F14" i="13"/>
  <c r="F51" i="13" s="1"/>
  <c r="D31" i="13"/>
  <c r="D49" i="13" s="1"/>
  <c r="D19" i="13"/>
  <c r="D17" i="13"/>
  <c r="E15" i="13"/>
  <c r="E16" i="13" s="1"/>
  <c r="D14" i="13"/>
  <c r="D51" i="13" s="1"/>
  <c r="B31" i="13"/>
  <c r="B49" i="13" s="1"/>
  <c r="B19" i="13"/>
  <c r="B17" i="13"/>
  <c r="C15" i="13"/>
  <c r="C16" i="13" s="1"/>
  <c r="B14" i="13"/>
  <c r="B51" i="13" s="1"/>
  <c r="M34" i="13"/>
  <c r="K34" i="13"/>
  <c r="I34" i="13"/>
  <c r="G34" i="13"/>
  <c r="E34" i="13"/>
  <c r="C34" i="13"/>
  <c r="L49" i="13"/>
  <c r="J49" i="13"/>
  <c r="I43" i="13" l="1"/>
  <c r="I44" i="13" s="1"/>
  <c r="E17" i="13"/>
  <c r="E18" i="13" s="1"/>
  <c r="G17" i="13"/>
  <c r="G18" i="13" s="1"/>
  <c r="I17" i="13"/>
  <c r="I18" i="13" s="1"/>
  <c r="K17" i="13"/>
  <c r="K18" i="13" s="1"/>
  <c r="M17" i="13"/>
  <c r="M18" i="13" s="1"/>
  <c r="K43" i="13"/>
  <c r="K44" i="13" s="1"/>
  <c r="H26" i="13"/>
  <c r="G43" i="13"/>
  <c r="G44" i="13" s="1"/>
  <c r="M43" i="13"/>
  <c r="M44" i="13" s="1"/>
  <c r="J26" i="13"/>
  <c r="B35" i="13"/>
  <c r="C35" i="13" s="1"/>
  <c r="C36" i="13" s="1"/>
  <c r="H35" i="13"/>
  <c r="I35" i="13" s="1"/>
  <c r="I36" i="13" s="1"/>
  <c r="B40" i="13"/>
  <c r="H40" i="13"/>
  <c r="C17" i="13"/>
  <c r="C18" i="13" s="1"/>
  <c r="L26" i="13"/>
  <c r="C43" i="13"/>
  <c r="C44" i="13" s="1"/>
  <c r="B26" i="13"/>
  <c r="D35" i="13"/>
  <c r="E35" i="13" s="1"/>
  <c r="E36" i="13" s="1"/>
  <c r="J35" i="13"/>
  <c r="K35" i="13" s="1"/>
  <c r="K36" i="13" s="1"/>
  <c r="D40" i="13"/>
  <c r="J40" i="13"/>
  <c r="D26" i="13"/>
  <c r="E43" i="13"/>
  <c r="E44" i="13" s="1"/>
  <c r="F26" i="13"/>
  <c r="F35" i="13"/>
  <c r="G35" i="13" s="1"/>
  <c r="G36" i="13" s="1"/>
  <c r="L35" i="13"/>
  <c r="M35" i="13" s="1"/>
  <c r="M36" i="13" s="1"/>
  <c r="F40" i="13"/>
  <c r="L40" i="13"/>
  <c r="E46" i="13" l="1"/>
  <c r="E48" i="13" s="1"/>
  <c r="E47" i="13"/>
  <c r="M38" i="13"/>
  <c r="M37" i="13"/>
  <c r="C19" i="13"/>
  <c r="C20" i="13" s="1"/>
  <c r="M47" i="13"/>
  <c r="M46" i="13"/>
  <c r="G19" i="13"/>
  <c r="G20" i="13" s="1"/>
  <c r="E37" i="13"/>
  <c r="E38" i="13"/>
  <c r="C47" i="13"/>
  <c r="C46" i="13"/>
  <c r="C48" i="13" s="1"/>
  <c r="K37" i="13"/>
  <c r="K38" i="13"/>
  <c r="G37" i="13"/>
  <c r="G38" i="13"/>
  <c r="C38" i="13"/>
  <c r="C37" i="13"/>
  <c r="E19" i="13"/>
  <c r="E20" i="13" s="1"/>
  <c r="I46" i="13"/>
  <c r="I47" i="13"/>
  <c r="G46" i="13"/>
  <c r="G47" i="13"/>
  <c r="I37" i="13"/>
  <c r="I38" i="13"/>
  <c r="K19" i="13"/>
  <c r="K20" i="13" s="1"/>
  <c r="I19" i="13"/>
  <c r="I20" i="13" s="1"/>
  <c r="K46" i="13"/>
  <c r="K47" i="13"/>
  <c r="M19" i="13"/>
  <c r="M20" i="13" s="1"/>
  <c r="M48" i="13" l="1"/>
  <c r="M49" i="13" s="1"/>
  <c r="M54" i="13" s="1"/>
  <c r="K48" i="13"/>
  <c r="K49" i="13" s="1"/>
  <c r="K54" i="13" s="1"/>
  <c r="I48" i="13"/>
  <c r="I49" i="13" s="1"/>
  <c r="I54" i="13" s="1"/>
  <c r="G48" i="13"/>
  <c r="K39" i="13"/>
  <c r="K40" i="13" s="1"/>
  <c r="K53" i="13" s="1"/>
  <c r="C39" i="13"/>
  <c r="C40" i="13" s="1"/>
  <c r="C53" i="13" s="1"/>
  <c r="C49" i="13"/>
  <c r="C54" i="13" s="1"/>
  <c r="I39" i="13"/>
  <c r="I40" i="13" s="1"/>
  <c r="I53" i="13" s="1"/>
  <c r="I21" i="13"/>
  <c r="I22" i="13" s="1"/>
  <c r="M21" i="13"/>
  <c r="M22" i="13" s="1"/>
  <c r="E21" i="13"/>
  <c r="E22" i="13" s="1"/>
  <c r="G21" i="13"/>
  <c r="G22" i="13" s="1"/>
  <c r="C21" i="13"/>
  <c r="C22" i="13" s="1"/>
  <c r="K21" i="13"/>
  <c r="K22" i="13" s="1"/>
  <c r="G49" i="13"/>
  <c r="G54" i="13" s="1"/>
  <c r="G39" i="13"/>
  <c r="G40" i="13" s="1"/>
  <c r="G53" i="13" s="1"/>
  <c r="E49" i="13"/>
  <c r="E54" i="13" s="1"/>
  <c r="E39" i="13"/>
  <c r="E40" i="13" s="1"/>
  <c r="E53" i="13" s="1"/>
  <c r="M39" i="13"/>
  <c r="M40" i="13" s="1"/>
  <c r="M53" i="13" s="1"/>
  <c r="M24" i="13" l="1"/>
  <c r="M29" i="13" s="1"/>
  <c r="M23" i="13"/>
  <c r="C24" i="13"/>
  <c r="C29" i="13" s="1"/>
  <c r="C23" i="13"/>
  <c r="G23" i="13"/>
  <c r="G24" i="13"/>
  <c r="G29" i="13" s="1"/>
  <c r="E23" i="13"/>
  <c r="E24" i="13"/>
  <c r="E29" i="13" s="1"/>
  <c r="K23" i="13"/>
  <c r="K24" i="13"/>
  <c r="K29" i="13" s="1"/>
  <c r="I23" i="13"/>
  <c r="I24" i="13"/>
  <c r="I29" i="13" s="1"/>
  <c r="M28" i="13" l="1"/>
  <c r="M30" i="13" s="1"/>
  <c r="M31" i="13" s="1"/>
  <c r="M52" i="13" s="1"/>
  <c r="M55" i="13" s="1"/>
  <c r="M27" i="13"/>
  <c r="K28" i="13"/>
  <c r="K30" i="13" s="1"/>
  <c r="K31" i="13" s="1"/>
  <c r="K52" i="13" s="1"/>
  <c r="K55" i="13" s="1"/>
  <c r="K27" i="13"/>
  <c r="I27" i="13"/>
  <c r="I28" i="13"/>
  <c r="I30" i="13" s="1"/>
  <c r="I31" i="13" s="1"/>
  <c r="I52" i="13" s="1"/>
  <c r="I55" i="13" s="1"/>
  <c r="G28" i="13"/>
  <c r="G30" i="13" s="1"/>
  <c r="G31" i="13" s="1"/>
  <c r="G52" i="13" s="1"/>
  <c r="G55" i="13" s="1"/>
  <c r="G27" i="13"/>
  <c r="E28" i="13"/>
  <c r="E30" i="13" s="1"/>
  <c r="E31" i="13" s="1"/>
  <c r="E52" i="13" s="1"/>
  <c r="E55" i="13" s="1"/>
  <c r="E27" i="13"/>
  <c r="C28" i="13"/>
  <c r="C30" i="13" s="1"/>
  <c r="C31" i="13" s="1"/>
  <c r="C52" i="13" s="1"/>
  <c r="C55" i="13" s="1"/>
  <c r="C27" i="13"/>
  <c r="A53" i="13" l="1"/>
  <c r="D129" i="4"/>
  <c r="D131" i="4" s="1"/>
  <c r="D129" i="3"/>
  <c r="D131" i="3" s="1"/>
  <c r="D131" i="5"/>
  <c r="D131" i="6"/>
  <c r="D131" i="7"/>
  <c r="D131" i="8"/>
  <c r="D131" i="9"/>
  <c r="D131" i="10"/>
  <c r="D131" i="11"/>
  <c r="D131" i="2"/>
  <c r="D131" i="1"/>
  <c r="C27" i="14" l="1"/>
  <c r="F26" i="14"/>
  <c r="F27" i="14" s="1"/>
  <c r="C104" i="9"/>
  <c r="C103" i="9"/>
  <c r="C102" i="9"/>
  <c r="C101" i="9"/>
  <c r="C100" i="9"/>
  <c r="C90" i="9"/>
  <c r="D90" i="9" s="1"/>
  <c r="C89" i="9"/>
  <c r="C88" i="9"/>
  <c r="D88" i="9" s="1"/>
  <c r="D89" i="9" s="1"/>
  <c r="C87" i="9"/>
  <c r="D87" i="9" s="1"/>
  <c r="C85" i="9"/>
  <c r="D85" i="9" s="1"/>
  <c r="C104" i="10"/>
  <c r="C103" i="10"/>
  <c r="C102" i="10"/>
  <c r="C101" i="10"/>
  <c r="C100" i="10"/>
  <c r="C90" i="10"/>
  <c r="D90" i="10" s="1"/>
  <c r="C89" i="10"/>
  <c r="C88" i="10"/>
  <c r="D88" i="10" s="1"/>
  <c r="D89" i="10" s="1"/>
  <c r="C87" i="10"/>
  <c r="D87" i="10" s="1"/>
  <c r="C85" i="10"/>
  <c r="D85" i="10" s="1"/>
  <c r="C104" i="11"/>
  <c r="C103" i="11"/>
  <c r="C102" i="11"/>
  <c r="C101" i="11"/>
  <c r="C100" i="11"/>
  <c r="D90" i="11"/>
  <c r="C90" i="11"/>
  <c r="C89" i="11"/>
  <c r="C88" i="11"/>
  <c r="D88" i="11" s="1"/>
  <c r="D89" i="11" s="1"/>
  <c r="D87" i="11"/>
  <c r="C87" i="11"/>
  <c r="C85" i="11"/>
  <c r="D85" i="11" s="1"/>
  <c r="C104" i="8"/>
  <c r="C103" i="8"/>
  <c r="C102" i="8"/>
  <c r="C101" i="8"/>
  <c r="C100" i="8"/>
  <c r="D90" i="8"/>
  <c r="C90" i="8"/>
  <c r="C89" i="8"/>
  <c r="C88" i="8"/>
  <c r="D88" i="8" s="1"/>
  <c r="D89" i="8" s="1"/>
  <c r="D87" i="8"/>
  <c r="C87" i="8"/>
  <c r="C85" i="8"/>
  <c r="D85" i="8" s="1"/>
  <c r="D156" i="11"/>
  <c r="C139" i="11"/>
  <c r="C146" i="11" s="1"/>
  <c r="D70" i="11"/>
  <c r="D78" i="11" s="1"/>
  <c r="D66" i="11"/>
  <c r="D65" i="11"/>
  <c r="C59" i="11"/>
  <c r="C44" i="11"/>
  <c r="D44" i="11" s="1"/>
  <c r="C43" i="11"/>
  <c r="C45" i="11" s="1"/>
  <c r="D35" i="11"/>
  <c r="D156" i="10"/>
  <c r="C139" i="10"/>
  <c r="C146" i="10" s="1"/>
  <c r="D70" i="10"/>
  <c r="D78" i="10" s="1"/>
  <c r="D65" i="10"/>
  <c r="C59" i="10"/>
  <c r="C44" i="10"/>
  <c r="C45" i="10" s="1"/>
  <c r="C43" i="10"/>
  <c r="D35" i="10"/>
  <c r="D156" i="9"/>
  <c r="C146" i="9"/>
  <c r="C139" i="9"/>
  <c r="D78" i="9"/>
  <c r="D70" i="9"/>
  <c r="D65" i="9"/>
  <c r="C59" i="9"/>
  <c r="C44" i="9"/>
  <c r="C45" i="9" s="1"/>
  <c r="D43" i="9"/>
  <c r="C43" i="9"/>
  <c r="D35" i="9"/>
  <c r="D156" i="8"/>
  <c r="C146" i="8"/>
  <c r="C139" i="8"/>
  <c r="D66" i="8"/>
  <c r="D65" i="8"/>
  <c r="D70" i="8" s="1"/>
  <c r="D78" i="8" s="1"/>
  <c r="C59" i="8"/>
  <c r="C44" i="8"/>
  <c r="D44" i="8" s="1"/>
  <c r="C43" i="8"/>
  <c r="D35" i="8"/>
  <c r="C104" i="7"/>
  <c r="C103" i="7"/>
  <c r="C102" i="7"/>
  <c r="C100" i="7"/>
  <c r="C90" i="7"/>
  <c r="C88" i="7"/>
  <c r="C87" i="7"/>
  <c r="C85" i="7"/>
  <c r="D156" i="7"/>
  <c r="D152" i="7"/>
  <c r="C146" i="7"/>
  <c r="C139" i="7"/>
  <c r="C101" i="7"/>
  <c r="D66" i="7"/>
  <c r="D65" i="7"/>
  <c r="D70" i="7" s="1"/>
  <c r="D78" i="7" s="1"/>
  <c r="C59" i="7"/>
  <c r="C89" i="7" s="1"/>
  <c r="C45" i="7"/>
  <c r="C44" i="7"/>
  <c r="D43" i="7"/>
  <c r="C43" i="7"/>
  <c r="D35" i="7"/>
  <c r="D156" i="6"/>
  <c r="C139" i="6"/>
  <c r="C146" i="6" s="1"/>
  <c r="C104" i="6"/>
  <c r="C103" i="6"/>
  <c r="C102" i="6"/>
  <c r="C101" i="6"/>
  <c r="C100" i="6"/>
  <c r="C90" i="6"/>
  <c r="C89" i="6"/>
  <c r="C88" i="6"/>
  <c r="C87" i="6"/>
  <c r="C85" i="6"/>
  <c r="D66" i="6"/>
  <c r="D65" i="6"/>
  <c r="D70" i="6" s="1"/>
  <c r="D78" i="6" s="1"/>
  <c r="C59" i="6"/>
  <c r="C44" i="6"/>
  <c r="C43" i="6"/>
  <c r="C45" i="6" s="1"/>
  <c r="D35" i="6"/>
  <c r="D85" i="6" s="1"/>
  <c r="D156" i="5"/>
  <c r="C146" i="5"/>
  <c r="C139" i="5"/>
  <c r="C104" i="5"/>
  <c r="C103" i="5"/>
  <c r="C102" i="5"/>
  <c r="C101" i="5"/>
  <c r="C100" i="5"/>
  <c r="C90" i="5"/>
  <c r="D90" i="5" s="1"/>
  <c r="C88" i="5"/>
  <c r="C87" i="5"/>
  <c r="D87" i="5" s="1"/>
  <c r="C85" i="5"/>
  <c r="D66" i="5"/>
  <c r="D65" i="5"/>
  <c r="D70" i="5" s="1"/>
  <c r="D78" i="5" s="1"/>
  <c r="C59" i="5"/>
  <c r="C89" i="5" s="1"/>
  <c r="C44" i="5"/>
  <c r="C45" i="5" s="1"/>
  <c r="C43" i="5"/>
  <c r="D35" i="5"/>
  <c r="D152" i="5" s="1"/>
  <c r="D156" i="4"/>
  <c r="C146" i="4"/>
  <c r="C139" i="4"/>
  <c r="C104" i="4"/>
  <c r="C103" i="4"/>
  <c r="C102" i="4"/>
  <c r="C101" i="4"/>
  <c r="C100" i="4"/>
  <c r="C90" i="4"/>
  <c r="C88" i="4"/>
  <c r="C87" i="4"/>
  <c r="C85" i="4"/>
  <c r="D65" i="4"/>
  <c r="D70" i="4" s="1"/>
  <c r="D78" i="4" s="1"/>
  <c r="C59" i="4"/>
  <c r="C89" i="4" s="1"/>
  <c r="C44" i="4"/>
  <c r="C45" i="4" s="1"/>
  <c r="D43" i="4"/>
  <c r="C43" i="4"/>
  <c r="D35" i="4"/>
  <c r="D152" i="4" s="1"/>
  <c r="D156" i="3"/>
  <c r="C146" i="3"/>
  <c r="C139" i="3"/>
  <c r="C104" i="3"/>
  <c r="C103" i="3"/>
  <c r="C102" i="3"/>
  <c r="C101" i="3"/>
  <c r="C100" i="3"/>
  <c r="C90" i="3"/>
  <c r="C88" i="3"/>
  <c r="C87" i="3"/>
  <c r="C85" i="3"/>
  <c r="D65" i="3"/>
  <c r="D70" i="3" s="1"/>
  <c r="D78" i="3" s="1"/>
  <c r="C59" i="3"/>
  <c r="C89" i="3" s="1"/>
  <c r="C44" i="3"/>
  <c r="C45" i="3" s="1"/>
  <c r="C43" i="3"/>
  <c r="D35" i="3"/>
  <c r="D152" i="3" s="1"/>
  <c r="D156" i="2"/>
  <c r="D152" i="2"/>
  <c r="C146" i="2"/>
  <c r="C139" i="2"/>
  <c r="C104" i="2"/>
  <c r="C103" i="2"/>
  <c r="C102" i="2"/>
  <c r="C101" i="2"/>
  <c r="C100" i="2"/>
  <c r="C90" i="2"/>
  <c r="D90" i="2" s="1"/>
  <c r="C88" i="2"/>
  <c r="C87" i="2"/>
  <c r="D87" i="2" s="1"/>
  <c r="C85" i="2"/>
  <c r="D66" i="2"/>
  <c r="D65" i="2"/>
  <c r="D70" i="2" s="1"/>
  <c r="D78" i="2" s="1"/>
  <c r="C59" i="2"/>
  <c r="C89" i="2" s="1"/>
  <c r="C44" i="2"/>
  <c r="C45" i="2" s="1"/>
  <c r="C43" i="2"/>
  <c r="D35" i="2"/>
  <c r="D112" i="1"/>
  <c r="D66" i="1"/>
  <c r="D65" i="1"/>
  <c r="F28" i="14" l="1"/>
  <c r="D86" i="8"/>
  <c r="D91" i="8"/>
  <c r="D86" i="11"/>
  <c r="D91" i="11"/>
  <c r="D86" i="10"/>
  <c r="D91" i="10" s="1"/>
  <c r="D86" i="9"/>
  <c r="D91" i="9" s="1"/>
  <c r="D43" i="11"/>
  <c r="D45" i="11" s="1"/>
  <c r="D58" i="11" s="1"/>
  <c r="D52" i="11"/>
  <c r="D152" i="11"/>
  <c r="D43" i="10"/>
  <c r="D44" i="10"/>
  <c r="D152" i="10"/>
  <c r="D44" i="9"/>
  <c r="D45" i="9" s="1"/>
  <c r="D152" i="9"/>
  <c r="C45" i="8"/>
  <c r="D43" i="8"/>
  <c r="D45" i="8" s="1"/>
  <c r="D152" i="8"/>
  <c r="D88" i="7"/>
  <c r="D89" i="7" s="1"/>
  <c r="D85" i="7"/>
  <c r="D44" i="7"/>
  <c r="D45" i="7" s="1"/>
  <c r="D87" i="7"/>
  <c r="D90" i="7"/>
  <c r="D43" i="6"/>
  <c r="D86" i="6"/>
  <c r="D44" i="6"/>
  <c r="D87" i="6"/>
  <c r="D90" i="6"/>
  <c r="D152" i="6"/>
  <c r="D88" i="6"/>
  <c r="D89" i="6" s="1"/>
  <c r="D88" i="5"/>
  <c r="D89" i="5" s="1"/>
  <c r="D85" i="5"/>
  <c r="D43" i="5"/>
  <c r="D44" i="5"/>
  <c r="D87" i="4"/>
  <c r="D90" i="4"/>
  <c r="D85" i="4"/>
  <c r="D44" i="4"/>
  <c r="D45" i="4" s="1"/>
  <c r="D88" i="4"/>
  <c r="D89" i="4" s="1"/>
  <c r="D87" i="3"/>
  <c r="D90" i="3"/>
  <c r="D44" i="3"/>
  <c r="D88" i="3"/>
  <c r="D89" i="3" s="1"/>
  <c r="D85" i="3"/>
  <c r="D43" i="3"/>
  <c r="D45" i="3" s="1"/>
  <c r="D44" i="2"/>
  <c r="D88" i="2"/>
  <c r="D89" i="2" s="1"/>
  <c r="D85" i="2"/>
  <c r="D43" i="2"/>
  <c r="C90" i="1"/>
  <c r="C87" i="1"/>
  <c r="D102" i="10" l="1"/>
  <c r="D105" i="10"/>
  <c r="D104" i="10"/>
  <c r="D101" i="10"/>
  <c r="D103" i="10"/>
  <c r="D100" i="10"/>
  <c r="D102" i="9"/>
  <c r="D105" i="9"/>
  <c r="D104" i="9"/>
  <c r="D101" i="9"/>
  <c r="D103" i="9"/>
  <c r="D100" i="9"/>
  <c r="D105" i="11"/>
  <c r="D104" i="11"/>
  <c r="D101" i="11"/>
  <c r="D103" i="11"/>
  <c r="D100" i="11"/>
  <c r="D106" i="11" s="1"/>
  <c r="D102" i="11"/>
  <c r="D154" i="11"/>
  <c r="D105" i="8"/>
  <c r="D104" i="8"/>
  <c r="D101" i="8"/>
  <c r="D103" i="8"/>
  <c r="D100" i="8"/>
  <c r="D102" i="8"/>
  <c r="D56" i="11"/>
  <c r="D57" i="11"/>
  <c r="D54" i="11"/>
  <c r="D53" i="11"/>
  <c r="D76" i="11"/>
  <c r="D51" i="11"/>
  <c r="D55" i="11"/>
  <c r="D154" i="10"/>
  <c r="D45" i="10"/>
  <c r="D52" i="9"/>
  <c r="D76" i="9"/>
  <c r="D53" i="9"/>
  <c r="D58" i="9"/>
  <c r="D51" i="9"/>
  <c r="D55" i="9"/>
  <c r="D57" i="9"/>
  <c r="D56" i="9"/>
  <c r="D54" i="9"/>
  <c r="D154" i="9"/>
  <c r="D55" i="8"/>
  <c r="D53" i="8"/>
  <c r="D54" i="8"/>
  <c r="D76" i="8"/>
  <c r="D57" i="8"/>
  <c r="D51" i="8"/>
  <c r="D59" i="8" s="1"/>
  <c r="D77" i="8" s="1"/>
  <c r="D56" i="8"/>
  <c r="D58" i="8"/>
  <c r="D52" i="8"/>
  <c r="D154" i="8"/>
  <c r="D53" i="7"/>
  <c r="D76" i="7"/>
  <c r="D58" i="7"/>
  <c r="D52" i="7"/>
  <c r="D55" i="7"/>
  <c r="D51" i="7"/>
  <c r="D59" i="7" s="1"/>
  <c r="D77" i="7" s="1"/>
  <c r="D57" i="7"/>
  <c r="D54" i="7"/>
  <c r="D56" i="7"/>
  <c r="D86" i="7"/>
  <c r="D91" i="7" s="1"/>
  <c r="D154" i="7" s="1"/>
  <c r="D91" i="6"/>
  <c r="D154" i="6" s="1"/>
  <c r="D45" i="6"/>
  <c r="D58" i="6" s="1"/>
  <c r="D86" i="5"/>
  <c r="D91" i="5"/>
  <c r="D154" i="5" s="1"/>
  <c r="D45" i="5"/>
  <c r="D58" i="4"/>
  <c r="D76" i="4"/>
  <c r="D55" i="4"/>
  <c r="D54" i="4"/>
  <c r="D53" i="4"/>
  <c r="D52" i="4"/>
  <c r="D51" i="4"/>
  <c r="D57" i="4"/>
  <c r="D56" i="4"/>
  <c r="D86" i="4"/>
  <c r="D91" i="4" s="1"/>
  <c r="D154" i="4" s="1"/>
  <c r="D54" i="3"/>
  <c r="D76" i="3"/>
  <c r="D55" i="3"/>
  <c r="D53" i="3"/>
  <c r="D56" i="3"/>
  <c r="D57" i="3"/>
  <c r="D86" i="3"/>
  <c r="D91" i="3" s="1"/>
  <c r="D154" i="3" s="1"/>
  <c r="D58" i="3"/>
  <c r="D52" i="3"/>
  <c r="D51" i="3"/>
  <c r="D86" i="2"/>
  <c r="D91" i="2" s="1"/>
  <c r="D154" i="2" s="1"/>
  <c r="D45" i="2"/>
  <c r="C139" i="1"/>
  <c r="C146" i="1"/>
  <c r="C104" i="1"/>
  <c r="C103" i="1"/>
  <c r="C102" i="1"/>
  <c r="C101" i="1"/>
  <c r="C100" i="1"/>
  <c r="C89" i="1"/>
  <c r="C88" i="1"/>
  <c r="C85" i="1"/>
  <c r="C45" i="1"/>
  <c r="C44" i="1"/>
  <c r="C43" i="1"/>
  <c r="D106" i="8" l="1"/>
  <c r="D106" i="9"/>
  <c r="D106" i="10"/>
  <c r="D79" i="11"/>
  <c r="D59" i="11"/>
  <c r="D77" i="11" s="1"/>
  <c r="D76" i="10"/>
  <c r="D56" i="10"/>
  <c r="D53" i="10"/>
  <c r="D55" i="10"/>
  <c r="D54" i="10"/>
  <c r="D52" i="10"/>
  <c r="D58" i="10"/>
  <c r="D51" i="10"/>
  <c r="D57" i="10"/>
  <c r="D59" i="9"/>
  <c r="D77" i="9" s="1"/>
  <c r="D79" i="9" s="1"/>
  <c r="D79" i="8"/>
  <c r="D79" i="7"/>
  <c r="D76" i="6"/>
  <c r="D57" i="6"/>
  <c r="D54" i="6"/>
  <c r="D55" i="6"/>
  <c r="D56" i="6"/>
  <c r="D51" i="6"/>
  <c r="D52" i="6"/>
  <c r="D53" i="6"/>
  <c r="D59" i="6"/>
  <c r="D77" i="6" s="1"/>
  <c r="D79" i="6" s="1"/>
  <c r="D53" i="5"/>
  <c r="D54" i="5"/>
  <c r="D76" i="5"/>
  <c r="D55" i="5"/>
  <c r="D57" i="5"/>
  <c r="D56" i="5"/>
  <c r="D51" i="5"/>
  <c r="D52" i="5"/>
  <c r="D58" i="5"/>
  <c r="D59" i="4"/>
  <c r="D77" i="4" s="1"/>
  <c r="D79" i="4" s="1"/>
  <c r="D59" i="3"/>
  <c r="D77" i="3" s="1"/>
  <c r="D79" i="3" s="1"/>
  <c r="D76" i="2"/>
  <c r="D55" i="2"/>
  <c r="D54" i="2"/>
  <c r="D53" i="2"/>
  <c r="D52" i="2"/>
  <c r="D58" i="2"/>
  <c r="D57" i="2"/>
  <c r="D51" i="2"/>
  <c r="D56" i="2"/>
  <c r="D156" i="1"/>
  <c r="D70" i="1"/>
  <c r="D78" i="1" s="1"/>
  <c r="C59" i="1"/>
  <c r="D35" i="1"/>
  <c r="D153" i="11" l="1"/>
  <c r="D112" i="11"/>
  <c r="D113" i="11" s="1"/>
  <c r="D120" i="11" s="1"/>
  <c r="D59" i="10"/>
  <c r="D77" i="10" s="1"/>
  <c r="D79" i="10"/>
  <c r="D153" i="9"/>
  <c r="D112" i="9"/>
  <c r="D113" i="9" s="1"/>
  <c r="D120" i="9" s="1"/>
  <c r="D119" i="9"/>
  <c r="D121" i="9" s="1"/>
  <c r="D155" i="9" s="1"/>
  <c r="D153" i="8"/>
  <c r="D112" i="8"/>
  <c r="D113" i="8" s="1"/>
  <c r="D120" i="8" s="1"/>
  <c r="D153" i="7"/>
  <c r="D102" i="7"/>
  <c r="D104" i="7"/>
  <c r="D103" i="7"/>
  <c r="D101" i="7"/>
  <c r="D105" i="7"/>
  <c r="D112" i="7"/>
  <c r="D113" i="7" s="1"/>
  <c r="D120" i="7" s="1"/>
  <c r="D100" i="7"/>
  <c r="D153" i="6"/>
  <c r="D104" i="6"/>
  <c r="D101" i="6"/>
  <c r="D100" i="6"/>
  <c r="D103" i="6"/>
  <c r="D112" i="6"/>
  <c r="D113" i="6" s="1"/>
  <c r="D120" i="6" s="1"/>
  <c r="D102" i="6"/>
  <c r="D105" i="6"/>
  <c r="D59" i="5"/>
  <c r="D77" i="5" s="1"/>
  <c r="D79" i="5" s="1"/>
  <c r="D153" i="4"/>
  <c r="D105" i="4"/>
  <c r="D104" i="4"/>
  <c r="D101" i="4"/>
  <c r="D102" i="4"/>
  <c r="D112" i="4"/>
  <c r="D113" i="4" s="1"/>
  <c r="D120" i="4" s="1"/>
  <c r="D100" i="4"/>
  <c r="D103" i="4"/>
  <c r="D153" i="3"/>
  <c r="D105" i="3"/>
  <c r="D101" i="3"/>
  <c r="D104" i="3"/>
  <c r="D102" i="3"/>
  <c r="D100" i="3"/>
  <c r="D103" i="3"/>
  <c r="D112" i="3"/>
  <c r="D113" i="3" s="1"/>
  <c r="D120" i="3" s="1"/>
  <c r="D59" i="2"/>
  <c r="D77" i="2" s="1"/>
  <c r="D79" i="2" s="1"/>
  <c r="D85" i="1"/>
  <c r="D86" i="1" s="1"/>
  <c r="D88" i="1"/>
  <c r="D89" i="1" s="1"/>
  <c r="D87" i="1"/>
  <c r="D152" i="1"/>
  <c r="D44" i="1"/>
  <c r="D90" i="1"/>
  <c r="D43" i="1"/>
  <c r="D119" i="11" l="1"/>
  <c r="D121" i="11" s="1"/>
  <c r="D155" i="11" s="1"/>
  <c r="D157" i="11" s="1"/>
  <c r="D153" i="10"/>
  <c r="D112" i="10"/>
  <c r="D113" i="10" s="1"/>
  <c r="D120" i="10" s="1"/>
  <c r="D157" i="9"/>
  <c r="D119" i="8"/>
  <c r="D121" i="8" s="1"/>
  <c r="D155" i="8" s="1"/>
  <c r="D157" i="8" s="1"/>
  <c r="D106" i="7"/>
  <c r="D119" i="7" s="1"/>
  <c r="D121" i="7" s="1"/>
  <c r="D155" i="7" s="1"/>
  <c r="D157" i="7" s="1"/>
  <c r="D106" i="6"/>
  <c r="D119" i="6" s="1"/>
  <c r="D121" i="6" s="1"/>
  <c r="D155" i="6" s="1"/>
  <c r="D157" i="6" s="1"/>
  <c r="D153" i="5"/>
  <c r="D101" i="5"/>
  <c r="D105" i="5"/>
  <c r="D102" i="5"/>
  <c r="D104" i="5"/>
  <c r="D112" i="5"/>
  <c r="D113" i="5" s="1"/>
  <c r="D120" i="5" s="1"/>
  <c r="D103" i="5"/>
  <c r="D100" i="5"/>
  <c r="D106" i="4"/>
  <c r="D119" i="4" s="1"/>
  <c r="D121" i="4" s="1"/>
  <c r="D155" i="4" s="1"/>
  <c r="D157" i="4" s="1"/>
  <c r="D106" i="3"/>
  <c r="D119" i="3" s="1"/>
  <c r="D121" i="3" s="1"/>
  <c r="D155" i="3" s="1"/>
  <c r="D157" i="3" s="1"/>
  <c r="D105" i="2"/>
  <c r="D153" i="2"/>
  <c r="D102" i="2"/>
  <c r="D104" i="2"/>
  <c r="D101" i="2"/>
  <c r="D103" i="2"/>
  <c r="D112" i="2"/>
  <c r="D113" i="2" s="1"/>
  <c r="D120" i="2" s="1"/>
  <c r="D100" i="2"/>
  <c r="D45" i="1"/>
  <c r="D91" i="1"/>
  <c r="D137" i="11" l="1"/>
  <c r="D138" i="11" s="1"/>
  <c r="D139" i="11" s="1"/>
  <c r="D119" i="10"/>
  <c r="D121" i="10" s="1"/>
  <c r="D155" i="10" s="1"/>
  <c r="D157" i="10"/>
  <c r="D137" i="9"/>
  <c r="D137" i="8"/>
  <c r="D138" i="8" s="1"/>
  <c r="D139" i="8" s="1"/>
  <c r="D137" i="7"/>
  <c r="D137" i="6"/>
  <c r="D106" i="5"/>
  <c r="D119" i="5" s="1"/>
  <c r="D121" i="5" s="1"/>
  <c r="D155" i="5" s="1"/>
  <c r="D157" i="5"/>
  <c r="D137" i="4"/>
  <c r="D137" i="3"/>
  <c r="D106" i="2"/>
  <c r="D119" i="2" s="1"/>
  <c r="D121" i="2" s="1"/>
  <c r="D155" i="2" s="1"/>
  <c r="D157" i="2" s="1"/>
  <c r="D76" i="1"/>
  <c r="D55" i="1"/>
  <c r="D53" i="1"/>
  <c r="D56" i="1"/>
  <c r="D54" i="1"/>
  <c r="D57" i="1"/>
  <c r="D52" i="1"/>
  <c r="D58" i="1"/>
  <c r="D51" i="1"/>
  <c r="D154" i="1"/>
  <c r="D146" i="11" l="1"/>
  <c r="D158" i="11" s="1"/>
  <c r="D137" i="10"/>
  <c r="D138" i="9"/>
  <c r="D139" i="9" s="1"/>
  <c r="D146" i="8"/>
  <c r="D158" i="8" s="1"/>
  <c r="D138" i="7"/>
  <c r="D139" i="7" s="1"/>
  <c r="D138" i="6"/>
  <c r="D139" i="6" s="1"/>
  <c r="D137" i="5"/>
  <c r="D138" i="4"/>
  <c r="D139" i="4"/>
  <c r="D138" i="3"/>
  <c r="D139" i="3"/>
  <c r="D137" i="2"/>
  <c r="D59" i="1"/>
  <c r="D77" i="1" s="1"/>
  <c r="D79" i="1" s="1"/>
  <c r="D103" i="1" s="1"/>
  <c r="D146" i="9" l="1"/>
  <c r="D158" i="9" s="1"/>
  <c r="D145" i="9" s="1"/>
  <c r="D143" i="11"/>
  <c r="D140" i="11"/>
  <c r="D142" i="11"/>
  <c r="D141" i="11"/>
  <c r="D145" i="11"/>
  <c r="D144" i="11"/>
  <c r="D138" i="10"/>
  <c r="D139" i="10" s="1"/>
  <c r="D143" i="8"/>
  <c r="D142" i="8"/>
  <c r="D141" i="8"/>
  <c r="D140" i="8"/>
  <c r="D145" i="8"/>
  <c r="D144" i="8"/>
  <c r="D146" i="7"/>
  <c r="D158" i="7" s="1"/>
  <c r="D141" i="7" s="1"/>
  <c r="D146" i="6"/>
  <c r="D158" i="6" s="1"/>
  <c r="D138" i="5"/>
  <c r="D146" i="4"/>
  <c r="D158" i="4" s="1"/>
  <c r="D143" i="4" s="1"/>
  <c r="D146" i="3"/>
  <c r="D158" i="3" s="1"/>
  <c r="D144" i="3" s="1"/>
  <c r="D142" i="3"/>
  <c r="D141" i="3"/>
  <c r="D145" i="3"/>
  <c r="D138" i="2"/>
  <c r="D139" i="2" s="1"/>
  <c r="D153" i="1"/>
  <c r="D104" i="1"/>
  <c r="D102" i="1"/>
  <c r="D101" i="1"/>
  <c r="D105" i="1"/>
  <c r="D113" i="1"/>
  <c r="D120" i="1" s="1"/>
  <c r="D100" i="1"/>
  <c r="D140" i="3" l="1"/>
  <c r="D145" i="4"/>
  <c r="D143" i="3"/>
  <c r="D140" i="4"/>
  <c r="D141" i="9"/>
  <c r="D144" i="9"/>
  <c r="D140" i="9"/>
  <c r="D142" i="9"/>
  <c r="D142" i="4"/>
  <c r="D143" i="9"/>
  <c r="D144" i="4"/>
  <c r="D146" i="10"/>
  <c r="D158" i="10" s="1"/>
  <c r="D140" i="7"/>
  <c r="D142" i="7"/>
  <c r="D143" i="7"/>
  <c r="D144" i="7"/>
  <c r="D145" i="7"/>
  <c r="D143" i="6"/>
  <c r="D140" i="6"/>
  <c r="D142" i="6"/>
  <c r="D141" i="6"/>
  <c r="D145" i="6"/>
  <c r="D144" i="6"/>
  <c r="D139" i="5"/>
  <c r="D146" i="5" s="1"/>
  <c r="D158" i="5" s="1"/>
  <c r="D141" i="4"/>
  <c r="D146" i="2"/>
  <c r="D158" i="2" s="1"/>
  <c r="D106" i="1"/>
  <c r="D119" i="1" s="1"/>
  <c r="D121" i="1" s="1"/>
  <c r="D155" i="1" s="1"/>
  <c r="D157" i="1" s="1"/>
  <c r="D137" i="1" s="1"/>
  <c r="D138" i="1" s="1"/>
  <c r="D139" i="1" s="1"/>
  <c r="D143" i="10" l="1"/>
  <c r="D142" i="10"/>
  <c r="D141" i="10"/>
  <c r="D140" i="10"/>
  <c r="D144" i="10"/>
  <c r="D145" i="10"/>
  <c r="D143" i="5"/>
  <c r="D141" i="5"/>
  <c r="D142" i="5"/>
  <c r="D140" i="5"/>
  <c r="D145" i="5"/>
  <c r="D144" i="5"/>
  <c r="D140" i="2"/>
  <c r="D145" i="2"/>
  <c r="D144" i="2"/>
  <c r="D143" i="2"/>
  <c r="D142" i="2"/>
  <c r="D141" i="2"/>
  <c r="D146" i="1"/>
  <c r="D158" i="1" s="1"/>
  <c r="D145" i="1" s="1"/>
  <c r="D141" i="1" l="1"/>
  <c r="D142" i="1"/>
  <c r="D140" i="1"/>
  <c r="D143" i="1"/>
  <c r="D144" i="1"/>
</calcChain>
</file>

<file path=xl/sharedStrings.xml><?xml version="1.0" encoding="utf-8"?>
<sst xmlns="http://schemas.openxmlformats.org/spreadsheetml/2006/main" count="2271" uniqueCount="192">
  <si>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</si>
  <si>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</si>
  <si>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</si>
  <si>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</si>
  <si>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</si>
  <si>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</si>
  <si>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</si>
  <si>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</si>
  <si>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</si>
  <si>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</si>
  <si>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</si>
  <si>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</si>
  <si>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</si>
  <si>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</si>
  <si>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</si>
  <si>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</si>
  <si>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</si>
  <si>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</si>
  <si>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</si>
  <si>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</si>
  <si>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</si>
  <si>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</si>
  <si>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</si>
  <si>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</si>
  <si>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</si>
  <si>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</si>
  <si>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</si>
  <si>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</si>
  <si>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</si>
  <si>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</si>
  <si>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</si>
  <si>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</si>
  <si>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</si>
  <si>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</si>
  <si>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</si>
  <si>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</si>
  <si>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</si>
  <si>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</si>
  <si>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</si>
  <si>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</si>
  <si>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</si>
  <si>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</si>
  <si>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</si>
  <si>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</si>
  <si>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</si>
  <si>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</si>
  <si>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</si>
  <si>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</si>
  <si>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</si>
  <si>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</si>
  <si>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</si>
  <si>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</si>
  <si>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</si>
  <si>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</si>
  <si>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</si>
  <si>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</si>
  <si>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</si>
  <si>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</si>
  <si>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</si>
  <si>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</si>
  <si>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</si>
  <si>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</si>
  <si>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</si>
  <si>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</si>
  <si>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</si>
  <si>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</si>
  <si>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</si>
  <si>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</si>
  <si>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</si>
  <si>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</si>
  <si>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</si>
  <si>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</si>
  <si>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</si>
  <si>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</si>
  <si>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</si>
  <si>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</si>
  <si>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</si>
  <si>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</si>
  <si>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</si>
  <si>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</si>
  <si>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</si>
  <si>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</si>
  <si>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</si>
  <si>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</si>
  <si>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</si>
  <si>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</si>
  <si>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</si>
  <si>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</si>
  <si>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</si>
  <si>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</si>
  <si>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</si>
  <si>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</si>
  <si>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</si>
  <si>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</si>
  <si>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</si>
  <si>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</si>
  <si>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</si>
  <si>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Multa do FGTS sobre o Aviso Prévio Indenizado</t>
  </si>
  <si>
    <t>Multa do FGTS sobre o Aviso Prévio Trabalhado</t>
  </si>
  <si>
    <t>Convenção Coletiva de Trabalho</t>
  </si>
  <si>
    <t xml:space="preserve">Número de Registro no MTE </t>
  </si>
  <si>
    <t>Data do Registro</t>
  </si>
  <si>
    <t>Informação sobre estimativa da Administração</t>
  </si>
  <si>
    <r>
      <t xml:space="preserve">Informa-se que foi utilizada a seguinte Convenção Coletiva de Trabalho no cálculo do valor pela Administração, a qual </t>
    </r>
    <r>
      <rPr>
        <b/>
        <u/>
        <sz val="10"/>
        <color theme="1"/>
        <rFont val="Times New Roman"/>
        <family val="1"/>
      </rPr>
      <t>não</t>
    </r>
    <r>
      <rPr>
        <b/>
        <sz val="10"/>
        <color theme="1"/>
        <rFont val="Times New Roman"/>
        <family val="1"/>
      </rPr>
      <t xml:space="preserve"> será de uso obrigatório pelas licitantes:</t>
    </r>
  </si>
  <si>
    <t>QUADRO-RESUMO DO CUSTO POR EMPREGADO</t>
  </si>
  <si>
    <t>2025/2026</t>
  </si>
  <si>
    <t>BA000817/2024 (BA000145/2025)</t>
  </si>
  <si>
    <t>SINDILIMP-BA SIND.TRAB.LIMPEZA PUBLICA,COML,INDL, HOSPITALAR,ASSEIO, PREST. SERV.EM GERAL, CONSERVACAO, JARDINAGEM E CONTROLE DE PRAGAS INTERMUNICIPAL, CNPJ n. 32.700.148/0001-25</t>
  </si>
  <si>
    <t>SINDICATO DAS EMPRESAS DE SERVICOS E LIMPEZA AMBIENTAL DO ESTADO DA BAHIA - SEAC/BA, CNPJ n. 13.713.607/0001-60</t>
  </si>
  <si>
    <t>Atendente III</t>
  </si>
  <si>
    <t>posto de serviço</t>
  </si>
  <si>
    <t>4110-15</t>
  </si>
  <si>
    <t>Assistência Médica</t>
  </si>
  <si>
    <t>Assistência Odontológica</t>
  </si>
  <si>
    <t>Seguro de Vida</t>
  </si>
  <si>
    <t>Atendente IV (Libras)</t>
  </si>
  <si>
    <t>Telefonista</t>
  </si>
  <si>
    <t>4222-05</t>
  </si>
  <si>
    <t>Telefonista Bilíngue (Libras)</t>
  </si>
  <si>
    <t>Supervisor</t>
  </si>
  <si>
    <t xml:space="preserve">4201-35 </t>
  </si>
  <si>
    <t>Auxiliar de Supervisão</t>
  </si>
  <si>
    <t>Atendente IV (Libras) - Até 61 dias</t>
  </si>
  <si>
    <t>Atendente III - Até 61 dias</t>
  </si>
  <si>
    <t>Telefonista - Até 61 dias</t>
  </si>
  <si>
    <t>Telefonista Bilíngue (Libras) - Até 61 dias</t>
  </si>
  <si>
    <t>Auxiliar de Supervisão - Até 61 dias</t>
  </si>
  <si>
    <t>vhe = [ rem × (1+13fa) × (1+es) × (1+i) × (1+ci) × (1+ℓ) ÷ d ] / (1-t)</t>
  </si>
  <si>
    <t>Onde:</t>
  </si>
  <si>
    <t>vhe = valor da hora extra</t>
  </si>
  <si>
    <t>rem = remuneração</t>
  </si>
  <si>
    <t>d = divisor, de acordo com a jornada mensal prevista na CCT ou, na sua falta, na legislação trabalhista</t>
  </si>
  <si>
    <t>13fa = incidência sobre 13º salário, férias e adicional</t>
  </si>
  <si>
    <t>es = encargos sociais relativos ao módulo 2.2 da planilha de custos e formação de preços</t>
  </si>
  <si>
    <t>i = índice referente ao acréscimo legal sobre a hora normal, previsto na respectiva Convenção Coletiva de Trabalho - CCT ou, na sua falta, na legislação trabalhista</t>
  </si>
  <si>
    <t>ci = custos indiretos</t>
  </si>
  <si>
    <t>ℓ = lucro</t>
  </si>
  <si>
    <t>t = tributos incidentes sobre o faturamento</t>
  </si>
  <si>
    <t>Valores Referenciais</t>
  </si>
  <si>
    <t>posto</t>
  </si>
  <si>
    <t>rem</t>
  </si>
  <si>
    <t>rem/hora</t>
  </si>
  <si>
    <t>13fa</t>
  </si>
  <si>
    <t>subtotal 1</t>
  </si>
  <si>
    <t>es</t>
  </si>
  <si>
    <t>subtotal 2</t>
  </si>
  <si>
    <t>ci, ℓ, t</t>
  </si>
  <si>
    <t>custo hora normal</t>
  </si>
  <si>
    <t>he dias úteis</t>
  </si>
  <si>
    <t>he dom-fer</t>
  </si>
  <si>
    <t>sábados</t>
  </si>
  <si>
    <t>domingos e feriados</t>
  </si>
  <si>
    <t>total horas extras</t>
  </si>
  <si>
    <t>Transporte (vt)</t>
  </si>
  <si>
    <t>valor unitário</t>
  </si>
  <si>
    <t>por dia</t>
  </si>
  <si>
    <t>custo vt/dia</t>
  </si>
  <si>
    <t>total vt com he</t>
  </si>
  <si>
    <t>Alimentação (va)</t>
  </si>
  <si>
    <t>custo va/dia</t>
  </si>
  <si>
    <t>total va com he</t>
  </si>
  <si>
    <t>Resumo</t>
  </si>
  <si>
    <t>he</t>
  </si>
  <si>
    <t>vt</t>
  </si>
  <si>
    <t>va</t>
  </si>
  <si>
    <t>total</t>
  </si>
  <si>
    <t>Horas Extras - tópico 4.2.3.3 do Termo de Referência</t>
  </si>
  <si>
    <t>horas extras p/posto</t>
  </si>
  <si>
    <t>vt com he p/posto</t>
  </si>
  <si>
    <t>va com he p/posto</t>
  </si>
  <si>
    <t>seg-sex</t>
  </si>
  <si>
    <t>quadro resumo - valor total estimado</t>
  </si>
  <si>
    <t>postos regulares - valor anual</t>
  </si>
  <si>
    <t>item</t>
  </si>
  <si>
    <t>especificação</t>
  </si>
  <si>
    <t>valor mensal unitário</t>
  </si>
  <si>
    <t>quantidade</t>
  </si>
  <si>
    <t>valor mensal</t>
  </si>
  <si>
    <t>valor anual</t>
  </si>
  <si>
    <t>acréscimo de postos em ano eleitoral</t>
  </si>
  <si>
    <t>total estimado da contratação</t>
  </si>
  <si>
    <t>ano não eleitoral</t>
  </si>
  <si>
    <t>ano eleitoral</t>
  </si>
  <si>
    <t>postos regulares</t>
  </si>
  <si>
    <t>acréscimo de postos</t>
  </si>
  <si>
    <t>horas extras</t>
  </si>
  <si>
    <t>total [A]</t>
  </si>
  <si>
    <t>total [B]</t>
  </si>
  <si>
    <t>valor total da contratação (para o prazo de 24 meses)</t>
  </si>
  <si>
    <t>[A] + [B] =</t>
  </si>
  <si>
    <t>valor total
(61 dias)</t>
  </si>
  <si>
    <t>Ano eleitoral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</si>
</sst>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theme="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6" borderId="1" xfId="0" applyFont="1" applyFill="1" applyBorder="1"/>
    <xf numFmtId="0" fontId="4" fillId="6" borderId="2" xfId="0" applyFont="1" applyFill="1" applyBorder="1"/>
    <xf numFmtId="0" fontId="4" fillId="6" borderId="3" xfId="0" applyFont="1" applyFill="1" applyBorder="1" applyAlignment="1"/>
    <xf numFmtId="0" fontId="4" fillId="6" borderId="1" xfId="0" applyFont="1" applyFill="1" applyBorder="1" applyAlignment="1"/>
    <xf numFmtId="14" fontId="4" fillId="6" borderId="1" xfId="0" applyNumberFormat="1" applyFont="1" applyFill="1" applyBorder="1" applyAlignment="1"/>
    <xf numFmtId="0" fontId="4" fillId="6" borderId="1" xfId="0" applyFont="1" applyFill="1" applyBorder="1" applyAlignment="1">
      <alignment shrinkToFi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43" fontId="4" fillId="0" borderId="7" xfId="0" applyNumberFormat="1" applyFont="1" applyBorder="1"/>
    <xf numFmtId="10" fontId="4" fillId="0" borderId="6" xfId="0" applyNumberFormat="1" applyFont="1" applyBorder="1"/>
    <xf numFmtId="9" fontId="4" fillId="0" borderId="6" xfId="0" applyNumberFormat="1" applyFont="1" applyBorder="1"/>
    <xf numFmtId="9" fontId="4" fillId="0" borderId="0" xfId="0" applyNumberFormat="1" applyFont="1"/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/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10" xfId="0" applyFont="1" applyBorder="1"/>
    <xf numFmtId="0" fontId="4" fillId="0" borderId="0" xfId="0" applyFont="1" applyBorder="1"/>
    <xf numFmtId="0" fontId="5" fillId="7" borderId="8" xfId="0" applyFont="1" applyFill="1" applyBorder="1"/>
    <xf numFmtId="43" fontId="5" fillId="7" borderId="10" xfId="0" applyNumberFormat="1" applyFont="1" applyFill="1" applyBorder="1"/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5" xfId="0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43" fontId="4" fillId="0" borderId="5" xfId="0" applyNumberFormat="1" applyFont="1" applyBorder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5" xfId="0" applyFont="1" applyBorder="1" applyAlignment="1">
      <alignment horizontal="center" vertical="top"/>
    </xf>
    <xf numFmtId="43" fontId="5" fillId="0" borderId="5" xfId="0" applyNumberFormat="1" applyFont="1" applyBorder="1" applyAlignment="1">
      <alignment vertical="top"/>
    </xf>
    <xf numFmtId="0" fontId="5" fillId="6" borderId="2" xfId="0" applyFont="1" applyFill="1" applyBorder="1" applyAlignment="1">
      <alignment horizontal="center" vertical="top" shrinkToFit="1"/>
    </xf>
    <xf numFmtId="0" fontId="5" fillId="6" borderId="4" xfId="0" applyFont="1" applyFill="1" applyBorder="1" applyAlignment="1">
      <alignment horizontal="center" vertical="top" shrinkToFit="1"/>
    </xf>
    <xf numFmtId="0" fontId="5" fillId="6" borderId="3" xfId="0" applyFont="1" applyFill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/>
    </xf>
    <xf numFmtId="0" fontId="9" fillId="5" borderId="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shrinkToFit="1"/>
    </xf>
    <xf numFmtId="0" fontId="4" fillId="6" borderId="4" xfId="0" applyFont="1" applyFill="1" applyBorder="1" applyAlignment="1">
      <alignment shrinkToFit="1"/>
    </xf>
    <xf numFmtId="0" fontId="4" fillId="6" borderId="3" xfId="0" applyFont="1" applyFill="1" applyBorder="1" applyAlignment="1">
      <alignment shrinkToFi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53</xdr:row>
      <xdr:rowOff>28578</xdr:rowOff>
    </xdr:from>
    <xdr:to>
      <xdr:col>0</xdr:col>
      <xdr:colOff>876299</xdr:colOff>
      <xdr:row>54</xdr:row>
      <xdr:rowOff>142876</xdr:rowOff>
    </xdr:to>
    <xdr:sp macro="" textlink="">
      <xdr:nvSpPr>
        <xdr:cNvPr id="2" name="Seta dobrada para cima 1"/>
        <xdr:cNvSpPr/>
      </xdr:nvSpPr>
      <xdr:spPr>
        <a:xfrm rot="5400000">
          <a:off x="419100" y="8886828"/>
          <a:ext cx="276223" cy="638174"/>
        </a:xfrm>
        <a:prstGeom prst="bentUp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121" zoomScale="115" zoomScaleNormal="115" workbookViewId="0">
      <selection activeCell="D159" sqref="D15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2" t="s">
        <v>102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x14ac:dyDescent="0.2">
      <c r="A5" s="72" t="s">
        <v>103</v>
      </c>
      <c r="B5" s="73"/>
      <c r="C5" s="73"/>
      <c r="D5" s="74"/>
    </row>
    <row r="6" spans="1:4" x14ac:dyDescent="0.2">
      <c r="A6" s="33" t="s">
        <v>4</v>
      </c>
      <c r="B6" s="34" t="s">
        <v>99</v>
      </c>
      <c r="C6" s="35"/>
      <c r="D6" s="36" t="s">
        <v>105</v>
      </c>
    </row>
    <row r="7" spans="1:4" x14ac:dyDescent="0.2">
      <c r="A7" s="33" t="s">
        <v>6</v>
      </c>
      <c r="B7" s="34" t="s">
        <v>100</v>
      </c>
      <c r="C7" s="35"/>
      <c r="D7" s="38" t="s">
        <v>106</v>
      </c>
    </row>
    <row r="8" spans="1:4" x14ac:dyDescent="0.2">
      <c r="A8" s="33" t="s">
        <v>8</v>
      </c>
      <c r="B8" s="34" t="s">
        <v>101</v>
      </c>
      <c r="C8" s="35"/>
      <c r="D8" s="37">
        <v>45723</v>
      </c>
    </row>
    <row r="9" spans="1:4" x14ac:dyDescent="0.2">
      <c r="A9" s="33" t="s">
        <v>10</v>
      </c>
      <c r="B9" s="83" t="s">
        <v>108</v>
      </c>
      <c r="C9" s="84"/>
      <c r="D9" s="85"/>
    </row>
    <row r="10" spans="1:4" x14ac:dyDescent="0.2">
      <c r="A10" s="33" t="s">
        <v>12</v>
      </c>
      <c r="B10" s="83" t="s">
        <v>107</v>
      </c>
      <c r="C10" s="84"/>
      <c r="D10" s="85"/>
    </row>
    <row r="12" spans="1:4" x14ac:dyDescent="0.2">
      <c r="A12" s="82" t="s">
        <v>87</v>
      </c>
      <c r="B12" s="82"/>
      <c r="C12" s="82"/>
      <c r="D12" s="82"/>
    </row>
    <row r="13" spans="1:4" x14ac:dyDescent="0.2">
      <c r="A13" s="2"/>
      <c r="B13" s="2"/>
      <c r="C13" s="2"/>
      <c r="D13" s="2"/>
    </row>
    <row r="14" spans="1:4" ht="38.25" x14ac:dyDescent="0.2">
      <c r="A14" s="75" t="s">
        <v>88</v>
      </c>
      <c r="B14" s="75"/>
      <c r="C14" s="7" t="s">
        <v>89</v>
      </c>
      <c r="D14" s="27" t="s">
        <v>90</v>
      </c>
    </row>
    <row r="15" spans="1:4" x14ac:dyDescent="0.2">
      <c r="A15" s="76" t="s">
        <v>109</v>
      </c>
      <c r="B15" s="76"/>
      <c r="C15" s="39" t="s">
        <v>110</v>
      </c>
      <c r="D15" s="39">
        <v>8</v>
      </c>
    </row>
    <row r="17" spans="1:4" x14ac:dyDescent="0.2">
      <c r="A17" s="82" t="s">
        <v>71</v>
      </c>
      <c r="B17" s="82"/>
      <c r="C17" s="82"/>
      <c r="D17" s="8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77" t="s">
        <v>109</v>
      </c>
      <c r="D19" s="78"/>
    </row>
    <row r="20" spans="1:4" x14ac:dyDescent="0.2">
      <c r="A20" s="5">
        <v>2</v>
      </c>
      <c r="B20" s="5" t="s">
        <v>91</v>
      </c>
      <c r="C20" s="77" t="s">
        <v>111</v>
      </c>
      <c r="D20" s="78"/>
    </row>
    <row r="21" spans="1:4" x14ac:dyDescent="0.2">
      <c r="A21" s="5">
        <v>3</v>
      </c>
      <c r="B21" s="5" t="s">
        <v>73</v>
      </c>
      <c r="C21" s="81">
        <v>1942.48</v>
      </c>
      <c r="D21" s="78"/>
    </row>
    <row r="22" spans="1:4" x14ac:dyDescent="0.2">
      <c r="A22" s="5">
        <v>4</v>
      </c>
      <c r="B22" s="5" t="s">
        <v>74</v>
      </c>
      <c r="C22" s="77"/>
      <c r="D22" s="78"/>
    </row>
    <row r="23" spans="1:4" x14ac:dyDescent="0.2">
      <c r="A23" s="5">
        <v>5</v>
      </c>
      <c r="B23" s="5" t="s">
        <v>75</v>
      </c>
      <c r="C23" s="77"/>
      <c r="D23" s="78"/>
    </row>
    <row r="25" spans="1:4" x14ac:dyDescent="0.2">
      <c r="A25" s="82" t="s">
        <v>1</v>
      </c>
      <c r="B25" s="82"/>
      <c r="C25" s="82"/>
      <c r="D25" s="82"/>
    </row>
    <row r="27" spans="1:4" x14ac:dyDescent="0.2">
      <c r="A27" s="6">
        <v>1</v>
      </c>
      <c r="B27" s="79" t="s">
        <v>2</v>
      </c>
      <c r="C27" s="79"/>
      <c r="D27" s="6" t="s">
        <v>3</v>
      </c>
    </row>
    <row r="28" spans="1:4" x14ac:dyDescent="0.2">
      <c r="A28" s="7" t="s">
        <v>4</v>
      </c>
      <c r="B28" s="80" t="s">
        <v>5</v>
      </c>
      <c r="C28" s="80"/>
      <c r="D28" s="13">
        <v>1942.48</v>
      </c>
    </row>
    <row r="29" spans="1:4" x14ac:dyDescent="0.2">
      <c r="A29" s="7" t="s">
        <v>6</v>
      </c>
      <c r="B29" s="80" t="s">
        <v>7</v>
      </c>
      <c r="C29" s="80"/>
      <c r="D29" s="13"/>
    </row>
    <row r="30" spans="1:4" x14ac:dyDescent="0.2">
      <c r="A30" s="7" t="s">
        <v>8</v>
      </c>
      <c r="B30" s="80" t="s">
        <v>9</v>
      </c>
      <c r="C30" s="80"/>
      <c r="D30" s="13"/>
    </row>
    <row r="31" spans="1:4" x14ac:dyDescent="0.2">
      <c r="A31" s="7" t="s">
        <v>10</v>
      </c>
      <c r="B31" s="80" t="s">
        <v>11</v>
      </c>
      <c r="C31" s="80"/>
      <c r="D31" s="13"/>
    </row>
    <row r="32" spans="1:4" x14ac:dyDescent="0.2">
      <c r="A32" s="7" t="s">
        <v>12</v>
      </c>
      <c r="B32" s="80" t="s">
        <v>13</v>
      </c>
      <c r="C32" s="80"/>
      <c r="D32" s="13"/>
    </row>
    <row r="33" spans="1:4" x14ac:dyDescent="0.2">
      <c r="A33" s="7"/>
      <c r="B33" s="80"/>
      <c r="C33" s="80"/>
      <c r="D33" s="13"/>
    </row>
    <row r="34" spans="1:4" x14ac:dyDescent="0.2">
      <c r="A34" s="7" t="s">
        <v>14</v>
      </c>
      <c r="B34" s="80" t="s">
        <v>15</v>
      </c>
      <c r="C34" s="80"/>
      <c r="D34" s="13"/>
    </row>
    <row r="35" spans="1:4" x14ac:dyDescent="0.2">
      <c r="A35" s="79" t="s">
        <v>16</v>
      </c>
      <c r="B35" s="79"/>
      <c r="C35" s="79"/>
      <c r="D35" s="20">
        <f>SUM(D28:D34)</f>
        <v>1942.48</v>
      </c>
    </row>
    <row r="38" spans="1:4" x14ac:dyDescent="0.2">
      <c r="A38" s="82" t="s">
        <v>17</v>
      </c>
      <c r="B38" s="82"/>
      <c r="C38" s="82"/>
      <c r="D38" s="82"/>
    </row>
    <row r="39" spans="1:4" x14ac:dyDescent="0.2">
      <c r="A39" s="3"/>
    </row>
    <row r="40" spans="1:4" x14ac:dyDescent="0.2">
      <c r="A40" s="92" t="s">
        <v>18</v>
      </c>
      <c r="B40" s="92"/>
      <c r="C40" s="92"/>
      <c r="D40" s="92"/>
    </row>
    <row r="42" spans="1:4" x14ac:dyDescent="0.2">
      <c r="A42" s="6" t="s">
        <v>19</v>
      </c>
      <c r="B42" s="79" t="s">
        <v>20</v>
      </c>
      <c r="C42" s="79"/>
      <c r="D42" s="6" t="s">
        <v>3</v>
      </c>
    </row>
    <row r="43" spans="1:4" x14ac:dyDescent="0.2">
      <c r="A43" s="7" t="s">
        <v>4</v>
      </c>
      <c r="B43" s="8" t="s">
        <v>21</v>
      </c>
      <c r="C43" s="12">
        <f>TRUNC(1/12,4)</f>
        <v>8.3299999999999999E-2</v>
      </c>
      <c r="D43" s="13">
        <f>TRUNC($D$35*C43,2)</f>
        <v>161.80000000000001</v>
      </c>
    </row>
    <row r="44" spans="1:4" x14ac:dyDescent="0.2">
      <c r="A44" s="7" t="s">
        <v>6</v>
      </c>
      <c r="B44" s="8" t="s">
        <v>22</v>
      </c>
      <c r="C44" s="12">
        <f>TRUNC(((1+1/3)/12),4)</f>
        <v>0.1111</v>
      </c>
      <c r="D44" s="13">
        <f>TRUNC($D$35*C44,2)</f>
        <v>215.8</v>
      </c>
    </row>
    <row r="45" spans="1:4" x14ac:dyDescent="0.2">
      <c r="A45" s="79" t="s">
        <v>16</v>
      </c>
      <c r="B45" s="79"/>
      <c r="C45" s="28">
        <f>SUM(C43:C44)</f>
        <v>0.19440000000000002</v>
      </c>
      <c r="D45" s="19">
        <f>SUM(D43:D44)</f>
        <v>377.6</v>
      </c>
    </row>
    <row r="48" spans="1:4" x14ac:dyDescent="0.2">
      <c r="A48" s="95" t="s">
        <v>23</v>
      </c>
      <c r="B48" s="95"/>
      <c r="C48" s="95"/>
      <c r="D48" s="95"/>
    </row>
    <row r="50" spans="1:4" x14ac:dyDescent="0.2">
      <c r="A50" s="6" t="s">
        <v>24</v>
      </c>
      <c r="B50" s="6" t="s">
        <v>25</v>
      </c>
      <c r="C50" s="6" t="s">
        <v>26</v>
      </c>
      <c r="D50" s="6" t="s">
        <v>3</v>
      </c>
    </row>
    <row r="51" spans="1:4" x14ac:dyDescent="0.2">
      <c r="A51" s="7" t="s">
        <v>4</v>
      </c>
      <c r="B51" s="8" t="s">
        <v>27</v>
      </c>
      <c r="C51" s="9">
        <v>0.2</v>
      </c>
      <c r="D51" s="13">
        <f>TRUNC(($D$35+$D$45)*C51,2)</f>
        <v>464.01</v>
      </c>
    </row>
    <row r="52" spans="1:4" x14ac:dyDescent="0.2">
      <c r="A52" s="7" t="s">
        <v>6</v>
      </c>
      <c r="B52" s="8" t="s">
        <v>28</v>
      </c>
      <c r="C52" s="9">
        <v>2.5000000000000001E-2</v>
      </c>
      <c r="D52" s="13">
        <f t="shared" ref="D52:D58" si="0">TRUNC(($D$35+$D$45)*C52,2)</f>
        <v>58</v>
      </c>
    </row>
    <row r="53" spans="1:4" x14ac:dyDescent="0.2">
      <c r="A53" s="7" t="s">
        <v>8</v>
      </c>
      <c r="B53" s="8" t="s">
        <v>29</v>
      </c>
      <c r="C53" s="16">
        <v>0.03</v>
      </c>
      <c r="D53" s="13">
        <f t="shared" si="0"/>
        <v>69.599999999999994</v>
      </c>
    </row>
    <row r="54" spans="1:4" x14ac:dyDescent="0.2">
      <c r="A54" s="7" t="s">
        <v>10</v>
      </c>
      <c r="B54" s="8" t="s">
        <v>30</v>
      </c>
      <c r="C54" s="9">
        <v>1.4999999999999999E-2</v>
      </c>
      <c r="D54" s="13">
        <f t="shared" si="0"/>
        <v>34.799999999999997</v>
      </c>
    </row>
    <row r="55" spans="1:4" x14ac:dyDescent="0.2">
      <c r="A55" s="7" t="s">
        <v>12</v>
      </c>
      <c r="B55" s="8" t="s">
        <v>31</v>
      </c>
      <c r="C55" s="9">
        <v>0.01</v>
      </c>
      <c r="D55" s="13">
        <f t="shared" si="0"/>
        <v>23.2</v>
      </c>
    </row>
    <row r="56" spans="1:4" x14ac:dyDescent="0.2">
      <c r="A56" s="7" t="s">
        <v>32</v>
      </c>
      <c r="B56" s="8" t="s">
        <v>33</v>
      </c>
      <c r="C56" s="9">
        <v>6.0000000000000001E-3</v>
      </c>
      <c r="D56" s="13">
        <f t="shared" si="0"/>
        <v>13.92</v>
      </c>
    </row>
    <row r="57" spans="1:4" x14ac:dyDescent="0.2">
      <c r="A57" s="7" t="s">
        <v>14</v>
      </c>
      <c r="B57" s="8" t="s">
        <v>34</v>
      </c>
      <c r="C57" s="9">
        <v>2E-3</v>
      </c>
      <c r="D57" s="13">
        <f t="shared" si="0"/>
        <v>4.6399999999999997</v>
      </c>
    </row>
    <row r="58" spans="1:4" x14ac:dyDescent="0.2">
      <c r="A58" s="7" t="s">
        <v>35</v>
      </c>
      <c r="B58" s="8" t="s">
        <v>36</v>
      </c>
      <c r="C58" s="9">
        <v>0.08</v>
      </c>
      <c r="D58" s="13">
        <f t="shared" si="0"/>
        <v>185.6</v>
      </c>
    </row>
    <row r="59" spans="1:4" x14ac:dyDescent="0.2">
      <c r="A59" s="79" t="s">
        <v>37</v>
      </c>
      <c r="B59" s="79"/>
      <c r="C59" s="15">
        <f>SUM(C51:C58)</f>
        <v>0.36800000000000005</v>
      </c>
      <c r="D59" s="19">
        <f>SUM(D51:D58)</f>
        <v>853.77</v>
      </c>
    </row>
    <row r="62" spans="1:4" x14ac:dyDescent="0.2">
      <c r="A62" s="92" t="s">
        <v>38</v>
      </c>
      <c r="B62" s="92"/>
      <c r="C62" s="92"/>
      <c r="D62" s="92"/>
    </row>
    <row r="64" spans="1:4" x14ac:dyDescent="0.2">
      <c r="A64" s="6" t="s">
        <v>39</v>
      </c>
      <c r="B64" s="91" t="s">
        <v>40</v>
      </c>
      <c r="C64" s="91"/>
      <c r="D64" s="6" t="s">
        <v>3</v>
      </c>
    </row>
    <row r="65" spans="1:5" x14ac:dyDescent="0.2">
      <c r="A65" s="7" t="s">
        <v>4</v>
      </c>
      <c r="B65" s="80" t="s">
        <v>41</v>
      </c>
      <c r="C65" s="80"/>
      <c r="D65" s="13">
        <f>IF((22*2*5.6)-(D28*0.06)&gt;0,(22*2*5.6)-(D28*0.06),0)</f>
        <v>129.85119999999998</v>
      </c>
    </row>
    <row r="66" spans="1:5" x14ac:dyDescent="0.2">
      <c r="A66" s="7" t="s">
        <v>6</v>
      </c>
      <c r="B66" s="80" t="s">
        <v>42</v>
      </c>
      <c r="C66" s="80"/>
      <c r="D66" s="13">
        <f>22*0.8*22</f>
        <v>387.20000000000005</v>
      </c>
    </row>
    <row r="67" spans="1:5" x14ac:dyDescent="0.2">
      <c r="A67" s="7" t="s">
        <v>8</v>
      </c>
      <c r="B67" s="80" t="s">
        <v>112</v>
      </c>
      <c r="C67" s="80"/>
      <c r="D67" s="13">
        <v>320</v>
      </c>
    </row>
    <row r="68" spans="1:5" x14ac:dyDescent="0.2">
      <c r="A68" s="32" t="s">
        <v>10</v>
      </c>
      <c r="B68" s="80" t="s">
        <v>113</v>
      </c>
      <c r="C68" s="80"/>
      <c r="D68" s="13">
        <v>26.5</v>
      </c>
    </row>
    <row r="69" spans="1:5" x14ac:dyDescent="0.2">
      <c r="A69" s="7" t="s">
        <v>10</v>
      </c>
      <c r="B69" s="80" t="s">
        <v>114</v>
      </c>
      <c r="C69" s="80"/>
      <c r="D69" s="13">
        <v>5.21</v>
      </c>
    </row>
    <row r="70" spans="1:5" x14ac:dyDescent="0.2">
      <c r="A70" s="79" t="s">
        <v>16</v>
      </c>
      <c r="B70" s="79"/>
      <c r="C70" s="79"/>
      <c r="D70" s="19">
        <f>SUM(D65:D69)</f>
        <v>868.76120000000003</v>
      </c>
    </row>
    <row r="73" spans="1:5" x14ac:dyDescent="0.2">
      <c r="A73" s="92" t="s">
        <v>43</v>
      </c>
      <c r="B73" s="92"/>
      <c r="C73" s="92"/>
      <c r="D73" s="92"/>
    </row>
    <row r="75" spans="1:5" x14ac:dyDescent="0.2">
      <c r="A75" s="6">
        <v>2</v>
      </c>
      <c r="B75" s="91" t="s">
        <v>44</v>
      </c>
      <c r="C75" s="91"/>
      <c r="D75" s="6" t="s">
        <v>3</v>
      </c>
    </row>
    <row r="76" spans="1:5" x14ac:dyDescent="0.2">
      <c r="A76" s="7" t="s">
        <v>19</v>
      </c>
      <c r="B76" s="80" t="s">
        <v>20</v>
      </c>
      <c r="C76" s="80"/>
      <c r="D76" s="14">
        <f>D45</f>
        <v>377.6</v>
      </c>
    </row>
    <row r="77" spans="1:5" x14ac:dyDescent="0.2">
      <c r="A77" s="7" t="s">
        <v>24</v>
      </c>
      <c r="B77" s="80" t="s">
        <v>25</v>
      </c>
      <c r="C77" s="80"/>
      <c r="D77" s="14">
        <f>D59</f>
        <v>853.77</v>
      </c>
    </row>
    <row r="78" spans="1:5" x14ac:dyDescent="0.2">
      <c r="A78" s="7" t="s">
        <v>39</v>
      </c>
      <c r="B78" s="80" t="s">
        <v>40</v>
      </c>
      <c r="C78" s="80"/>
      <c r="D78" s="14">
        <f>D70</f>
        <v>868.76120000000003</v>
      </c>
    </row>
    <row r="79" spans="1:5" x14ac:dyDescent="0.2">
      <c r="A79" s="79" t="s">
        <v>16</v>
      </c>
      <c r="B79" s="79"/>
      <c r="C79" s="79"/>
      <c r="D79" s="19">
        <f>SUM(D76:D78)</f>
        <v>2100.1311999999998</v>
      </c>
    </row>
    <row r="80" spans="1:5" x14ac:dyDescent="0.2">
      <c r="A80" s="4"/>
      <c r="E80" s="18"/>
    </row>
    <row r="82" spans="1:5" x14ac:dyDescent="0.2">
      <c r="A82" s="82" t="s">
        <v>45</v>
      </c>
      <c r="B82" s="82"/>
      <c r="C82" s="82"/>
      <c r="D82" s="82"/>
      <c r="E82" s="17"/>
    </row>
    <row r="83" spans="1:5" ht="12.75" customHeight="1" x14ac:dyDescent="0.2">
      <c r="E83" s="18"/>
    </row>
    <row r="84" spans="1:5" x14ac:dyDescent="0.2">
      <c r="A84" s="6">
        <v>3</v>
      </c>
      <c r="B84" s="91" t="s">
        <v>46</v>
      </c>
      <c r="C84" s="91"/>
      <c r="D84" s="6" t="s">
        <v>3</v>
      </c>
    </row>
    <row r="85" spans="1:5" x14ac:dyDescent="0.2">
      <c r="A85" s="7" t="s">
        <v>4</v>
      </c>
      <c r="B85" s="10" t="s">
        <v>47</v>
      </c>
      <c r="C85" s="9">
        <f>TRUNC(((1/12)*5%),4)</f>
        <v>4.1000000000000003E-3</v>
      </c>
      <c r="D85" s="13">
        <f>TRUNC($D$35*C85,2)</f>
        <v>7.96</v>
      </c>
    </row>
    <row r="86" spans="1:5" x14ac:dyDescent="0.2">
      <c r="A86" s="7" t="s">
        <v>6</v>
      </c>
      <c r="B86" s="10" t="s">
        <v>48</v>
      </c>
      <c r="C86" s="9">
        <v>0.08</v>
      </c>
      <c r="D86" s="13">
        <f>TRUNC(D85*C86,2)</f>
        <v>0.63</v>
      </c>
    </row>
    <row r="87" spans="1:5" x14ac:dyDescent="0.2">
      <c r="A87" s="7" t="s">
        <v>8</v>
      </c>
      <c r="B87" s="10" t="s">
        <v>97</v>
      </c>
      <c r="C87" s="9">
        <f>TRUNC(8%*5%*40%,4)</f>
        <v>1.6000000000000001E-3</v>
      </c>
      <c r="D87" s="13">
        <f>TRUNC($D$35*C87,2)</f>
        <v>3.1</v>
      </c>
    </row>
    <row r="88" spans="1:5" x14ac:dyDescent="0.2">
      <c r="A88" s="7" t="s">
        <v>10</v>
      </c>
      <c r="B88" s="10" t="s">
        <v>49</v>
      </c>
      <c r="C88" s="9">
        <f>TRUNC(((7/30)/12)*95%,4)</f>
        <v>1.84E-2</v>
      </c>
      <c r="D88" s="13">
        <f>TRUNC($D$35*C88,2)</f>
        <v>35.74</v>
      </c>
    </row>
    <row r="89" spans="1:5" ht="25.5" x14ac:dyDescent="0.2">
      <c r="A89" s="7" t="s">
        <v>12</v>
      </c>
      <c r="B89" s="10" t="s">
        <v>92</v>
      </c>
      <c r="C89" s="9">
        <f>C59</f>
        <v>0.36800000000000005</v>
      </c>
      <c r="D89" s="13">
        <f>TRUNC(D88*C89,2)</f>
        <v>13.15</v>
      </c>
    </row>
    <row r="90" spans="1:5" x14ac:dyDescent="0.2">
      <c r="A90" s="7" t="s">
        <v>32</v>
      </c>
      <c r="B90" s="10" t="s">
        <v>98</v>
      </c>
      <c r="C90" s="9">
        <f>TRUNC(8%*95%*40%,4)</f>
        <v>3.04E-2</v>
      </c>
      <c r="D90" s="13">
        <f t="shared" ref="D90" si="1">TRUNC($D$35*C90,2)</f>
        <v>59.05</v>
      </c>
    </row>
    <row r="91" spans="1:5" x14ac:dyDescent="0.2">
      <c r="A91" s="89" t="s">
        <v>16</v>
      </c>
      <c r="B91" s="90"/>
      <c r="C91" s="93"/>
      <c r="D91" s="19">
        <f>SUM(D85:D90)</f>
        <v>119.63</v>
      </c>
    </row>
    <row r="94" spans="1:5" x14ac:dyDescent="0.2">
      <c r="A94" s="82" t="s">
        <v>50</v>
      </c>
      <c r="B94" s="82"/>
      <c r="C94" s="82"/>
      <c r="D94" s="82"/>
    </row>
    <row r="97" spans="1:6" x14ac:dyDescent="0.2">
      <c r="A97" s="92" t="s">
        <v>76</v>
      </c>
      <c r="B97" s="92"/>
      <c r="C97" s="92"/>
      <c r="D97" s="92"/>
    </row>
    <row r="98" spans="1:6" x14ac:dyDescent="0.2">
      <c r="A98" s="3"/>
    </row>
    <row r="99" spans="1:6" x14ac:dyDescent="0.2">
      <c r="A99" s="6" t="s">
        <v>51</v>
      </c>
      <c r="B99" s="91" t="s">
        <v>77</v>
      </c>
      <c r="C99" s="91"/>
      <c r="D99" s="6" t="s">
        <v>3</v>
      </c>
    </row>
    <row r="100" spans="1:6" x14ac:dyDescent="0.2">
      <c r="A100" s="7" t="s">
        <v>4</v>
      </c>
      <c r="B100" s="8" t="s">
        <v>78</v>
      </c>
      <c r="C100" s="9">
        <f>TRUNC(((1+1/3)/12)/12,4)</f>
        <v>9.1999999999999998E-3</v>
      </c>
      <c r="D100" s="13">
        <f>TRUNC(($D$35+$D$79+$D$91)*C100,2)</f>
        <v>38.29</v>
      </c>
    </row>
    <row r="101" spans="1:6" x14ac:dyDescent="0.2">
      <c r="A101" s="7" t="s">
        <v>6</v>
      </c>
      <c r="B101" s="8" t="s">
        <v>79</v>
      </c>
      <c r="C101" s="9">
        <f>TRUNC(((2/30)/12),4)</f>
        <v>5.4999999999999997E-3</v>
      </c>
      <c r="D101" s="13">
        <f t="shared" ref="D101:D105" si="2">TRUNC(($D$35+$D$79+$D$91)*C101,2)</f>
        <v>22.89</v>
      </c>
    </row>
    <row r="102" spans="1:6" x14ac:dyDescent="0.2">
      <c r="A102" s="7" t="s">
        <v>8</v>
      </c>
      <c r="B102" s="8" t="s">
        <v>80</v>
      </c>
      <c r="C102" s="9">
        <f>TRUNC(((5/30)/12)*2%,4)</f>
        <v>2.0000000000000001E-4</v>
      </c>
      <c r="D102" s="13">
        <f t="shared" si="2"/>
        <v>0.83</v>
      </c>
    </row>
    <row r="103" spans="1:6" x14ac:dyDescent="0.2">
      <c r="A103" s="7" t="s">
        <v>10</v>
      </c>
      <c r="B103" s="8" t="s">
        <v>81</v>
      </c>
      <c r="C103" s="9">
        <f>TRUNC(((15/30)/12)*8%,4)</f>
        <v>3.3E-3</v>
      </c>
      <c r="D103" s="13">
        <f t="shared" si="2"/>
        <v>13.73</v>
      </c>
    </row>
    <row r="104" spans="1:6" x14ac:dyDescent="0.2">
      <c r="A104" s="7" t="s">
        <v>12</v>
      </c>
      <c r="B104" s="8" t="s">
        <v>82</v>
      </c>
      <c r="C104" s="9">
        <f>((1+1/3)/12)*3%*(4/12)</f>
        <v>1.1111111111111109E-3</v>
      </c>
      <c r="D104" s="13">
        <f t="shared" si="2"/>
        <v>4.62</v>
      </c>
    </row>
    <row r="105" spans="1:6" x14ac:dyDescent="0.2">
      <c r="A105" s="7" t="s">
        <v>32</v>
      </c>
      <c r="B105" s="8" t="s">
        <v>83</v>
      </c>
      <c r="C105" s="9"/>
      <c r="D105" s="13">
        <f t="shared" si="2"/>
        <v>0</v>
      </c>
    </row>
    <row r="106" spans="1:6" x14ac:dyDescent="0.2">
      <c r="A106" s="79" t="s">
        <v>37</v>
      </c>
      <c r="B106" s="79"/>
      <c r="C106" s="79"/>
      <c r="D106" s="19">
        <f>SUM(D100:D105)</f>
        <v>80.36</v>
      </c>
      <c r="E106" s="17"/>
      <c r="F106" s="17"/>
    </row>
    <row r="109" spans="1:6" x14ac:dyDescent="0.2">
      <c r="A109" s="92" t="s">
        <v>84</v>
      </c>
      <c r="B109" s="92"/>
      <c r="C109" s="92"/>
      <c r="D109" s="92"/>
    </row>
    <row r="110" spans="1:6" x14ac:dyDescent="0.2">
      <c r="A110" s="3"/>
    </row>
    <row r="111" spans="1:6" x14ac:dyDescent="0.2">
      <c r="A111" s="6" t="s">
        <v>52</v>
      </c>
      <c r="B111" s="91" t="s">
        <v>85</v>
      </c>
      <c r="C111" s="91"/>
      <c r="D111" s="6" t="s">
        <v>3</v>
      </c>
    </row>
    <row r="112" spans="1:6" x14ac:dyDescent="0.2">
      <c r="A112" s="7" t="s">
        <v>4</v>
      </c>
      <c r="B112" s="86" t="s">
        <v>86</v>
      </c>
      <c r="C112" s="87"/>
      <c r="D112" s="13">
        <f>((D35+D79+D91)/220)*22*0</f>
        <v>0</v>
      </c>
    </row>
    <row r="113" spans="1:4" x14ac:dyDescent="0.2">
      <c r="A113" s="79" t="s">
        <v>16</v>
      </c>
      <c r="B113" s="79"/>
      <c r="C113" s="79"/>
      <c r="D113" s="19">
        <f>SUM(D112)</f>
        <v>0</v>
      </c>
    </row>
    <row r="116" spans="1:4" x14ac:dyDescent="0.2">
      <c r="A116" s="92" t="s">
        <v>53</v>
      </c>
      <c r="B116" s="92"/>
      <c r="C116" s="92"/>
      <c r="D116" s="92"/>
    </row>
    <row r="117" spans="1:4" x14ac:dyDescent="0.2">
      <c r="A117" s="3"/>
    </row>
    <row r="118" spans="1:4" x14ac:dyDescent="0.2">
      <c r="A118" s="6">
        <v>4</v>
      </c>
      <c r="B118" s="79" t="s">
        <v>54</v>
      </c>
      <c r="C118" s="79"/>
      <c r="D118" s="6" t="s">
        <v>3</v>
      </c>
    </row>
    <row r="119" spans="1:4" x14ac:dyDescent="0.2">
      <c r="A119" s="7" t="s">
        <v>51</v>
      </c>
      <c r="B119" s="80" t="s">
        <v>77</v>
      </c>
      <c r="C119" s="80"/>
      <c r="D119" s="14">
        <f>D106</f>
        <v>80.36</v>
      </c>
    </row>
    <row r="120" spans="1:4" x14ac:dyDescent="0.2">
      <c r="A120" s="7" t="s">
        <v>52</v>
      </c>
      <c r="B120" s="80" t="s">
        <v>85</v>
      </c>
      <c r="C120" s="80"/>
      <c r="D120" s="14">
        <f>D113</f>
        <v>0</v>
      </c>
    </row>
    <row r="121" spans="1:4" x14ac:dyDescent="0.2">
      <c r="A121" s="79" t="s">
        <v>16</v>
      </c>
      <c r="B121" s="79"/>
      <c r="C121" s="79"/>
      <c r="D121" s="19">
        <f>SUM(D119:D120)</f>
        <v>80.36</v>
      </c>
    </row>
    <row r="124" spans="1:4" x14ac:dyDescent="0.2">
      <c r="A124" s="82" t="s">
        <v>55</v>
      </c>
      <c r="B124" s="82"/>
      <c r="C124" s="82"/>
      <c r="D124" s="82"/>
    </row>
    <row r="126" spans="1:4" x14ac:dyDescent="0.2">
      <c r="A126" s="6">
        <v>5</v>
      </c>
      <c r="B126" s="88" t="s">
        <v>56</v>
      </c>
      <c r="C126" s="88"/>
      <c r="D126" s="6" t="s">
        <v>3</v>
      </c>
    </row>
    <row r="127" spans="1:4" x14ac:dyDescent="0.2">
      <c r="A127" s="7" t="s">
        <v>4</v>
      </c>
      <c r="B127" s="8" t="s">
        <v>57</v>
      </c>
      <c r="C127" s="8"/>
      <c r="D127" s="13">
        <v>19.420000000000002</v>
      </c>
    </row>
    <row r="128" spans="1:4" x14ac:dyDescent="0.2">
      <c r="A128" s="7" t="s">
        <v>6</v>
      </c>
      <c r="B128" s="8" t="s">
        <v>58</v>
      </c>
      <c r="C128" s="8"/>
      <c r="D128" s="13">
        <v>0</v>
      </c>
    </row>
    <row r="129" spans="1:4" x14ac:dyDescent="0.2">
      <c r="A129" s="7" t="s">
        <v>8</v>
      </c>
      <c r="B129" s="8" t="s">
        <v>59</v>
      </c>
      <c r="C129" s="8"/>
      <c r="D129" s="13">
        <v>0.88</v>
      </c>
    </row>
    <row r="130" spans="1:4" x14ac:dyDescent="0.2">
      <c r="A130" s="7" t="s">
        <v>10</v>
      </c>
      <c r="B130" s="8" t="s">
        <v>15</v>
      </c>
      <c r="C130" s="8"/>
      <c r="D130" s="13">
        <v>0</v>
      </c>
    </row>
    <row r="131" spans="1:4" x14ac:dyDescent="0.2">
      <c r="A131" s="79" t="s">
        <v>37</v>
      </c>
      <c r="B131" s="79"/>
      <c r="C131" s="79"/>
      <c r="D131" s="20">
        <f>SUM(D127:D130)</f>
        <v>20.3</v>
      </c>
    </row>
    <row r="134" spans="1:4" x14ac:dyDescent="0.2">
      <c r="A134" s="82" t="s">
        <v>60</v>
      </c>
      <c r="B134" s="82"/>
      <c r="C134" s="82"/>
      <c r="D134" s="82"/>
    </row>
    <row r="136" spans="1:4" x14ac:dyDescent="0.2">
      <c r="A136" s="6">
        <v>6</v>
      </c>
      <c r="B136" s="11" t="s">
        <v>61</v>
      </c>
      <c r="C136" s="6" t="s">
        <v>26</v>
      </c>
      <c r="D136" s="6" t="s">
        <v>3</v>
      </c>
    </row>
    <row r="137" spans="1:4" x14ac:dyDescent="0.2">
      <c r="A137" s="7" t="s">
        <v>4</v>
      </c>
      <c r="B137" s="8" t="s">
        <v>62</v>
      </c>
      <c r="C137" s="9">
        <v>0.05</v>
      </c>
      <c r="D137" s="14">
        <f>D157*C137</f>
        <v>213.14505999999997</v>
      </c>
    </row>
    <row r="138" spans="1:4" x14ac:dyDescent="0.2">
      <c r="A138" s="7" t="s">
        <v>6</v>
      </c>
      <c r="B138" s="8" t="s">
        <v>63</v>
      </c>
      <c r="C138" s="9">
        <v>0.06</v>
      </c>
      <c r="D138" s="13">
        <f>(D157+D137)*C138</f>
        <v>268.56277559999995</v>
      </c>
    </row>
    <row r="139" spans="1:4" x14ac:dyDescent="0.2">
      <c r="A139" s="7" t="s">
        <v>8</v>
      </c>
      <c r="B139" s="8" t="s">
        <v>64</v>
      </c>
      <c r="C139" s="12">
        <f>SUM(C140:C145)</f>
        <v>8.6499999999999994E-2</v>
      </c>
      <c r="D139" s="13">
        <f>(D157+D137+D138)*C139/(1-C139)</f>
        <v>449.27058738850565</v>
      </c>
    </row>
    <row r="140" spans="1:4" x14ac:dyDescent="0.2">
      <c r="A140" s="7"/>
      <c r="B140" s="8" t="s">
        <v>65</v>
      </c>
      <c r="C140" s="9"/>
      <c r="D140" s="14">
        <f>$D$159*C140</f>
        <v>0</v>
      </c>
    </row>
    <row r="141" spans="1:4" x14ac:dyDescent="0.2">
      <c r="A141" s="7"/>
      <c r="B141" s="25" t="s">
        <v>94</v>
      </c>
      <c r="C141" s="9">
        <v>6.4999999999999997E-3</v>
      </c>
      <c r="D141" s="14">
        <f t="shared" ref="D141:D142" si="3">$D$159*C141</f>
        <v>33.760219999999997</v>
      </c>
    </row>
    <row r="142" spans="1:4" x14ac:dyDescent="0.2">
      <c r="A142" s="7"/>
      <c r="B142" s="25" t="s">
        <v>95</v>
      </c>
      <c r="C142" s="9">
        <v>0.03</v>
      </c>
      <c r="D142" s="14">
        <f t="shared" si="3"/>
        <v>155.81639999999999</v>
      </c>
    </row>
    <row r="143" spans="1:4" x14ac:dyDescent="0.2">
      <c r="A143" s="7"/>
      <c r="B143" s="8" t="s">
        <v>66</v>
      </c>
      <c r="C143" s="7"/>
      <c r="D143" s="14">
        <f t="shared" ref="D143:D144" si="4">$D$159*C143</f>
        <v>0</v>
      </c>
    </row>
    <row r="144" spans="1:4" x14ac:dyDescent="0.2">
      <c r="A144" s="7"/>
      <c r="B144" s="8" t="s">
        <v>67</v>
      </c>
      <c r="C144" s="9"/>
      <c r="D144" s="14">
        <f t="shared" si="4"/>
        <v>0</v>
      </c>
    </row>
    <row r="145" spans="1:4" x14ac:dyDescent="0.2">
      <c r="A145" s="7"/>
      <c r="B145" s="25" t="s">
        <v>96</v>
      </c>
      <c r="C145" s="9">
        <v>0.05</v>
      </c>
      <c r="D145" s="14">
        <f t="shared" ref="D145" si="5">$D$159*C145</f>
        <v>259.69400000000002</v>
      </c>
    </row>
    <row r="146" spans="1:4" ht="13.5" x14ac:dyDescent="0.2">
      <c r="A146" s="89" t="s">
        <v>37</v>
      </c>
      <c r="B146" s="90"/>
      <c r="C146" s="21">
        <f>(1+C138)*(1+C137)/(1-C139)-1</f>
        <v>0.21839080459770144</v>
      </c>
      <c r="D146" s="19">
        <f>SUM(D137:D139)</f>
        <v>930.9784229885056</v>
      </c>
    </row>
    <row r="149" spans="1:4" x14ac:dyDescent="0.2">
      <c r="A149" s="82" t="s">
        <v>104</v>
      </c>
      <c r="B149" s="82"/>
      <c r="C149" s="82"/>
      <c r="D149" s="82"/>
    </row>
    <row r="151" spans="1:4" x14ac:dyDescent="0.2">
      <c r="A151" s="6"/>
      <c r="B151" s="79" t="s">
        <v>68</v>
      </c>
      <c r="C151" s="79"/>
      <c r="D151" s="6" t="s">
        <v>3</v>
      </c>
    </row>
    <row r="152" spans="1:4" x14ac:dyDescent="0.2">
      <c r="A152" s="6" t="s">
        <v>4</v>
      </c>
      <c r="B152" s="80" t="s">
        <v>1</v>
      </c>
      <c r="C152" s="80"/>
      <c r="D152" s="22">
        <f>D35</f>
        <v>1942.48</v>
      </c>
    </row>
    <row r="153" spans="1:4" x14ac:dyDescent="0.2">
      <c r="A153" s="6" t="s">
        <v>6</v>
      </c>
      <c r="B153" s="80" t="s">
        <v>17</v>
      </c>
      <c r="C153" s="80"/>
      <c r="D153" s="22">
        <f>D79</f>
        <v>2100.1311999999998</v>
      </c>
    </row>
    <row r="154" spans="1:4" x14ac:dyDescent="0.2">
      <c r="A154" s="6" t="s">
        <v>8</v>
      </c>
      <c r="B154" s="80" t="s">
        <v>45</v>
      </c>
      <c r="C154" s="80"/>
      <c r="D154" s="22">
        <f>D91</f>
        <v>119.63</v>
      </c>
    </row>
    <row r="155" spans="1:4" x14ac:dyDescent="0.2">
      <c r="A155" s="6" t="s">
        <v>10</v>
      </c>
      <c r="B155" s="80" t="s">
        <v>50</v>
      </c>
      <c r="C155" s="80"/>
      <c r="D155" s="22">
        <f>D121</f>
        <v>80.36</v>
      </c>
    </row>
    <row r="156" spans="1:4" x14ac:dyDescent="0.2">
      <c r="A156" s="6" t="s">
        <v>12</v>
      </c>
      <c r="B156" s="80" t="s">
        <v>55</v>
      </c>
      <c r="C156" s="80"/>
      <c r="D156" s="22">
        <f>D131</f>
        <v>20.3</v>
      </c>
    </row>
    <row r="157" spans="1:4" x14ac:dyDescent="0.2">
      <c r="A157" s="79" t="s">
        <v>93</v>
      </c>
      <c r="B157" s="79"/>
      <c r="C157" s="79"/>
      <c r="D157" s="23">
        <f>SUM(D152:D156)</f>
        <v>4262.9011999999993</v>
      </c>
    </row>
    <row r="158" spans="1:4" x14ac:dyDescent="0.2">
      <c r="A158" s="6" t="s">
        <v>32</v>
      </c>
      <c r="B158" s="80" t="s">
        <v>69</v>
      </c>
      <c r="C158" s="80"/>
      <c r="D158" s="24">
        <f>D146</f>
        <v>930.9784229885056</v>
      </c>
    </row>
    <row r="159" spans="1:4" x14ac:dyDescent="0.2">
      <c r="A159" s="79" t="s">
        <v>70</v>
      </c>
      <c r="B159" s="79"/>
      <c r="C159" s="79"/>
      <c r="D159" s="23">
        <f>ROUND(SUM(D157:D158),2)</f>
        <v>5193.88</v>
      </c>
    </row>
  </sheetData>
  <mergeCells count="75">
    <mergeCell ref="B156:C156"/>
    <mergeCell ref="A157:C157"/>
    <mergeCell ref="A62:D62"/>
    <mergeCell ref="B64:C64"/>
    <mergeCell ref="B65:C65"/>
    <mergeCell ref="B66:C66"/>
    <mergeCell ref="A73:D73"/>
    <mergeCell ref="B75:C75"/>
    <mergeCell ref="B76:C76"/>
    <mergeCell ref="B77:C77"/>
    <mergeCell ref="B78:C78"/>
    <mergeCell ref="A79:C79"/>
    <mergeCell ref="A82:D82"/>
    <mergeCell ref="B84:C84"/>
    <mergeCell ref="A106:C106"/>
    <mergeCell ref="A109:D109"/>
    <mergeCell ref="A1:D1"/>
    <mergeCell ref="A48:D48"/>
    <mergeCell ref="A59:B59"/>
    <mergeCell ref="A40:D40"/>
    <mergeCell ref="B42:C42"/>
    <mergeCell ref="B31:C31"/>
    <mergeCell ref="B32:C32"/>
    <mergeCell ref="B34:C34"/>
    <mergeCell ref="B33:C33"/>
    <mergeCell ref="A35:C35"/>
    <mergeCell ref="A17:D17"/>
    <mergeCell ref="B27:C27"/>
    <mergeCell ref="B28:C28"/>
    <mergeCell ref="B29:C29"/>
    <mergeCell ref="A3:D3"/>
    <mergeCell ref="A12:D12"/>
    <mergeCell ref="A97:D97"/>
    <mergeCell ref="B99:C99"/>
    <mergeCell ref="B67:C67"/>
    <mergeCell ref="B69:C69"/>
    <mergeCell ref="A70:C70"/>
    <mergeCell ref="A94:D94"/>
    <mergeCell ref="A91:C91"/>
    <mergeCell ref="B68:C68"/>
    <mergeCell ref="B111:C111"/>
    <mergeCell ref="A113:C113"/>
    <mergeCell ref="A116:D116"/>
    <mergeCell ref="B118:C118"/>
    <mergeCell ref="B119:C119"/>
    <mergeCell ref="B158:C158"/>
    <mergeCell ref="A159:C159"/>
    <mergeCell ref="A134:D134"/>
    <mergeCell ref="B112:C112"/>
    <mergeCell ref="B120:C120"/>
    <mergeCell ref="A121:C121"/>
    <mergeCell ref="A124:D124"/>
    <mergeCell ref="B126:C126"/>
    <mergeCell ref="A131:C131"/>
    <mergeCell ref="A146:B146"/>
    <mergeCell ref="A149:D149"/>
    <mergeCell ref="B151:C151"/>
    <mergeCell ref="B152:C152"/>
    <mergeCell ref="B153:C153"/>
    <mergeCell ref="B154:C154"/>
    <mergeCell ref="B155:C155"/>
    <mergeCell ref="A5:D5"/>
    <mergeCell ref="A14:B14"/>
    <mergeCell ref="A15:B15"/>
    <mergeCell ref="C20:D20"/>
    <mergeCell ref="A45:B45"/>
    <mergeCell ref="B30:C30"/>
    <mergeCell ref="C19:D19"/>
    <mergeCell ref="C21:D21"/>
    <mergeCell ref="C22:D22"/>
    <mergeCell ref="C23:D23"/>
    <mergeCell ref="A25:D25"/>
    <mergeCell ref="A38:D38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81" zoomScale="115" zoomScaleNormal="115" workbookViewId="0">
      <selection activeCell="D159" sqref="D15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2" t="s">
        <v>102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x14ac:dyDescent="0.2">
      <c r="A5" s="72" t="s">
        <v>103</v>
      </c>
      <c r="B5" s="73"/>
      <c r="C5" s="73"/>
      <c r="D5" s="74"/>
    </row>
    <row r="6" spans="1:4" x14ac:dyDescent="0.2">
      <c r="A6" s="33" t="s">
        <v>4</v>
      </c>
      <c r="B6" s="34" t="s">
        <v>99</v>
      </c>
      <c r="C6" s="35"/>
      <c r="D6" s="36" t="s">
        <v>105</v>
      </c>
    </row>
    <row r="7" spans="1:4" x14ac:dyDescent="0.2">
      <c r="A7" s="33" t="s">
        <v>6</v>
      </c>
      <c r="B7" s="34" t="s">
        <v>100</v>
      </c>
      <c r="C7" s="35"/>
      <c r="D7" s="38" t="s">
        <v>106</v>
      </c>
    </row>
    <row r="8" spans="1:4" x14ac:dyDescent="0.2">
      <c r="A8" s="33" t="s">
        <v>8</v>
      </c>
      <c r="B8" s="34" t="s">
        <v>101</v>
      </c>
      <c r="C8" s="35"/>
      <c r="D8" s="37">
        <v>45723</v>
      </c>
    </row>
    <row r="9" spans="1:4" x14ac:dyDescent="0.2">
      <c r="A9" s="33" t="s">
        <v>10</v>
      </c>
      <c r="B9" s="83" t="s">
        <v>108</v>
      </c>
      <c r="C9" s="84"/>
      <c r="D9" s="85"/>
    </row>
    <row r="10" spans="1:4" x14ac:dyDescent="0.2">
      <c r="A10" s="33" t="s">
        <v>12</v>
      </c>
      <c r="B10" s="83" t="s">
        <v>107</v>
      </c>
      <c r="C10" s="84"/>
      <c r="D10" s="85"/>
    </row>
    <row r="12" spans="1:4" x14ac:dyDescent="0.2">
      <c r="A12" s="82" t="s">
        <v>87</v>
      </c>
      <c r="B12" s="82"/>
      <c r="C12" s="82"/>
      <c r="D12" s="82"/>
    </row>
    <row r="13" spans="1:4" x14ac:dyDescent="0.2">
      <c r="A13" s="2"/>
      <c r="B13" s="2"/>
      <c r="C13" s="2"/>
      <c r="D13" s="2"/>
    </row>
    <row r="14" spans="1:4" ht="38.25" x14ac:dyDescent="0.2">
      <c r="A14" s="75" t="s">
        <v>88</v>
      </c>
      <c r="B14" s="75"/>
      <c r="C14" s="32" t="s">
        <v>89</v>
      </c>
      <c r="D14" s="27" t="s">
        <v>90</v>
      </c>
    </row>
    <row r="15" spans="1:4" x14ac:dyDescent="0.2">
      <c r="A15" s="76" t="s">
        <v>125</v>
      </c>
      <c r="B15" s="76"/>
      <c r="C15" s="39" t="s">
        <v>110</v>
      </c>
      <c r="D15" s="39">
        <v>2</v>
      </c>
    </row>
    <row r="17" spans="1:4" x14ac:dyDescent="0.2">
      <c r="A17" s="82" t="s">
        <v>71</v>
      </c>
      <c r="B17" s="82"/>
      <c r="C17" s="82"/>
      <c r="D17" s="8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77" t="s">
        <v>118</v>
      </c>
      <c r="D19" s="78"/>
    </row>
    <row r="20" spans="1:4" x14ac:dyDescent="0.2">
      <c r="A20" s="5">
        <v>2</v>
      </c>
      <c r="B20" s="5" t="s">
        <v>91</v>
      </c>
      <c r="C20" s="77" t="s">
        <v>117</v>
      </c>
      <c r="D20" s="78"/>
    </row>
    <row r="21" spans="1:4" x14ac:dyDescent="0.2">
      <c r="A21" s="5">
        <v>3</v>
      </c>
      <c r="B21" s="5" t="s">
        <v>73</v>
      </c>
      <c r="C21" s="81">
        <v>2157.85</v>
      </c>
      <c r="D21" s="78"/>
    </row>
    <row r="22" spans="1:4" x14ac:dyDescent="0.2">
      <c r="A22" s="5">
        <v>4</v>
      </c>
      <c r="B22" s="5" t="s">
        <v>74</v>
      </c>
      <c r="C22" s="77"/>
      <c r="D22" s="78"/>
    </row>
    <row r="23" spans="1:4" x14ac:dyDescent="0.2">
      <c r="A23" s="5">
        <v>5</v>
      </c>
      <c r="B23" s="5" t="s">
        <v>75</v>
      </c>
      <c r="C23" s="77"/>
      <c r="D23" s="78"/>
    </row>
    <row r="25" spans="1:4" x14ac:dyDescent="0.2">
      <c r="A25" s="82" t="s">
        <v>1</v>
      </c>
      <c r="B25" s="82"/>
      <c r="C25" s="82"/>
      <c r="D25" s="82"/>
    </row>
    <row r="27" spans="1:4" x14ac:dyDescent="0.2">
      <c r="A27" s="30">
        <v>1</v>
      </c>
      <c r="B27" s="79" t="s">
        <v>2</v>
      </c>
      <c r="C27" s="79"/>
      <c r="D27" s="30" t="s">
        <v>3</v>
      </c>
    </row>
    <row r="28" spans="1:4" x14ac:dyDescent="0.2">
      <c r="A28" s="32" t="s">
        <v>4</v>
      </c>
      <c r="B28" s="80" t="s">
        <v>5</v>
      </c>
      <c r="C28" s="80"/>
      <c r="D28" s="13">
        <v>2157.85</v>
      </c>
    </row>
    <row r="29" spans="1:4" x14ac:dyDescent="0.2">
      <c r="A29" s="32" t="s">
        <v>6</v>
      </c>
      <c r="B29" s="80" t="s">
        <v>7</v>
      </c>
      <c r="C29" s="80"/>
      <c r="D29" s="13"/>
    </row>
    <row r="30" spans="1:4" x14ac:dyDescent="0.2">
      <c r="A30" s="32" t="s">
        <v>8</v>
      </c>
      <c r="B30" s="80" t="s">
        <v>9</v>
      </c>
      <c r="C30" s="80"/>
      <c r="D30" s="13"/>
    </row>
    <row r="31" spans="1:4" x14ac:dyDescent="0.2">
      <c r="A31" s="32" t="s">
        <v>10</v>
      </c>
      <c r="B31" s="80" t="s">
        <v>11</v>
      </c>
      <c r="C31" s="80"/>
      <c r="D31" s="13"/>
    </row>
    <row r="32" spans="1:4" x14ac:dyDescent="0.2">
      <c r="A32" s="32" t="s">
        <v>12</v>
      </c>
      <c r="B32" s="80" t="s">
        <v>13</v>
      </c>
      <c r="C32" s="80"/>
      <c r="D32" s="13"/>
    </row>
    <row r="33" spans="1:4" x14ac:dyDescent="0.2">
      <c r="A33" s="32"/>
      <c r="B33" s="80"/>
      <c r="C33" s="80"/>
      <c r="D33" s="13"/>
    </row>
    <row r="34" spans="1:4" x14ac:dyDescent="0.2">
      <c r="A34" s="32" t="s">
        <v>14</v>
      </c>
      <c r="B34" s="80" t="s">
        <v>15</v>
      </c>
      <c r="C34" s="80"/>
      <c r="D34" s="13"/>
    </row>
    <row r="35" spans="1:4" x14ac:dyDescent="0.2">
      <c r="A35" s="79" t="s">
        <v>16</v>
      </c>
      <c r="B35" s="79"/>
      <c r="C35" s="79"/>
      <c r="D35" s="20">
        <f>SUM(D28:D34)</f>
        <v>2157.85</v>
      </c>
    </row>
    <row r="38" spans="1:4" x14ac:dyDescent="0.2">
      <c r="A38" s="82" t="s">
        <v>17</v>
      </c>
      <c r="B38" s="82"/>
      <c r="C38" s="82"/>
      <c r="D38" s="82"/>
    </row>
    <row r="39" spans="1:4" x14ac:dyDescent="0.2">
      <c r="A39" s="3"/>
    </row>
    <row r="40" spans="1:4" x14ac:dyDescent="0.2">
      <c r="A40" s="92" t="s">
        <v>18</v>
      </c>
      <c r="B40" s="92"/>
      <c r="C40" s="92"/>
      <c r="D40" s="92"/>
    </row>
    <row r="42" spans="1:4" x14ac:dyDescent="0.2">
      <c r="A42" s="30" t="s">
        <v>19</v>
      </c>
      <c r="B42" s="79" t="s">
        <v>20</v>
      </c>
      <c r="C42" s="7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179.74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239.73</v>
      </c>
    </row>
    <row r="45" spans="1:4" x14ac:dyDescent="0.2">
      <c r="A45" s="79" t="s">
        <v>16</v>
      </c>
      <c r="B45" s="79"/>
      <c r="C45" s="28">
        <f>SUM(C43:C44)</f>
        <v>0.19440000000000002</v>
      </c>
      <c r="D45" s="19">
        <f>SUM(D43:D44)</f>
        <v>419.47</v>
      </c>
    </row>
    <row r="48" spans="1:4" x14ac:dyDescent="0.2">
      <c r="A48" s="95" t="s">
        <v>23</v>
      </c>
      <c r="B48" s="95"/>
      <c r="C48" s="95"/>
      <c r="D48" s="95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515.46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64.430000000000007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77.31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38.65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25.77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15.46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5.15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206.18</v>
      </c>
    </row>
    <row r="59" spans="1:4" x14ac:dyDescent="0.2">
      <c r="A59" s="79" t="s">
        <v>37</v>
      </c>
      <c r="B59" s="79"/>
      <c r="C59" s="15">
        <f>SUM(C51:C58)</f>
        <v>0.36800000000000005</v>
      </c>
      <c r="D59" s="19">
        <f>SUM(D51:D58)</f>
        <v>948.41000000000008</v>
      </c>
    </row>
    <row r="62" spans="1:4" x14ac:dyDescent="0.2">
      <c r="A62" s="92" t="s">
        <v>38</v>
      </c>
      <c r="B62" s="92"/>
      <c r="C62" s="92"/>
      <c r="D62" s="92"/>
    </row>
    <row r="64" spans="1:4" x14ac:dyDescent="0.2">
      <c r="A64" s="30" t="s">
        <v>39</v>
      </c>
      <c r="B64" s="91" t="s">
        <v>40</v>
      </c>
      <c r="C64" s="91"/>
      <c r="D64" s="30" t="s">
        <v>3</v>
      </c>
    </row>
    <row r="65" spans="1:5" x14ac:dyDescent="0.2">
      <c r="A65" s="32" t="s">
        <v>4</v>
      </c>
      <c r="B65" s="80" t="s">
        <v>41</v>
      </c>
      <c r="C65" s="80"/>
      <c r="D65" s="13">
        <f>IF((22*2*5.6)-(D28*0.06)&gt;0,(22*2*5.6)-(D28*0.06),0)</f>
        <v>116.92899999999997</v>
      </c>
    </row>
    <row r="66" spans="1:5" x14ac:dyDescent="0.2">
      <c r="A66" s="32" t="s">
        <v>6</v>
      </c>
      <c r="B66" s="80" t="s">
        <v>42</v>
      </c>
      <c r="C66" s="80"/>
      <c r="D66" s="13">
        <v>0</v>
      </c>
    </row>
    <row r="67" spans="1:5" x14ac:dyDescent="0.2">
      <c r="A67" s="32" t="s">
        <v>8</v>
      </c>
      <c r="B67" s="80" t="s">
        <v>112</v>
      </c>
      <c r="C67" s="80"/>
      <c r="D67" s="13">
        <v>320</v>
      </c>
    </row>
    <row r="68" spans="1:5" x14ac:dyDescent="0.2">
      <c r="A68" s="32" t="s">
        <v>10</v>
      </c>
      <c r="B68" s="80" t="s">
        <v>113</v>
      </c>
      <c r="C68" s="80"/>
      <c r="D68" s="13">
        <v>26.5</v>
      </c>
    </row>
    <row r="69" spans="1:5" x14ac:dyDescent="0.2">
      <c r="A69" s="32" t="s">
        <v>10</v>
      </c>
      <c r="B69" s="80" t="s">
        <v>114</v>
      </c>
      <c r="C69" s="80"/>
      <c r="D69" s="13">
        <v>5.21</v>
      </c>
    </row>
    <row r="70" spans="1:5" x14ac:dyDescent="0.2">
      <c r="A70" s="79" t="s">
        <v>16</v>
      </c>
      <c r="B70" s="79"/>
      <c r="C70" s="79"/>
      <c r="D70" s="19">
        <f>SUM(D65:D69)</f>
        <v>468.63899999999995</v>
      </c>
    </row>
    <row r="73" spans="1:5" x14ac:dyDescent="0.2">
      <c r="A73" s="92" t="s">
        <v>43</v>
      </c>
      <c r="B73" s="92"/>
      <c r="C73" s="92"/>
      <c r="D73" s="92"/>
    </row>
    <row r="75" spans="1:5" x14ac:dyDescent="0.2">
      <c r="A75" s="30">
        <v>2</v>
      </c>
      <c r="B75" s="91" t="s">
        <v>44</v>
      </c>
      <c r="C75" s="91"/>
      <c r="D75" s="30" t="s">
        <v>3</v>
      </c>
    </row>
    <row r="76" spans="1:5" x14ac:dyDescent="0.2">
      <c r="A76" s="32" t="s">
        <v>19</v>
      </c>
      <c r="B76" s="80" t="s">
        <v>20</v>
      </c>
      <c r="C76" s="80"/>
      <c r="D76" s="14">
        <f>D45</f>
        <v>419.47</v>
      </c>
    </row>
    <row r="77" spans="1:5" x14ac:dyDescent="0.2">
      <c r="A77" s="32" t="s">
        <v>24</v>
      </c>
      <c r="B77" s="80" t="s">
        <v>25</v>
      </c>
      <c r="C77" s="80"/>
      <c r="D77" s="14">
        <f>D59</f>
        <v>948.41000000000008</v>
      </c>
    </row>
    <row r="78" spans="1:5" x14ac:dyDescent="0.2">
      <c r="A78" s="32" t="s">
        <v>39</v>
      </c>
      <c r="B78" s="80" t="s">
        <v>40</v>
      </c>
      <c r="C78" s="80"/>
      <c r="D78" s="14">
        <f>D70</f>
        <v>468.63899999999995</v>
      </c>
    </row>
    <row r="79" spans="1:5" x14ac:dyDescent="0.2">
      <c r="A79" s="79" t="s">
        <v>16</v>
      </c>
      <c r="B79" s="79"/>
      <c r="C79" s="79"/>
      <c r="D79" s="19">
        <f>SUM(D76:D78)</f>
        <v>1836.519</v>
      </c>
    </row>
    <row r="80" spans="1:5" x14ac:dyDescent="0.2">
      <c r="A80" s="4"/>
      <c r="E80" s="18"/>
    </row>
    <row r="82" spans="1:5" x14ac:dyDescent="0.2">
      <c r="A82" s="82" t="s">
        <v>45</v>
      </c>
      <c r="B82" s="82"/>
      <c r="C82" s="82"/>
      <c r="D82" s="82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91" t="s">
        <v>46</v>
      </c>
      <c r="C84" s="91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TRUNC(((1/12)*0%),4)</f>
        <v>0</v>
      </c>
      <c r="D85" s="13">
        <f>TRUNC($D$35*C85,2)</f>
        <v>0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</v>
      </c>
    </row>
    <row r="87" spans="1:5" x14ac:dyDescent="0.2">
      <c r="A87" s="32" t="s">
        <v>8</v>
      </c>
      <c r="B87" s="10" t="s">
        <v>97</v>
      </c>
      <c r="C87" s="9">
        <f>TRUNC(8%*0%*40%,4)</f>
        <v>0</v>
      </c>
      <c r="D87" s="13">
        <f>TRUNC($D$35*C87,2)</f>
        <v>0</v>
      </c>
    </row>
    <row r="88" spans="1:5" x14ac:dyDescent="0.2">
      <c r="A88" s="32" t="s">
        <v>10</v>
      </c>
      <c r="B88" s="10" t="s">
        <v>49</v>
      </c>
      <c r="C88" s="9">
        <f>TRUNC(((7/30)/12)*0%,4)</f>
        <v>0</v>
      </c>
      <c r="D88" s="13">
        <f>TRUNC($D$35*C88,2)</f>
        <v>0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0</v>
      </c>
    </row>
    <row r="90" spans="1:5" x14ac:dyDescent="0.2">
      <c r="A90" s="32" t="s">
        <v>32</v>
      </c>
      <c r="B90" s="10" t="s">
        <v>98</v>
      </c>
      <c r="C90" s="9">
        <f>TRUNC(8%*0%*40%,4)</f>
        <v>0</v>
      </c>
      <c r="D90" s="13">
        <f t="shared" ref="D90" si="1">TRUNC($D$35*C90,2)</f>
        <v>0</v>
      </c>
    </row>
    <row r="91" spans="1:5" x14ac:dyDescent="0.2">
      <c r="A91" s="89" t="s">
        <v>16</v>
      </c>
      <c r="B91" s="90"/>
      <c r="C91" s="93"/>
      <c r="D91" s="19">
        <f>SUM(D85:D90)</f>
        <v>0</v>
      </c>
    </row>
    <row r="94" spans="1:5" x14ac:dyDescent="0.2">
      <c r="A94" s="82" t="s">
        <v>50</v>
      </c>
      <c r="B94" s="82"/>
      <c r="C94" s="82"/>
      <c r="D94" s="82"/>
    </row>
    <row r="97" spans="1:6" x14ac:dyDescent="0.2">
      <c r="A97" s="92" t="s">
        <v>76</v>
      </c>
      <c r="B97" s="92"/>
      <c r="C97" s="92"/>
      <c r="D97" s="92"/>
    </row>
    <row r="98" spans="1:6" x14ac:dyDescent="0.2">
      <c r="A98" s="3"/>
    </row>
    <row r="99" spans="1:6" x14ac:dyDescent="0.2">
      <c r="A99" s="30" t="s">
        <v>51</v>
      </c>
      <c r="B99" s="91" t="s">
        <v>77</v>
      </c>
      <c r="C99" s="91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TRUNC(((1+1/3)/12)/12,4)*0</f>
        <v>0</v>
      </c>
      <c r="D100" s="13">
        <f>TRUNC(($D$35+$D$79+$D$91)*C100,2)</f>
        <v>0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21.96</v>
      </c>
    </row>
    <row r="102" spans="1:6" x14ac:dyDescent="0.2">
      <c r="A102" s="32" t="s">
        <v>8</v>
      </c>
      <c r="B102" s="29" t="s">
        <v>80</v>
      </c>
      <c r="C102" s="9">
        <f>TRUNC(((5/30)/12)*2%,4)*0</f>
        <v>0</v>
      </c>
      <c r="D102" s="13">
        <f t="shared" si="2"/>
        <v>0</v>
      </c>
    </row>
    <row r="103" spans="1:6" x14ac:dyDescent="0.2">
      <c r="A103" s="32" t="s">
        <v>10</v>
      </c>
      <c r="B103" s="29" t="s">
        <v>81</v>
      </c>
      <c r="C103" s="9">
        <f>TRUNC(((15/30)/12)*8%,4)*0</f>
        <v>0</v>
      </c>
      <c r="D103" s="13">
        <f t="shared" si="2"/>
        <v>0</v>
      </c>
    </row>
    <row r="104" spans="1:6" x14ac:dyDescent="0.2">
      <c r="A104" s="32" t="s">
        <v>12</v>
      </c>
      <c r="B104" s="29" t="s">
        <v>82</v>
      </c>
      <c r="C104" s="9">
        <f>((1+1/3)/12)*3%*(4/12)*0</f>
        <v>0</v>
      </c>
      <c r="D104" s="13">
        <f t="shared" si="2"/>
        <v>0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79" t="s">
        <v>37</v>
      </c>
      <c r="B106" s="79"/>
      <c r="C106" s="79"/>
      <c r="D106" s="19">
        <f>SUM(D100:D105)</f>
        <v>21.96</v>
      </c>
      <c r="E106" s="17"/>
      <c r="F106" s="17"/>
    </row>
    <row r="109" spans="1:6" x14ac:dyDescent="0.2">
      <c r="A109" s="92" t="s">
        <v>84</v>
      </c>
      <c r="B109" s="92"/>
      <c r="C109" s="92"/>
      <c r="D109" s="92"/>
    </row>
    <row r="110" spans="1:6" x14ac:dyDescent="0.2">
      <c r="A110" s="3"/>
    </row>
    <row r="111" spans="1:6" x14ac:dyDescent="0.2">
      <c r="A111" s="30" t="s">
        <v>52</v>
      </c>
      <c r="B111" s="91" t="s">
        <v>85</v>
      </c>
      <c r="C111" s="91"/>
      <c r="D111" s="30" t="s">
        <v>3</v>
      </c>
    </row>
    <row r="112" spans="1:6" x14ac:dyDescent="0.2">
      <c r="A112" s="32" t="s">
        <v>4</v>
      </c>
      <c r="B112" s="86" t="s">
        <v>86</v>
      </c>
      <c r="C112" s="87"/>
      <c r="D112" s="13">
        <f>((D35+D79+D91)/220)*22*0</f>
        <v>0</v>
      </c>
    </row>
    <row r="113" spans="1:4" x14ac:dyDescent="0.2">
      <c r="A113" s="79" t="s">
        <v>16</v>
      </c>
      <c r="B113" s="79"/>
      <c r="C113" s="79"/>
      <c r="D113" s="19">
        <f>SUM(D112)</f>
        <v>0</v>
      </c>
    </row>
    <row r="116" spans="1:4" x14ac:dyDescent="0.2">
      <c r="A116" s="92" t="s">
        <v>53</v>
      </c>
      <c r="B116" s="92"/>
      <c r="C116" s="92"/>
      <c r="D116" s="92"/>
    </row>
    <row r="117" spans="1:4" x14ac:dyDescent="0.2">
      <c r="A117" s="3"/>
    </row>
    <row r="118" spans="1:4" x14ac:dyDescent="0.2">
      <c r="A118" s="30">
        <v>4</v>
      </c>
      <c r="B118" s="79" t="s">
        <v>54</v>
      </c>
      <c r="C118" s="79"/>
      <c r="D118" s="30" t="s">
        <v>3</v>
      </c>
    </row>
    <row r="119" spans="1:4" x14ac:dyDescent="0.2">
      <c r="A119" s="32" t="s">
        <v>51</v>
      </c>
      <c r="B119" s="80" t="s">
        <v>77</v>
      </c>
      <c r="C119" s="80"/>
      <c r="D119" s="14">
        <f>D106</f>
        <v>21.96</v>
      </c>
    </row>
    <row r="120" spans="1:4" x14ac:dyDescent="0.2">
      <c r="A120" s="32" t="s">
        <v>52</v>
      </c>
      <c r="B120" s="80" t="s">
        <v>85</v>
      </c>
      <c r="C120" s="80"/>
      <c r="D120" s="14">
        <f>D113</f>
        <v>0</v>
      </c>
    </row>
    <row r="121" spans="1:4" x14ac:dyDescent="0.2">
      <c r="A121" s="79" t="s">
        <v>16</v>
      </c>
      <c r="B121" s="79"/>
      <c r="C121" s="79"/>
      <c r="D121" s="19">
        <f>SUM(D119:D120)</f>
        <v>21.96</v>
      </c>
    </row>
    <row r="124" spans="1:4" x14ac:dyDescent="0.2">
      <c r="A124" s="82" t="s">
        <v>55</v>
      </c>
      <c r="B124" s="82"/>
      <c r="C124" s="82"/>
      <c r="D124" s="82"/>
    </row>
    <row r="126" spans="1:4" x14ac:dyDescent="0.2">
      <c r="A126" s="30">
        <v>5</v>
      </c>
      <c r="B126" s="88" t="s">
        <v>56</v>
      </c>
      <c r="C126" s="88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116.54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2.11</v>
      </c>
    </row>
    <row r="130" spans="1:4" x14ac:dyDescent="0.2">
      <c r="A130" s="32" t="s">
        <v>10</v>
      </c>
      <c r="B130" s="29" t="s">
        <v>15</v>
      </c>
      <c r="C130" s="29"/>
      <c r="D130" s="13">
        <v>0</v>
      </c>
    </row>
    <row r="131" spans="1:4" x14ac:dyDescent="0.2">
      <c r="A131" s="79" t="s">
        <v>37</v>
      </c>
      <c r="B131" s="79"/>
      <c r="C131" s="79"/>
      <c r="D131" s="20">
        <f>SUM(D127:D130)</f>
        <v>118.65</v>
      </c>
    </row>
    <row r="134" spans="1:4" x14ac:dyDescent="0.2">
      <c r="A134" s="82" t="s">
        <v>60</v>
      </c>
      <c r="B134" s="82"/>
      <c r="C134" s="82"/>
      <c r="D134" s="82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206.74894999999998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260.50367699999998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435.78876380459758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94</v>
      </c>
      <c r="C141" s="9">
        <v>6.4999999999999997E-3</v>
      </c>
      <c r="D141" s="14">
        <f t="shared" ref="D141:D145" si="3">$D$159*C141</f>
        <v>32.747129999999999</v>
      </c>
    </row>
    <row r="142" spans="1:4" x14ac:dyDescent="0.2">
      <c r="A142" s="32"/>
      <c r="B142" s="29" t="s">
        <v>95</v>
      </c>
      <c r="C142" s="9">
        <v>0.03</v>
      </c>
      <c r="D142" s="14">
        <f t="shared" si="3"/>
        <v>151.14060000000001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96</v>
      </c>
      <c r="C145" s="9">
        <v>0.05</v>
      </c>
      <c r="D145" s="14">
        <f t="shared" si="3"/>
        <v>251.90100000000004</v>
      </c>
    </row>
    <row r="146" spans="1:4" ht="13.5" x14ac:dyDescent="0.2">
      <c r="A146" s="89" t="s">
        <v>37</v>
      </c>
      <c r="B146" s="90"/>
      <c r="C146" s="21">
        <f>(1+C138)*(1+C137)/(1-C139)-1</f>
        <v>0.21839080459770144</v>
      </c>
      <c r="D146" s="19">
        <f>SUM(D137:D139)</f>
        <v>903.04139080459754</v>
      </c>
    </row>
    <row r="149" spans="1:4" x14ac:dyDescent="0.2">
      <c r="A149" s="82" t="s">
        <v>104</v>
      </c>
      <c r="B149" s="82"/>
      <c r="C149" s="82"/>
      <c r="D149" s="82"/>
    </row>
    <row r="151" spans="1:4" x14ac:dyDescent="0.2">
      <c r="A151" s="30"/>
      <c r="B151" s="79" t="s">
        <v>68</v>
      </c>
      <c r="C151" s="79"/>
      <c r="D151" s="30" t="s">
        <v>3</v>
      </c>
    </row>
    <row r="152" spans="1:4" x14ac:dyDescent="0.2">
      <c r="A152" s="30" t="s">
        <v>4</v>
      </c>
      <c r="B152" s="80" t="s">
        <v>1</v>
      </c>
      <c r="C152" s="80"/>
      <c r="D152" s="22">
        <f>D35</f>
        <v>2157.85</v>
      </c>
    </row>
    <row r="153" spans="1:4" x14ac:dyDescent="0.2">
      <c r="A153" s="30" t="s">
        <v>6</v>
      </c>
      <c r="B153" s="80" t="s">
        <v>17</v>
      </c>
      <c r="C153" s="80"/>
      <c r="D153" s="22">
        <f>D79</f>
        <v>1836.519</v>
      </c>
    </row>
    <row r="154" spans="1:4" x14ac:dyDescent="0.2">
      <c r="A154" s="30" t="s">
        <v>8</v>
      </c>
      <c r="B154" s="80" t="s">
        <v>45</v>
      </c>
      <c r="C154" s="80"/>
      <c r="D154" s="22">
        <f>D91</f>
        <v>0</v>
      </c>
    </row>
    <row r="155" spans="1:4" x14ac:dyDescent="0.2">
      <c r="A155" s="30" t="s">
        <v>10</v>
      </c>
      <c r="B155" s="80" t="s">
        <v>50</v>
      </c>
      <c r="C155" s="80"/>
      <c r="D155" s="22">
        <f>D121</f>
        <v>21.96</v>
      </c>
    </row>
    <row r="156" spans="1:4" x14ac:dyDescent="0.2">
      <c r="A156" s="30" t="s">
        <v>12</v>
      </c>
      <c r="B156" s="80" t="s">
        <v>55</v>
      </c>
      <c r="C156" s="80"/>
      <c r="D156" s="22">
        <f>D131</f>
        <v>118.65</v>
      </c>
    </row>
    <row r="157" spans="1:4" x14ac:dyDescent="0.2">
      <c r="A157" s="79" t="s">
        <v>93</v>
      </c>
      <c r="B157" s="79"/>
      <c r="C157" s="79"/>
      <c r="D157" s="23">
        <f>SUM(D152:D156)</f>
        <v>4134.9789999999994</v>
      </c>
    </row>
    <row r="158" spans="1:4" x14ac:dyDescent="0.2">
      <c r="A158" s="30" t="s">
        <v>32</v>
      </c>
      <c r="B158" s="80" t="s">
        <v>69</v>
      </c>
      <c r="C158" s="80"/>
      <c r="D158" s="24">
        <f>D146</f>
        <v>903.04139080459754</v>
      </c>
    </row>
    <row r="159" spans="1:4" x14ac:dyDescent="0.2">
      <c r="A159" s="79" t="s">
        <v>70</v>
      </c>
      <c r="B159" s="79"/>
      <c r="C159" s="79"/>
      <c r="D159" s="23">
        <f>ROUND(SUM(D157:D158),2)</f>
        <v>5038.0200000000004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79" zoomScale="115" zoomScaleNormal="115" workbookViewId="0">
      <selection activeCell="D159" sqref="D15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2" t="s">
        <v>102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x14ac:dyDescent="0.2">
      <c r="A5" s="72" t="s">
        <v>103</v>
      </c>
      <c r="B5" s="73"/>
      <c r="C5" s="73"/>
      <c r="D5" s="74"/>
    </row>
    <row r="6" spans="1:4" x14ac:dyDescent="0.2">
      <c r="A6" s="33" t="s">
        <v>4</v>
      </c>
      <c r="B6" s="34" t="s">
        <v>99</v>
      </c>
      <c r="C6" s="35"/>
      <c r="D6" s="36" t="s">
        <v>105</v>
      </c>
    </row>
    <row r="7" spans="1:4" x14ac:dyDescent="0.2">
      <c r="A7" s="33" t="s">
        <v>6</v>
      </c>
      <c r="B7" s="34" t="s">
        <v>100</v>
      </c>
      <c r="C7" s="35"/>
      <c r="D7" s="38" t="s">
        <v>106</v>
      </c>
    </row>
    <row r="8" spans="1:4" x14ac:dyDescent="0.2">
      <c r="A8" s="33" t="s">
        <v>8</v>
      </c>
      <c r="B8" s="34" t="s">
        <v>101</v>
      </c>
      <c r="C8" s="35"/>
      <c r="D8" s="37">
        <v>45723</v>
      </c>
    </row>
    <row r="9" spans="1:4" x14ac:dyDescent="0.2">
      <c r="A9" s="33" t="s">
        <v>10</v>
      </c>
      <c r="B9" s="83" t="s">
        <v>108</v>
      </c>
      <c r="C9" s="84"/>
      <c r="D9" s="85"/>
    </row>
    <row r="10" spans="1:4" x14ac:dyDescent="0.2">
      <c r="A10" s="33" t="s">
        <v>12</v>
      </c>
      <c r="B10" s="83" t="s">
        <v>107</v>
      </c>
      <c r="C10" s="84"/>
      <c r="D10" s="85"/>
    </row>
    <row r="12" spans="1:4" x14ac:dyDescent="0.2">
      <c r="A12" s="82" t="s">
        <v>87</v>
      </c>
      <c r="B12" s="82"/>
      <c r="C12" s="82"/>
      <c r="D12" s="82"/>
    </row>
    <row r="13" spans="1:4" x14ac:dyDescent="0.2">
      <c r="A13" s="2"/>
      <c r="B13" s="2"/>
      <c r="C13" s="2"/>
      <c r="D13" s="2"/>
    </row>
    <row r="14" spans="1:4" ht="38.25" x14ac:dyDescent="0.2">
      <c r="A14" s="75" t="s">
        <v>88</v>
      </c>
      <c r="B14" s="75"/>
      <c r="C14" s="32" t="s">
        <v>89</v>
      </c>
      <c r="D14" s="27" t="s">
        <v>90</v>
      </c>
    </row>
    <row r="15" spans="1:4" x14ac:dyDescent="0.2">
      <c r="A15" s="76" t="s">
        <v>126</v>
      </c>
      <c r="B15" s="76"/>
      <c r="C15" s="39" t="s">
        <v>110</v>
      </c>
      <c r="D15" s="39">
        <v>2</v>
      </c>
    </row>
    <row r="17" spans="1:4" x14ac:dyDescent="0.2">
      <c r="A17" s="82" t="s">
        <v>71</v>
      </c>
      <c r="B17" s="82"/>
      <c r="C17" s="82"/>
      <c r="D17" s="8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77" t="s">
        <v>121</v>
      </c>
      <c r="D19" s="78"/>
    </row>
    <row r="20" spans="1:4" x14ac:dyDescent="0.2">
      <c r="A20" s="5">
        <v>2</v>
      </c>
      <c r="B20" s="5" t="s">
        <v>91</v>
      </c>
      <c r="C20" s="77" t="s">
        <v>120</v>
      </c>
      <c r="D20" s="78"/>
    </row>
    <row r="21" spans="1:4" x14ac:dyDescent="0.2">
      <c r="A21" s="5">
        <v>3</v>
      </c>
      <c r="B21" s="5" t="s">
        <v>73</v>
      </c>
      <c r="C21" s="81">
        <v>1950.9</v>
      </c>
      <c r="D21" s="78"/>
    </row>
    <row r="22" spans="1:4" x14ac:dyDescent="0.2">
      <c r="A22" s="5">
        <v>4</v>
      </c>
      <c r="B22" s="5" t="s">
        <v>74</v>
      </c>
      <c r="C22" s="77"/>
      <c r="D22" s="78"/>
    </row>
    <row r="23" spans="1:4" x14ac:dyDescent="0.2">
      <c r="A23" s="5">
        <v>5</v>
      </c>
      <c r="B23" s="5" t="s">
        <v>75</v>
      </c>
      <c r="C23" s="77"/>
      <c r="D23" s="78"/>
    </row>
    <row r="25" spans="1:4" x14ac:dyDescent="0.2">
      <c r="A25" s="82" t="s">
        <v>1</v>
      </c>
      <c r="B25" s="82"/>
      <c r="C25" s="82"/>
      <c r="D25" s="82"/>
    </row>
    <row r="27" spans="1:4" x14ac:dyDescent="0.2">
      <c r="A27" s="30">
        <v>1</v>
      </c>
      <c r="B27" s="79" t="s">
        <v>2</v>
      </c>
      <c r="C27" s="79"/>
      <c r="D27" s="30" t="s">
        <v>3</v>
      </c>
    </row>
    <row r="28" spans="1:4" x14ac:dyDescent="0.2">
      <c r="A28" s="32" t="s">
        <v>4</v>
      </c>
      <c r="B28" s="80" t="s">
        <v>5</v>
      </c>
      <c r="C28" s="80"/>
      <c r="D28" s="13">
        <v>1950.9</v>
      </c>
    </row>
    <row r="29" spans="1:4" x14ac:dyDescent="0.2">
      <c r="A29" s="32" t="s">
        <v>6</v>
      </c>
      <c r="B29" s="80" t="s">
        <v>7</v>
      </c>
      <c r="C29" s="80"/>
      <c r="D29" s="13"/>
    </row>
    <row r="30" spans="1:4" x14ac:dyDescent="0.2">
      <c r="A30" s="32" t="s">
        <v>8</v>
      </c>
      <c r="B30" s="80" t="s">
        <v>9</v>
      </c>
      <c r="C30" s="80"/>
      <c r="D30" s="13"/>
    </row>
    <row r="31" spans="1:4" x14ac:dyDescent="0.2">
      <c r="A31" s="32" t="s">
        <v>10</v>
      </c>
      <c r="B31" s="80" t="s">
        <v>11</v>
      </c>
      <c r="C31" s="80"/>
      <c r="D31" s="13"/>
    </row>
    <row r="32" spans="1:4" x14ac:dyDescent="0.2">
      <c r="A32" s="32" t="s">
        <v>12</v>
      </c>
      <c r="B32" s="80" t="s">
        <v>13</v>
      </c>
      <c r="C32" s="80"/>
      <c r="D32" s="13"/>
    </row>
    <row r="33" spans="1:4" x14ac:dyDescent="0.2">
      <c r="A33" s="32"/>
      <c r="B33" s="80"/>
      <c r="C33" s="80"/>
      <c r="D33" s="13"/>
    </row>
    <row r="34" spans="1:4" x14ac:dyDescent="0.2">
      <c r="A34" s="32" t="s">
        <v>14</v>
      </c>
      <c r="B34" s="80" t="s">
        <v>15</v>
      </c>
      <c r="C34" s="80"/>
      <c r="D34" s="13"/>
    </row>
    <row r="35" spans="1:4" x14ac:dyDescent="0.2">
      <c r="A35" s="79" t="s">
        <v>16</v>
      </c>
      <c r="B35" s="79"/>
      <c r="C35" s="79"/>
      <c r="D35" s="20">
        <f>SUM(D28:D34)</f>
        <v>1950.9</v>
      </c>
    </row>
    <row r="38" spans="1:4" x14ac:dyDescent="0.2">
      <c r="A38" s="82" t="s">
        <v>17</v>
      </c>
      <c r="B38" s="82"/>
      <c r="C38" s="82"/>
      <c r="D38" s="82"/>
    </row>
    <row r="39" spans="1:4" x14ac:dyDescent="0.2">
      <c r="A39" s="3"/>
    </row>
    <row r="40" spans="1:4" x14ac:dyDescent="0.2">
      <c r="A40" s="92" t="s">
        <v>18</v>
      </c>
      <c r="B40" s="92"/>
      <c r="C40" s="92"/>
      <c r="D40" s="92"/>
    </row>
    <row r="42" spans="1:4" x14ac:dyDescent="0.2">
      <c r="A42" s="30" t="s">
        <v>19</v>
      </c>
      <c r="B42" s="79" t="s">
        <v>20</v>
      </c>
      <c r="C42" s="7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162.5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216.74</v>
      </c>
    </row>
    <row r="45" spans="1:4" x14ac:dyDescent="0.2">
      <c r="A45" s="79" t="s">
        <v>16</v>
      </c>
      <c r="B45" s="79"/>
      <c r="C45" s="28">
        <f>SUM(C43:C44)</f>
        <v>0.19440000000000002</v>
      </c>
      <c r="D45" s="19">
        <f>SUM(D43:D44)</f>
        <v>379.24</v>
      </c>
    </row>
    <row r="48" spans="1:4" x14ac:dyDescent="0.2">
      <c r="A48" s="95" t="s">
        <v>23</v>
      </c>
      <c r="B48" s="95"/>
      <c r="C48" s="95"/>
      <c r="D48" s="95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466.02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58.25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69.900000000000006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34.950000000000003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23.3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13.98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4.66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186.41</v>
      </c>
    </row>
    <row r="59" spans="1:4" x14ac:dyDescent="0.2">
      <c r="A59" s="79" t="s">
        <v>37</v>
      </c>
      <c r="B59" s="79"/>
      <c r="C59" s="15">
        <f>SUM(C51:C58)</f>
        <v>0.36800000000000005</v>
      </c>
      <c r="D59" s="19">
        <f>SUM(D51:D58)</f>
        <v>857.46999999999991</v>
      </c>
    </row>
    <row r="62" spans="1:4" x14ac:dyDescent="0.2">
      <c r="A62" s="92" t="s">
        <v>38</v>
      </c>
      <c r="B62" s="92"/>
      <c r="C62" s="92"/>
      <c r="D62" s="92"/>
    </row>
    <row r="64" spans="1:4" x14ac:dyDescent="0.2">
      <c r="A64" s="30" t="s">
        <v>39</v>
      </c>
      <c r="B64" s="91" t="s">
        <v>40</v>
      </c>
      <c r="C64" s="91"/>
      <c r="D64" s="30" t="s">
        <v>3</v>
      </c>
    </row>
    <row r="65" spans="1:5" x14ac:dyDescent="0.2">
      <c r="A65" s="32" t="s">
        <v>4</v>
      </c>
      <c r="B65" s="80" t="s">
        <v>41</v>
      </c>
      <c r="C65" s="80"/>
      <c r="D65" s="13">
        <f>IF((22*2*5.6)-(D28*0.06)&gt;0,(22*2*5.6)-(D28*0.06),0)</f>
        <v>129.34599999999998</v>
      </c>
    </row>
    <row r="66" spans="1:5" x14ac:dyDescent="0.2">
      <c r="A66" s="32" t="s">
        <v>6</v>
      </c>
      <c r="B66" s="80" t="s">
        <v>42</v>
      </c>
      <c r="C66" s="80"/>
      <c r="D66" s="13">
        <f>22*0.8*22</f>
        <v>387.20000000000005</v>
      </c>
    </row>
    <row r="67" spans="1:5" x14ac:dyDescent="0.2">
      <c r="A67" s="32" t="s">
        <v>8</v>
      </c>
      <c r="B67" s="80" t="s">
        <v>112</v>
      </c>
      <c r="C67" s="80"/>
      <c r="D67" s="13">
        <v>320</v>
      </c>
    </row>
    <row r="68" spans="1:5" x14ac:dyDescent="0.2">
      <c r="A68" s="32" t="s">
        <v>10</v>
      </c>
      <c r="B68" s="80" t="s">
        <v>113</v>
      </c>
      <c r="C68" s="80"/>
      <c r="D68" s="13">
        <v>26.5</v>
      </c>
    </row>
    <row r="69" spans="1:5" x14ac:dyDescent="0.2">
      <c r="A69" s="32" t="s">
        <v>10</v>
      </c>
      <c r="B69" s="80" t="s">
        <v>114</v>
      </c>
      <c r="C69" s="80"/>
      <c r="D69" s="13">
        <v>5.21</v>
      </c>
    </row>
    <row r="70" spans="1:5" x14ac:dyDescent="0.2">
      <c r="A70" s="79" t="s">
        <v>16</v>
      </c>
      <c r="B70" s="79"/>
      <c r="C70" s="79"/>
      <c r="D70" s="19">
        <f>SUM(D65:D69)</f>
        <v>868.25600000000009</v>
      </c>
    </row>
    <row r="73" spans="1:5" x14ac:dyDescent="0.2">
      <c r="A73" s="92" t="s">
        <v>43</v>
      </c>
      <c r="B73" s="92"/>
      <c r="C73" s="92"/>
      <c r="D73" s="92"/>
    </row>
    <row r="75" spans="1:5" x14ac:dyDescent="0.2">
      <c r="A75" s="30">
        <v>2</v>
      </c>
      <c r="B75" s="91" t="s">
        <v>44</v>
      </c>
      <c r="C75" s="91"/>
      <c r="D75" s="30" t="s">
        <v>3</v>
      </c>
    </row>
    <row r="76" spans="1:5" x14ac:dyDescent="0.2">
      <c r="A76" s="32" t="s">
        <v>19</v>
      </c>
      <c r="B76" s="80" t="s">
        <v>20</v>
      </c>
      <c r="C76" s="80"/>
      <c r="D76" s="14">
        <f>D45</f>
        <v>379.24</v>
      </c>
    </row>
    <row r="77" spans="1:5" x14ac:dyDescent="0.2">
      <c r="A77" s="32" t="s">
        <v>24</v>
      </c>
      <c r="B77" s="80" t="s">
        <v>25</v>
      </c>
      <c r="C77" s="80"/>
      <c r="D77" s="14">
        <f>D59</f>
        <v>857.46999999999991</v>
      </c>
    </row>
    <row r="78" spans="1:5" x14ac:dyDescent="0.2">
      <c r="A78" s="32" t="s">
        <v>39</v>
      </c>
      <c r="B78" s="80" t="s">
        <v>40</v>
      </c>
      <c r="C78" s="80"/>
      <c r="D78" s="14">
        <f>D70</f>
        <v>868.25600000000009</v>
      </c>
    </row>
    <row r="79" spans="1:5" x14ac:dyDescent="0.2">
      <c r="A79" s="79" t="s">
        <v>16</v>
      </c>
      <c r="B79" s="79"/>
      <c r="C79" s="79"/>
      <c r="D79" s="19">
        <f>SUM(D76:D78)</f>
        <v>2104.9660000000003</v>
      </c>
    </row>
    <row r="80" spans="1:5" x14ac:dyDescent="0.2">
      <c r="A80" s="4"/>
      <c r="E80" s="18"/>
    </row>
    <row r="82" spans="1:5" x14ac:dyDescent="0.2">
      <c r="A82" s="82" t="s">
        <v>45</v>
      </c>
      <c r="B82" s="82"/>
      <c r="C82" s="82"/>
      <c r="D82" s="82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91" t="s">
        <v>46</v>
      </c>
      <c r="C84" s="91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TRUNC(((1/12)*0%),4)</f>
        <v>0</v>
      </c>
      <c r="D85" s="13">
        <f>TRUNC($D$35*C85,2)</f>
        <v>0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</v>
      </c>
    </row>
    <row r="87" spans="1:5" x14ac:dyDescent="0.2">
      <c r="A87" s="32" t="s">
        <v>8</v>
      </c>
      <c r="B87" s="10" t="s">
        <v>97</v>
      </c>
      <c r="C87" s="9">
        <f>TRUNC(8%*0%*40%,4)</f>
        <v>0</v>
      </c>
      <c r="D87" s="13">
        <f>TRUNC($D$35*C87,2)</f>
        <v>0</v>
      </c>
    </row>
    <row r="88" spans="1:5" x14ac:dyDescent="0.2">
      <c r="A88" s="32" t="s">
        <v>10</v>
      </c>
      <c r="B88" s="10" t="s">
        <v>49</v>
      </c>
      <c r="C88" s="9">
        <f>TRUNC(((7/30)/12)*0%,4)</f>
        <v>0</v>
      </c>
      <c r="D88" s="13">
        <f>TRUNC($D$35*C88,2)</f>
        <v>0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0</v>
      </c>
    </row>
    <row r="90" spans="1:5" x14ac:dyDescent="0.2">
      <c r="A90" s="32" t="s">
        <v>32</v>
      </c>
      <c r="B90" s="10" t="s">
        <v>98</v>
      </c>
      <c r="C90" s="9">
        <f>TRUNC(8%*0%*40%,4)</f>
        <v>0</v>
      </c>
      <c r="D90" s="13">
        <f t="shared" ref="D90" si="1">TRUNC($D$35*C90,2)</f>
        <v>0</v>
      </c>
    </row>
    <row r="91" spans="1:5" x14ac:dyDescent="0.2">
      <c r="A91" s="89" t="s">
        <v>16</v>
      </c>
      <c r="B91" s="90"/>
      <c r="C91" s="93"/>
      <c r="D91" s="19">
        <f>SUM(D85:D90)</f>
        <v>0</v>
      </c>
    </row>
    <row r="94" spans="1:5" x14ac:dyDescent="0.2">
      <c r="A94" s="82" t="s">
        <v>50</v>
      </c>
      <c r="B94" s="82"/>
      <c r="C94" s="82"/>
      <c r="D94" s="82"/>
    </row>
    <row r="97" spans="1:6" x14ac:dyDescent="0.2">
      <c r="A97" s="92" t="s">
        <v>76</v>
      </c>
      <c r="B97" s="92"/>
      <c r="C97" s="92"/>
      <c r="D97" s="92"/>
    </row>
    <row r="98" spans="1:6" x14ac:dyDescent="0.2">
      <c r="A98" s="3"/>
    </row>
    <row r="99" spans="1:6" x14ac:dyDescent="0.2">
      <c r="A99" s="30" t="s">
        <v>51</v>
      </c>
      <c r="B99" s="91" t="s">
        <v>77</v>
      </c>
      <c r="C99" s="91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TRUNC(((1+1/3)/12)/12,4)*0</f>
        <v>0</v>
      </c>
      <c r="D100" s="13">
        <f>TRUNC(($D$35+$D$79+$D$91)*C100,2)</f>
        <v>0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22.3</v>
      </c>
    </row>
    <row r="102" spans="1:6" x14ac:dyDescent="0.2">
      <c r="A102" s="32" t="s">
        <v>8</v>
      </c>
      <c r="B102" s="29" t="s">
        <v>80</v>
      </c>
      <c r="C102" s="9">
        <f>TRUNC(((5/30)/12)*2%,4)*0</f>
        <v>0</v>
      </c>
      <c r="D102" s="13">
        <f t="shared" si="2"/>
        <v>0</v>
      </c>
    </row>
    <row r="103" spans="1:6" x14ac:dyDescent="0.2">
      <c r="A103" s="32" t="s">
        <v>10</v>
      </c>
      <c r="B103" s="29" t="s">
        <v>81</v>
      </c>
      <c r="C103" s="9">
        <f>TRUNC(((15/30)/12)*8%,4)*0</f>
        <v>0</v>
      </c>
      <c r="D103" s="13">
        <f t="shared" si="2"/>
        <v>0</v>
      </c>
    </row>
    <row r="104" spans="1:6" x14ac:dyDescent="0.2">
      <c r="A104" s="32" t="s">
        <v>12</v>
      </c>
      <c r="B104" s="29" t="s">
        <v>82</v>
      </c>
      <c r="C104" s="9">
        <f>((1+1/3)/12)*3%*(4/12)*0</f>
        <v>0</v>
      </c>
      <c r="D104" s="13">
        <f t="shared" si="2"/>
        <v>0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79" t="s">
        <v>37</v>
      </c>
      <c r="B106" s="79"/>
      <c r="C106" s="79"/>
      <c r="D106" s="19">
        <f>SUM(D100:D105)</f>
        <v>22.3</v>
      </c>
      <c r="E106" s="17"/>
      <c r="F106" s="17"/>
    </row>
    <row r="109" spans="1:6" x14ac:dyDescent="0.2">
      <c r="A109" s="92" t="s">
        <v>84</v>
      </c>
      <c r="B109" s="92"/>
      <c r="C109" s="92"/>
      <c r="D109" s="92"/>
    </row>
    <row r="110" spans="1:6" x14ac:dyDescent="0.2">
      <c r="A110" s="3"/>
    </row>
    <row r="111" spans="1:6" x14ac:dyDescent="0.2">
      <c r="A111" s="30" t="s">
        <v>52</v>
      </c>
      <c r="B111" s="91" t="s">
        <v>85</v>
      </c>
      <c r="C111" s="91"/>
      <c r="D111" s="30" t="s">
        <v>3</v>
      </c>
    </row>
    <row r="112" spans="1:6" x14ac:dyDescent="0.2">
      <c r="A112" s="32" t="s">
        <v>4</v>
      </c>
      <c r="B112" s="86" t="s">
        <v>86</v>
      </c>
      <c r="C112" s="87"/>
      <c r="D112" s="13">
        <f>((D35+D79+D91)/220)*22*0</f>
        <v>0</v>
      </c>
    </row>
    <row r="113" spans="1:4" x14ac:dyDescent="0.2">
      <c r="A113" s="79" t="s">
        <v>16</v>
      </c>
      <c r="B113" s="79"/>
      <c r="C113" s="79"/>
      <c r="D113" s="19">
        <f>SUM(D112)</f>
        <v>0</v>
      </c>
    </row>
    <row r="116" spans="1:4" x14ac:dyDescent="0.2">
      <c r="A116" s="92" t="s">
        <v>53</v>
      </c>
      <c r="B116" s="92"/>
      <c r="C116" s="92"/>
      <c r="D116" s="92"/>
    </row>
    <row r="117" spans="1:4" x14ac:dyDescent="0.2">
      <c r="A117" s="3"/>
    </row>
    <row r="118" spans="1:4" x14ac:dyDescent="0.2">
      <c r="A118" s="30">
        <v>4</v>
      </c>
      <c r="B118" s="79" t="s">
        <v>54</v>
      </c>
      <c r="C118" s="79"/>
      <c r="D118" s="30" t="s">
        <v>3</v>
      </c>
    </row>
    <row r="119" spans="1:4" x14ac:dyDescent="0.2">
      <c r="A119" s="32" t="s">
        <v>51</v>
      </c>
      <c r="B119" s="80" t="s">
        <v>77</v>
      </c>
      <c r="C119" s="80"/>
      <c r="D119" s="14">
        <f>D106</f>
        <v>22.3</v>
      </c>
    </row>
    <row r="120" spans="1:4" x14ac:dyDescent="0.2">
      <c r="A120" s="32" t="s">
        <v>52</v>
      </c>
      <c r="B120" s="80" t="s">
        <v>85</v>
      </c>
      <c r="C120" s="80"/>
      <c r="D120" s="14">
        <f>D113</f>
        <v>0</v>
      </c>
    </row>
    <row r="121" spans="1:4" x14ac:dyDescent="0.2">
      <c r="A121" s="79" t="s">
        <v>16</v>
      </c>
      <c r="B121" s="79"/>
      <c r="C121" s="79"/>
      <c r="D121" s="19">
        <f>SUM(D119:D120)</f>
        <v>22.3</v>
      </c>
    </row>
    <row r="124" spans="1:4" x14ac:dyDescent="0.2">
      <c r="A124" s="82" t="s">
        <v>55</v>
      </c>
      <c r="B124" s="82"/>
      <c r="C124" s="82"/>
      <c r="D124" s="82"/>
    </row>
    <row r="126" spans="1:4" x14ac:dyDescent="0.2">
      <c r="A126" s="30">
        <v>5</v>
      </c>
      <c r="B126" s="88" t="s">
        <v>56</v>
      </c>
      <c r="C126" s="88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116.54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</v>
      </c>
    </row>
    <row r="130" spans="1:4" x14ac:dyDescent="0.2">
      <c r="A130" s="32" t="s">
        <v>10</v>
      </c>
      <c r="B130" s="29" t="s">
        <v>15</v>
      </c>
      <c r="C130" s="29"/>
      <c r="D130" s="13">
        <v>0</v>
      </c>
    </row>
    <row r="131" spans="1:4" x14ac:dyDescent="0.2">
      <c r="A131" s="79" t="s">
        <v>37</v>
      </c>
      <c r="B131" s="79"/>
      <c r="C131" s="79"/>
      <c r="D131" s="20">
        <f>SUM(D127:D130)</f>
        <v>116.54</v>
      </c>
    </row>
    <row r="134" spans="1:4" x14ac:dyDescent="0.2">
      <c r="A134" s="82" t="s">
        <v>60</v>
      </c>
      <c r="B134" s="82"/>
      <c r="C134" s="82"/>
      <c r="D134" s="82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209.73530000000005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264.26647800000006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442.08344039080475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94</v>
      </c>
      <c r="C141" s="9">
        <v>6.4999999999999997E-3</v>
      </c>
      <c r="D141" s="14">
        <f t="shared" ref="D141:D145" si="3">$D$159*C141</f>
        <v>33.220134999999999</v>
      </c>
    </row>
    <row r="142" spans="1:4" x14ac:dyDescent="0.2">
      <c r="A142" s="32"/>
      <c r="B142" s="29" t="s">
        <v>95</v>
      </c>
      <c r="C142" s="9">
        <v>0.03</v>
      </c>
      <c r="D142" s="14">
        <f t="shared" si="3"/>
        <v>153.3237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96</v>
      </c>
      <c r="C145" s="9">
        <v>0.05</v>
      </c>
      <c r="D145" s="14">
        <f t="shared" si="3"/>
        <v>255.5395</v>
      </c>
    </row>
    <row r="146" spans="1:4" ht="13.5" x14ac:dyDescent="0.2">
      <c r="A146" s="89" t="s">
        <v>37</v>
      </c>
      <c r="B146" s="90"/>
      <c r="C146" s="21">
        <f>(1+C138)*(1+C137)/(1-C139)-1</f>
        <v>0.21839080459770144</v>
      </c>
      <c r="D146" s="19">
        <f>SUM(D137:D139)</f>
        <v>916.08521839080481</v>
      </c>
    </row>
    <row r="149" spans="1:4" x14ac:dyDescent="0.2">
      <c r="A149" s="82" t="s">
        <v>104</v>
      </c>
      <c r="B149" s="82"/>
      <c r="C149" s="82"/>
      <c r="D149" s="82"/>
    </row>
    <row r="151" spans="1:4" x14ac:dyDescent="0.2">
      <c r="A151" s="30"/>
      <c r="B151" s="79" t="s">
        <v>68</v>
      </c>
      <c r="C151" s="79"/>
      <c r="D151" s="30" t="s">
        <v>3</v>
      </c>
    </row>
    <row r="152" spans="1:4" x14ac:dyDescent="0.2">
      <c r="A152" s="30" t="s">
        <v>4</v>
      </c>
      <c r="B152" s="80" t="s">
        <v>1</v>
      </c>
      <c r="C152" s="80"/>
      <c r="D152" s="22">
        <f>D35</f>
        <v>1950.9</v>
      </c>
    </row>
    <row r="153" spans="1:4" x14ac:dyDescent="0.2">
      <c r="A153" s="30" t="s">
        <v>6</v>
      </c>
      <c r="B153" s="80" t="s">
        <v>17</v>
      </c>
      <c r="C153" s="80"/>
      <c r="D153" s="22">
        <f>D79</f>
        <v>2104.9660000000003</v>
      </c>
    </row>
    <row r="154" spans="1:4" x14ac:dyDescent="0.2">
      <c r="A154" s="30" t="s">
        <v>8</v>
      </c>
      <c r="B154" s="80" t="s">
        <v>45</v>
      </c>
      <c r="C154" s="80"/>
      <c r="D154" s="22">
        <f>D91</f>
        <v>0</v>
      </c>
    </row>
    <row r="155" spans="1:4" x14ac:dyDescent="0.2">
      <c r="A155" s="30" t="s">
        <v>10</v>
      </c>
      <c r="B155" s="80" t="s">
        <v>50</v>
      </c>
      <c r="C155" s="80"/>
      <c r="D155" s="22">
        <f>D121</f>
        <v>22.3</v>
      </c>
    </row>
    <row r="156" spans="1:4" x14ac:dyDescent="0.2">
      <c r="A156" s="30" t="s">
        <v>12</v>
      </c>
      <c r="B156" s="80" t="s">
        <v>55</v>
      </c>
      <c r="C156" s="80"/>
      <c r="D156" s="22">
        <f>D131</f>
        <v>116.54</v>
      </c>
    </row>
    <row r="157" spans="1:4" x14ac:dyDescent="0.2">
      <c r="A157" s="79" t="s">
        <v>93</v>
      </c>
      <c r="B157" s="79"/>
      <c r="C157" s="79"/>
      <c r="D157" s="23">
        <f>SUM(D152:D156)</f>
        <v>4194.706000000001</v>
      </c>
    </row>
    <row r="158" spans="1:4" x14ac:dyDescent="0.2">
      <c r="A158" s="30" t="s">
        <v>32</v>
      </c>
      <c r="B158" s="80" t="s">
        <v>69</v>
      </c>
      <c r="C158" s="80"/>
      <c r="D158" s="24">
        <f>D146</f>
        <v>916.08521839080481</v>
      </c>
    </row>
    <row r="159" spans="1:4" x14ac:dyDescent="0.2">
      <c r="A159" s="79" t="s">
        <v>70</v>
      </c>
      <c r="B159" s="79"/>
      <c r="C159" s="79"/>
      <c r="D159" s="23">
        <f>ROUND(SUM(D157:D158),2)</f>
        <v>5110.79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view="pageBreakPreview" zoomScaleNormal="100" zoomScaleSheetLayoutView="100" workbookViewId="0">
      <selection activeCell="G37" sqref="G37"/>
    </sheetView>
  </sheetViews>
  <sheetFormatPr defaultRowHeight="12.75" x14ac:dyDescent="0.2"/>
  <cols>
    <col min="1" max="1" width="15.7109375" style="1" customWidth="1"/>
    <col min="2" max="16384" width="9.140625" style="1"/>
  </cols>
  <sheetData>
    <row r="1" spans="1:13" x14ac:dyDescent="0.2">
      <c r="A1" s="40" t="s">
        <v>166</v>
      </c>
    </row>
    <row r="2" spans="1:13" x14ac:dyDescent="0.2">
      <c r="A2" s="1" t="s">
        <v>127</v>
      </c>
    </row>
    <row r="3" spans="1:13" x14ac:dyDescent="0.2">
      <c r="A3" s="1" t="s">
        <v>128</v>
      </c>
    </row>
    <row r="4" spans="1:13" x14ac:dyDescent="0.2">
      <c r="A4" s="1" t="s">
        <v>129</v>
      </c>
    </row>
    <row r="5" spans="1:13" x14ac:dyDescent="0.2">
      <c r="A5" s="1" t="s">
        <v>130</v>
      </c>
    </row>
    <row r="6" spans="1:13" x14ac:dyDescent="0.2">
      <c r="A6" s="1" t="s">
        <v>131</v>
      </c>
    </row>
    <row r="7" spans="1:13" x14ac:dyDescent="0.2">
      <c r="A7" s="1" t="s">
        <v>132</v>
      </c>
    </row>
    <row r="8" spans="1:13" x14ac:dyDescent="0.2">
      <c r="A8" s="1" t="s">
        <v>133</v>
      </c>
    </row>
    <row r="9" spans="1:13" x14ac:dyDescent="0.2">
      <c r="A9" s="1" t="s">
        <v>134</v>
      </c>
    </row>
    <row r="10" spans="1:13" x14ac:dyDescent="0.2">
      <c r="A10" s="1" t="s">
        <v>135</v>
      </c>
    </row>
    <row r="11" spans="1:13" x14ac:dyDescent="0.2">
      <c r="A11" s="1" t="s">
        <v>136</v>
      </c>
    </row>
    <row r="12" spans="1:13" x14ac:dyDescent="0.2">
      <c r="A12" s="1" t="s">
        <v>137</v>
      </c>
    </row>
    <row r="13" spans="1:13" x14ac:dyDescent="0.2">
      <c r="A13" s="40" t="s">
        <v>138</v>
      </c>
    </row>
    <row r="14" spans="1:13" s="42" customFormat="1" ht="24.95" customHeight="1" x14ac:dyDescent="0.25">
      <c r="A14" s="41" t="s">
        <v>139</v>
      </c>
      <c r="B14" s="98" t="str">
        <f>atendIII!A15</f>
        <v>Atendente III</v>
      </c>
      <c r="C14" s="97"/>
      <c r="D14" s="98" t="str">
        <f>atendIV!A15</f>
        <v>Atendente IV (Libras)</v>
      </c>
      <c r="E14" s="97"/>
      <c r="F14" s="98" t="str">
        <f>telef!A15</f>
        <v>Telefonista</v>
      </c>
      <c r="G14" s="97"/>
      <c r="H14" s="98" t="str">
        <f>telefb!A15</f>
        <v>Telefonista Bilíngue (Libras)</v>
      </c>
      <c r="I14" s="97"/>
      <c r="J14" s="98" t="str">
        <f>super!A15</f>
        <v>Supervisor</v>
      </c>
      <c r="K14" s="97"/>
      <c r="L14" s="98" t="str">
        <f>auxsuper!A15</f>
        <v>Auxiliar de Supervisão</v>
      </c>
      <c r="M14" s="97"/>
    </row>
    <row r="15" spans="1:13" x14ac:dyDescent="0.2">
      <c r="A15" s="43" t="s">
        <v>140</v>
      </c>
      <c r="B15" s="44"/>
      <c r="C15" s="45">
        <f>atendIII!D35</f>
        <v>1942.48</v>
      </c>
      <c r="D15" s="44"/>
      <c r="E15" s="45">
        <f>atendIV!D35</f>
        <v>2305.6</v>
      </c>
      <c r="F15" s="44"/>
      <c r="G15" s="45">
        <f>telef!D35</f>
        <v>1756.91</v>
      </c>
      <c r="H15" s="44"/>
      <c r="I15" s="45">
        <f>telefb!D35</f>
        <v>2157.85</v>
      </c>
      <c r="J15" s="44"/>
      <c r="K15" s="45">
        <f>super!D35</f>
        <v>2284.79</v>
      </c>
      <c r="L15" s="44"/>
      <c r="M15" s="45">
        <f>auxsuper!D35</f>
        <v>1950.9</v>
      </c>
    </row>
    <row r="16" spans="1:13" x14ac:dyDescent="0.2">
      <c r="A16" s="43" t="s">
        <v>141</v>
      </c>
      <c r="B16" s="44">
        <v>200</v>
      </c>
      <c r="C16" s="45">
        <f>ROUND(C15/B16,2)</f>
        <v>9.7100000000000009</v>
      </c>
      <c r="D16" s="44">
        <v>200</v>
      </c>
      <c r="E16" s="45">
        <f>ROUND(E15/D16,2)</f>
        <v>11.53</v>
      </c>
      <c r="F16" s="44">
        <v>150</v>
      </c>
      <c r="G16" s="45">
        <f>ROUND(G15/F16,2)</f>
        <v>11.71</v>
      </c>
      <c r="H16" s="44">
        <v>150</v>
      </c>
      <c r="I16" s="45">
        <f>ROUND(I15/H16,2)</f>
        <v>14.39</v>
      </c>
      <c r="J16" s="44">
        <v>200</v>
      </c>
      <c r="K16" s="45">
        <f>ROUND(K15/J16,2)</f>
        <v>11.42</v>
      </c>
      <c r="L16" s="44">
        <v>200</v>
      </c>
      <c r="M16" s="45">
        <f>ROUND(M15/L16,2)</f>
        <v>9.75</v>
      </c>
    </row>
    <row r="17" spans="1:13" x14ac:dyDescent="0.2">
      <c r="A17" s="43" t="s">
        <v>142</v>
      </c>
      <c r="B17" s="46">
        <f>atendIII!C45</f>
        <v>0.19440000000000002</v>
      </c>
      <c r="C17" s="45">
        <f>ROUND(C16*B17,2)</f>
        <v>1.89</v>
      </c>
      <c r="D17" s="46">
        <f>atendIV!C45</f>
        <v>0.19440000000000002</v>
      </c>
      <c r="E17" s="45">
        <f>ROUND(E16*D17,2)</f>
        <v>2.2400000000000002</v>
      </c>
      <c r="F17" s="46">
        <f>telef!C45</f>
        <v>0.19440000000000002</v>
      </c>
      <c r="G17" s="45">
        <f>ROUND(G16*F17,2)</f>
        <v>2.2799999999999998</v>
      </c>
      <c r="H17" s="46">
        <f>telefb!C45</f>
        <v>0.19440000000000002</v>
      </c>
      <c r="I17" s="45">
        <f>ROUND(I16*H17,2)</f>
        <v>2.8</v>
      </c>
      <c r="J17" s="46">
        <f>super!C45</f>
        <v>0.19440000000000002</v>
      </c>
      <c r="K17" s="45">
        <f>ROUND(K16*J17,2)</f>
        <v>2.2200000000000002</v>
      </c>
      <c r="L17" s="46">
        <f>auxsuper!C45</f>
        <v>0.19440000000000002</v>
      </c>
      <c r="M17" s="45">
        <f>ROUND(M16*L17,2)</f>
        <v>1.9</v>
      </c>
    </row>
    <row r="18" spans="1:13" x14ac:dyDescent="0.2">
      <c r="A18" s="43" t="s">
        <v>143</v>
      </c>
      <c r="B18" s="44"/>
      <c r="C18" s="45">
        <f>SUM(C16:C17)</f>
        <v>11.600000000000001</v>
      </c>
      <c r="D18" s="44"/>
      <c r="E18" s="45">
        <f>SUM(E16:E17)</f>
        <v>13.77</v>
      </c>
      <c r="F18" s="44"/>
      <c r="G18" s="45">
        <f>SUM(G16:G17)</f>
        <v>13.99</v>
      </c>
      <c r="H18" s="44"/>
      <c r="I18" s="45">
        <f>SUM(I16:I17)</f>
        <v>17.190000000000001</v>
      </c>
      <c r="J18" s="44"/>
      <c r="K18" s="45">
        <f>SUM(K16:K17)</f>
        <v>13.64</v>
      </c>
      <c r="L18" s="44"/>
      <c r="M18" s="45">
        <f>SUM(M16:M17)</f>
        <v>11.65</v>
      </c>
    </row>
    <row r="19" spans="1:13" x14ac:dyDescent="0.2">
      <c r="A19" s="43" t="s">
        <v>144</v>
      </c>
      <c r="B19" s="46">
        <f>atendIII!C59</f>
        <v>0.36800000000000005</v>
      </c>
      <c r="C19" s="45">
        <f>ROUND(C18*B19,2)</f>
        <v>4.2699999999999996</v>
      </c>
      <c r="D19" s="46">
        <f>atendIV!C59</f>
        <v>0.36800000000000005</v>
      </c>
      <c r="E19" s="45">
        <f>ROUND(E18*D19,2)</f>
        <v>5.07</v>
      </c>
      <c r="F19" s="46">
        <f>telef!C59</f>
        <v>0.36800000000000005</v>
      </c>
      <c r="G19" s="45">
        <f>ROUND(G18*F19,2)</f>
        <v>5.15</v>
      </c>
      <c r="H19" s="46">
        <f>telefb!C59</f>
        <v>0.36800000000000005</v>
      </c>
      <c r="I19" s="45">
        <f>ROUND(I18*H19,2)</f>
        <v>6.33</v>
      </c>
      <c r="J19" s="46">
        <f>super!C59</f>
        <v>0.36800000000000005</v>
      </c>
      <c r="K19" s="45">
        <f>ROUND(K18*J19,2)</f>
        <v>5.0199999999999996</v>
      </c>
      <c r="L19" s="46">
        <f>auxsuper!C59</f>
        <v>0.36800000000000005</v>
      </c>
      <c r="M19" s="45">
        <f>ROUND(M18*L19,2)</f>
        <v>4.29</v>
      </c>
    </row>
    <row r="20" spans="1:13" x14ac:dyDescent="0.2">
      <c r="A20" s="43" t="s">
        <v>145</v>
      </c>
      <c r="B20" s="44"/>
      <c r="C20" s="45">
        <f>SUM(C18:C19)</f>
        <v>15.870000000000001</v>
      </c>
      <c r="D20" s="44"/>
      <c r="E20" s="45">
        <f>SUM(E18:E19)</f>
        <v>18.84</v>
      </c>
      <c r="F20" s="44"/>
      <c r="G20" s="45">
        <f>SUM(G18:G19)</f>
        <v>19.14</v>
      </c>
      <c r="H20" s="44"/>
      <c r="I20" s="45">
        <f>SUM(I18:I19)</f>
        <v>23.520000000000003</v>
      </c>
      <c r="J20" s="44"/>
      <c r="K20" s="45">
        <f>SUM(K18:K19)</f>
        <v>18.66</v>
      </c>
      <c r="L20" s="44"/>
      <c r="M20" s="45">
        <f>SUM(M18:M19)</f>
        <v>15.940000000000001</v>
      </c>
    </row>
    <row r="21" spans="1:13" x14ac:dyDescent="0.2">
      <c r="A21" s="43" t="s">
        <v>146</v>
      </c>
      <c r="B21" s="46">
        <f>atendIII!C146</f>
        <v>0.21839080459770144</v>
      </c>
      <c r="C21" s="45">
        <f>ROUND(C20*B21,2)</f>
        <v>3.47</v>
      </c>
      <c r="D21" s="46">
        <f>atendIV!C146</f>
        <v>0.21839080459770144</v>
      </c>
      <c r="E21" s="45">
        <f>ROUND(E20*D21,2)</f>
        <v>4.1100000000000003</v>
      </c>
      <c r="F21" s="46">
        <f>telef!C146</f>
        <v>0.21839080459770144</v>
      </c>
      <c r="G21" s="45">
        <f>ROUND(G20*F21,2)</f>
        <v>4.18</v>
      </c>
      <c r="H21" s="46">
        <f>telefb!C146</f>
        <v>0.21839080459770144</v>
      </c>
      <c r="I21" s="45">
        <f>ROUND(I20*H21,2)</f>
        <v>5.14</v>
      </c>
      <c r="J21" s="46">
        <f>super!C146</f>
        <v>0.21839080459770144</v>
      </c>
      <c r="K21" s="45">
        <f>ROUND(K20*J21,2)</f>
        <v>4.08</v>
      </c>
      <c r="L21" s="46">
        <f>auxsuper!C146</f>
        <v>0.21839080459770144</v>
      </c>
      <c r="M21" s="45">
        <f>ROUND(M20*L21,2)</f>
        <v>3.48</v>
      </c>
    </row>
    <row r="22" spans="1:13" x14ac:dyDescent="0.2">
      <c r="A22" s="43" t="s">
        <v>147</v>
      </c>
      <c r="B22" s="44"/>
      <c r="C22" s="45">
        <f>SUM(C20:C21)</f>
        <v>19.34</v>
      </c>
      <c r="D22" s="44"/>
      <c r="E22" s="45">
        <f>SUM(E20:E21)</f>
        <v>22.95</v>
      </c>
      <c r="F22" s="44"/>
      <c r="G22" s="45">
        <f>SUM(G20:G21)</f>
        <v>23.32</v>
      </c>
      <c r="H22" s="44"/>
      <c r="I22" s="45">
        <f>SUM(I20:I21)</f>
        <v>28.660000000000004</v>
      </c>
      <c r="J22" s="44"/>
      <c r="K22" s="45">
        <f>SUM(K20:K21)</f>
        <v>22.740000000000002</v>
      </c>
      <c r="L22" s="44"/>
      <c r="M22" s="45">
        <f>SUM(M20:M21)</f>
        <v>19.420000000000002</v>
      </c>
    </row>
    <row r="23" spans="1:13" x14ac:dyDescent="0.2">
      <c r="A23" s="43" t="s">
        <v>148</v>
      </c>
      <c r="B23" s="47">
        <v>0.5</v>
      </c>
      <c r="C23" s="45">
        <f>ROUND(C22*(1+B23),2)</f>
        <v>29.01</v>
      </c>
      <c r="D23" s="47">
        <v>0.5</v>
      </c>
      <c r="E23" s="45">
        <f>ROUND(E22*(1+D23),2)</f>
        <v>34.43</v>
      </c>
      <c r="F23" s="47">
        <v>0.5</v>
      </c>
      <c r="G23" s="45">
        <f>ROUND(G22*(1+F23),2)</f>
        <v>34.979999999999997</v>
      </c>
      <c r="H23" s="47">
        <v>0.5</v>
      </c>
      <c r="I23" s="45">
        <f>ROUND(I22*(1+H23),2)</f>
        <v>42.99</v>
      </c>
      <c r="J23" s="47">
        <v>0.5</v>
      </c>
      <c r="K23" s="45">
        <f>ROUND(K22*(1+J23),2)</f>
        <v>34.11</v>
      </c>
      <c r="L23" s="47">
        <v>0.5</v>
      </c>
      <c r="M23" s="45">
        <f>ROUND(M22*(1+L23),2)</f>
        <v>29.13</v>
      </c>
    </row>
    <row r="24" spans="1:13" x14ac:dyDescent="0.2">
      <c r="A24" s="43" t="s">
        <v>149</v>
      </c>
      <c r="B24" s="47">
        <v>1</v>
      </c>
      <c r="C24" s="45">
        <f>ROUND(C22*(1+B24),2)</f>
        <v>38.68</v>
      </c>
      <c r="D24" s="47">
        <v>1</v>
      </c>
      <c r="E24" s="45">
        <f>ROUND(E22*(1+D24),2)</f>
        <v>45.9</v>
      </c>
      <c r="F24" s="47">
        <v>1</v>
      </c>
      <c r="G24" s="45">
        <f>ROUND(G22*(1+F24),2)</f>
        <v>46.64</v>
      </c>
      <c r="H24" s="47">
        <v>1</v>
      </c>
      <c r="I24" s="45">
        <f>ROUND(I22*(1+H24),2)</f>
        <v>57.32</v>
      </c>
      <c r="J24" s="47">
        <v>1</v>
      </c>
      <c r="K24" s="45">
        <f>ROUND(K22*(1+J24),2)</f>
        <v>45.48</v>
      </c>
      <c r="L24" s="47">
        <v>1</v>
      </c>
      <c r="M24" s="45">
        <f>ROUND(M22*(1+L24),2)</f>
        <v>38.840000000000003</v>
      </c>
    </row>
    <row r="25" spans="1:13" x14ac:dyDescent="0.2">
      <c r="A25" s="40" t="s">
        <v>191</v>
      </c>
      <c r="B25" s="48"/>
      <c r="C25" s="17"/>
      <c r="D25" s="48"/>
      <c r="E25" s="17"/>
      <c r="F25" s="48"/>
      <c r="G25" s="17"/>
      <c r="H25" s="48"/>
      <c r="I25" s="17"/>
      <c r="J25" s="48"/>
      <c r="K25" s="17"/>
      <c r="L25" s="48"/>
      <c r="M25" s="17"/>
    </row>
    <row r="26" spans="1:13" ht="24.75" customHeight="1" x14ac:dyDescent="0.2">
      <c r="A26" s="49" t="s">
        <v>139</v>
      </c>
      <c r="B26" s="98" t="str">
        <f>B14</f>
        <v>Atendente III</v>
      </c>
      <c r="C26" s="97"/>
      <c r="D26" s="98" t="str">
        <f t="shared" ref="D26" si="0">D14</f>
        <v>Atendente IV (Libras)</v>
      </c>
      <c r="E26" s="97"/>
      <c r="F26" s="98" t="str">
        <f t="shared" ref="F26" si="1">F14</f>
        <v>Telefonista</v>
      </c>
      <c r="G26" s="97"/>
      <c r="H26" s="98" t="str">
        <f t="shared" ref="H26" si="2">H14</f>
        <v>Telefonista Bilíngue (Libras)</v>
      </c>
      <c r="I26" s="97"/>
      <c r="J26" s="98" t="str">
        <f t="shared" ref="J26" si="3">J14</f>
        <v>Supervisor</v>
      </c>
      <c r="K26" s="97"/>
      <c r="L26" s="98" t="str">
        <f t="shared" ref="L26" si="4">L14</f>
        <v>Auxiliar de Supervisão</v>
      </c>
      <c r="M26" s="97"/>
    </row>
    <row r="27" spans="1:13" x14ac:dyDescent="0.2">
      <c r="A27" s="44" t="s">
        <v>170</v>
      </c>
      <c r="B27" s="44">
        <v>76</v>
      </c>
      <c r="C27" s="45">
        <f>B27*C23</f>
        <v>2204.7600000000002</v>
      </c>
      <c r="D27" s="44">
        <v>76</v>
      </c>
      <c r="E27" s="45">
        <f>D27*E23</f>
        <v>2616.6799999999998</v>
      </c>
      <c r="F27" s="44">
        <v>38</v>
      </c>
      <c r="G27" s="45">
        <f>F27*G23</f>
        <v>1329.2399999999998</v>
      </c>
      <c r="H27" s="44">
        <v>38</v>
      </c>
      <c r="I27" s="45">
        <f>H27*I23</f>
        <v>1633.6200000000001</v>
      </c>
      <c r="J27" s="44">
        <v>114</v>
      </c>
      <c r="K27" s="45">
        <f>J27*K23</f>
        <v>3888.54</v>
      </c>
      <c r="L27" s="44">
        <v>114</v>
      </c>
      <c r="M27" s="45">
        <f>L27*M23</f>
        <v>3320.8199999999997</v>
      </c>
    </row>
    <row r="28" spans="1:13" x14ac:dyDescent="0.2">
      <c r="A28" s="44" t="s">
        <v>150</v>
      </c>
      <c r="B28" s="44">
        <v>48</v>
      </c>
      <c r="C28" s="45">
        <f>B28*C23</f>
        <v>1392.48</v>
      </c>
      <c r="D28" s="44">
        <v>48</v>
      </c>
      <c r="E28" s="45">
        <f>D28*E23</f>
        <v>1652.6399999999999</v>
      </c>
      <c r="F28" s="44">
        <v>8</v>
      </c>
      <c r="G28" s="45">
        <f>F28*G23</f>
        <v>279.83999999999997</v>
      </c>
      <c r="H28" s="44">
        <v>8</v>
      </c>
      <c r="I28" s="45">
        <f>H28*I23</f>
        <v>343.92</v>
      </c>
      <c r="J28" s="44">
        <v>60</v>
      </c>
      <c r="K28" s="45">
        <f>J28*K23</f>
        <v>2046.6</v>
      </c>
      <c r="L28" s="44">
        <v>60</v>
      </c>
      <c r="M28" s="45">
        <f>L28*M23</f>
        <v>1747.8</v>
      </c>
    </row>
    <row r="29" spans="1:13" x14ac:dyDescent="0.2">
      <c r="A29" s="44" t="s">
        <v>151</v>
      </c>
      <c r="B29" s="44">
        <v>36</v>
      </c>
      <c r="C29" s="45">
        <f>B29*C24</f>
        <v>1392.48</v>
      </c>
      <c r="D29" s="44">
        <v>36</v>
      </c>
      <c r="E29" s="45">
        <f>D29*E24</f>
        <v>1652.3999999999999</v>
      </c>
      <c r="F29" s="44">
        <v>12</v>
      </c>
      <c r="G29" s="45">
        <f>F29*G24</f>
        <v>559.68000000000006</v>
      </c>
      <c r="H29" s="44">
        <v>12</v>
      </c>
      <c r="I29" s="45">
        <f>H29*I24</f>
        <v>687.84</v>
      </c>
      <c r="J29" s="44">
        <v>54</v>
      </c>
      <c r="K29" s="45">
        <f>J29*K24</f>
        <v>2455.9199999999996</v>
      </c>
      <c r="L29" s="44">
        <v>54</v>
      </c>
      <c r="M29" s="45">
        <f>L29*M24</f>
        <v>2097.36</v>
      </c>
    </row>
    <row r="30" spans="1:13" x14ac:dyDescent="0.2">
      <c r="A30" s="44" t="s">
        <v>167</v>
      </c>
      <c r="B30" s="44"/>
      <c r="C30" s="45">
        <f>SUM(C28:C29)</f>
        <v>2784.96</v>
      </c>
      <c r="D30" s="44"/>
      <c r="E30" s="45">
        <f>SUM(E28:E29)</f>
        <v>3305.04</v>
      </c>
      <c r="F30" s="44"/>
      <c r="G30" s="45">
        <f>SUM(G28:G29)</f>
        <v>839.52</v>
      </c>
      <c r="H30" s="44"/>
      <c r="I30" s="45">
        <f>SUM(I28:I29)</f>
        <v>1031.76</v>
      </c>
      <c r="J30" s="44"/>
      <c r="K30" s="45">
        <f>SUM(K28:K29)</f>
        <v>4502.5199999999995</v>
      </c>
      <c r="L30" s="44"/>
      <c r="M30" s="45">
        <f>SUM(M28:M29)</f>
        <v>3845.16</v>
      </c>
    </row>
    <row r="31" spans="1:13" x14ac:dyDescent="0.2">
      <c r="A31" s="44" t="s">
        <v>152</v>
      </c>
      <c r="B31" s="44">
        <f>atendIII!D15</f>
        <v>8</v>
      </c>
      <c r="C31" s="45">
        <f>C30*B31</f>
        <v>22279.68</v>
      </c>
      <c r="D31" s="44">
        <f>atendIV!D15</f>
        <v>2</v>
      </c>
      <c r="E31" s="45">
        <f>E30*D31</f>
        <v>6610.08</v>
      </c>
      <c r="F31" s="44">
        <f>telef!D15</f>
        <v>11</v>
      </c>
      <c r="G31" s="45">
        <f>G30*F31</f>
        <v>9234.7199999999993</v>
      </c>
      <c r="H31" s="44">
        <f>telefb!D15</f>
        <v>3</v>
      </c>
      <c r="I31" s="45">
        <f>I30*H31</f>
        <v>3095.2799999999997</v>
      </c>
      <c r="J31" s="44">
        <f>super!D15</f>
        <v>1</v>
      </c>
      <c r="K31" s="45">
        <f>K30*J31</f>
        <v>4502.5199999999995</v>
      </c>
      <c r="L31" s="44">
        <f>auxsuper!D15</f>
        <v>2</v>
      </c>
      <c r="M31" s="45">
        <f>M30*L31</f>
        <v>7690.32</v>
      </c>
    </row>
    <row r="32" spans="1:13" x14ac:dyDescent="0.2">
      <c r="A32" s="40" t="s">
        <v>153</v>
      </c>
      <c r="B32" s="44"/>
      <c r="C32" s="50"/>
      <c r="D32" s="44"/>
      <c r="E32" s="50"/>
      <c r="F32" s="44"/>
      <c r="G32" s="50"/>
      <c r="H32" s="44"/>
      <c r="I32" s="50"/>
      <c r="J32" s="44"/>
      <c r="K32" s="50"/>
      <c r="L32" s="44"/>
      <c r="M32" s="50"/>
    </row>
    <row r="33" spans="1:13" x14ac:dyDescent="0.2">
      <c r="A33" s="44" t="s">
        <v>154</v>
      </c>
      <c r="B33" s="44"/>
      <c r="C33" s="45">
        <v>5.6</v>
      </c>
      <c r="D33" s="44"/>
      <c r="E33" s="45">
        <v>5.6</v>
      </c>
      <c r="F33" s="44"/>
      <c r="G33" s="45">
        <v>5.6</v>
      </c>
      <c r="H33" s="44"/>
      <c r="I33" s="45">
        <v>5.6</v>
      </c>
      <c r="J33" s="44"/>
      <c r="K33" s="45">
        <v>5.6</v>
      </c>
      <c r="L33" s="44"/>
      <c r="M33" s="45">
        <v>5.6</v>
      </c>
    </row>
    <row r="34" spans="1:13" x14ac:dyDescent="0.2">
      <c r="A34" s="44" t="s">
        <v>155</v>
      </c>
      <c r="B34" s="44">
        <v>2</v>
      </c>
      <c r="C34" s="45">
        <f>C33*B34</f>
        <v>11.2</v>
      </c>
      <c r="D34" s="44">
        <v>2</v>
      </c>
      <c r="E34" s="45">
        <f t="shared" ref="E34" si="5">E33*D34</f>
        <v>11.2</v>
      </c>
      <c r="F34" s="44">
        <v>2</v>
      </c>
      <c r="G34" s="45">
        <f t="shared" ref="G34" si="6">G33*F34</f>
        <v>11.2</v>
      </c>
      <c r="H34" s="44">
        <v>2</v>
      </c>
      <c r="I34" s="45">
        <f t="shared" ref="I34" si="7">I33*H34</f>
        <v>11.2</v>
      </c>
      <c r="J34" s="44">
        <v>2</v>
      </c>
      <c r="K34" s="45">
        <f t="shared" ref="K34" si="8">K33*J34</f>
        <v>11.2</v>
      </c>
      <c r="L34" s="44">
        <v>2</v>
      </c>
      <c r="M34" s="45">
        <f t="shared" ref="M34" si="9">M33*L34</f>
        <v>11.2</v>
      </c>
    </row>
    <row r="35" spans="1:13" x14ac:dyDescent="0.2">
      <c r="A35" s="44" t="s">
        <v>146</v>
      </c>
      <c r="B35" s="46">
        <f>B21</f>
        <v>0.21839080459770144</v>
      </c>
      <c r="C35" s="45">
        <f>ROUND(C34*B35,2)</f>
        <v>2.4500000000000002</v>
      </c>
      <c r="D35" s="46">
        <f>D21</f>
        <v>0.21839080459770144</v>
      </c>
      <c r="E35" s="45">
        <f t="shared" ref="E35" si="10">ROUND(E34*D35,2)</f>
        <v>2.4500000000000002</v>
      </c>
      <c r="F35" s="46">
        <f>F21</f>
        <v>0.21839080459770144</v>
      </c>
      <c r="G35" s="45">
        <f t="shared" ref="G35" si="11">ROUND(G34*F35,2)</f>
        <v>2.4500000000000002</v>
      </c>
      <c r="H35" s="46">
        <f>H21</f>
        <v>0.21839080459770144</v>
      </c>
      <c r="I35" s="45">
        <f t="shared" ref="I35" si="12">ROUND(I34*H35,2)</f>
        <v>2.4500000000000002</v>
      </c>
      <c r="J35" s="46">
        <f>J21</f>
        <v>0.21839080459770144</v>
      </c>
      <c r="K35" s="45">
        <f t="shared" ref="K35" si="13">ROUND(K34*J35,2)</f>
        <v>2.4500000000000002</v>
      </c>
      <c r="L35" s="46">
        <f>L21</f>
        <v>0.21839080459770144</v>
      </c>
      <c r="M35" s="45">
        <f t="shared" ref="M35" si="14">ROUND(M34*L35,2)</f>
        <v>2.4500000000000002</v>
      </c>
    </row>
    <row r="36" spans="1:13" x14ac:dyDescent="0.2">
      <c r="A36" s="44" t="s">
        <v>156</v>
      </c>
      <c r="B36" s="44"/>
      <c r="C36" s="45">
        <f>SUM(C34:C35)</f>
        <v>13.649999999999999</v>
      </c>
      <c r="D36" s="44"/>
      <c r="E36" s="45">
        <f t="shared" ref="E36" si="15">SUM(E34:E35)</f>
        <v>13.649999999999999</v>
      </c>
      <c r="F36" s="44"/>
      <c r="G36" s="45">
        <f t="shared" ref="G36" si="16">SUM(G34:G35)</f>
        <v>13.649999999999999</v>
      </c>
      <c r="H36" s="44"/>
      <c r="I36" s="45">
        <f t="shared" ref="I36" si="17">SUM(I34:I35)</f>
        <v>13.649999999999999</v>
      </c>
      <c r="J36" s="44"/>
      <c r="K36" s="45">
        <f t="shared" ref="K36" si="18">SUM(K34:K35)</f>
        <v>13.649999999999999</v>
      </c>
      <c r="L36" s="44"/>
      <c r="M36" s="45">
        <f t="shared" ref="M36" si="19">SUM(M34:M35)</f>
        <v>13.649999999999999</v>
      </c>
    </row>
    <row r="37" spans="1:13" x14ac:dyDescent="0.2">
      <c r="A37" s="44" t="s">
        <v>150</v>
      </c>
      <c r="B37" s="44">
        <v>8</v>
      </c>
      <c r="C37" s="45">
        <f>C36*B37</f>
        <v>109.19999999999999</v>
      </c>
      <c r="D37" s="44">
        <v>8</v>
      </c>
      <c r="E37" s="45">
        <f t="shared" ref="E37" si="20">E36*D37</f>
        <v>109.19999999999999</v>
      </c>
      <c r="F37" s="44">
        <v>2</v>
      </c>
      <c r="G37" s="45">
        <f t="shared" ref="G37" si="21">G36*F37</f>
        <v>27.299999999999997</v>
      </c>
      <c r="H37" s="44">
        <v>2</v>
      </c>
      <c r="I37" s="45">
        <f t="shared" ref="I37" si="22">I36*H37</f>
        <v>27.299999999999997</v>
      </c>
      <c r="J37" s="44">
        <v>10</v>
      </c>
      <c r="K37" s="45">
        <f t="shared" ref="K37" si="23">K36*J37</f>
        <v>136.5</v>
      </c>
      <c r="L37" s="44">
        <v>10</v>
      </c>
      <c r="M37" s="45">
        <f t="shared" ref="M37" si="24">M36*L37</f>
        <v>136.5</v>
      </c>
    </row>
    <row r="38" spans="1:13" x14ac:dyDescent="0.2">
      <c r="A38" s="44" t="s">
        <v>151</v>
      </c>
      <c r="B38" s="44">
        <v>6</v>
      </c>
      <c r="C38" s="45">
        <f>C36*B38</f>
        <v>81.899999999999991</v>
      </c>
      <c r="D38" s="44">
        <v>6</v>
      </c>
      <c r="E38" s="45">
        <f t="shared" ref="E38" si="25">E36*D38</f>
        <v>81.899999999999991</v>
      </c>
      <c r="F38" s="44">
        <v>3</v>
      </c>
      <c r="G38" s="45">
        <f t="shared" ref="G38" si="26">G36*F38</f>
        <v>40.949999999999996</v>
      </c>
      <c r="H38" s="44">
        <v>3</v>
      </c>
      <c r="I38" s="45">
        <f t="shared" ref="I38" si="27">I36*H38</f>
        <v>40.949999999999996</v>
      </c>
      <c r="J38" s="44">
        <v>9</v>
      </c>
      <c r="K38" s="45">
        <f t="shared" ref="K38" si="28">K36*J38</f>
        <v>122.85</v>
      </c>
      <c r="L38" s="44">
        <v>9</v>
      </c>
      <c r="M38" s="45">
        <f t="shared" ref="M38" si="29">M36*L38</f>
        <v>122.85</v>
      </c>
    </row>
    <row r="39" spans="1:13" x14ac:dyDescent="0.2">
      <c r="A39" s="44" t="s">
        <v>168</v>
      </c>
      <c r="B39" s="44"/>
      <c r="C39" s="45">
        <f>SUM(C37:C38)</f>
        <v>191.09999999999997</v>
      </c>
      <c r="D39" s="44"/>
      <c r="E39" s="45">
        <f t="shared" ref="E39" si="30">SUM(E37:E38)</f>
        <v>191.09999999999997</v>
      </c>
      <c r="F39" s="44"/>
      <c r="G39" s="45">
        <f t="shared" ref="G39" si="31">SUM(G37:G38)</f>
        <v>68.25</v>
      </c>
      <c r="H39" s="44"/>
      <c r="I39" s="45">
        <f t="shared" ref="I39" si="32">SUM(I37:I38)</f>
        <v>68.25</v>
      </c>
      <c r="J39" s="44"/>
      <c r="K39" s="45">
        <f t="shared" ref="K39" si="33">SUM(K37:K38)</f>
        <v>259.35000000000002</v>
      </c>
      <c r="L39" s="44"/>
      <c r="M39" s="45">
        <f t="shared" ref="M39" si="34">SUM(M37:M38)</f>
        <v>259.35000000000002</v>
      </c>
    </row>
    <row r="40" spans="1:13" x14ac:dyDescent="0.2">
      <c r="A40" s="44" t="s">
        <v>157</v>
      </c>
      <c r="B40" s="44">
        <f>B31</f>
        <v>8</v>
      </c>
      <c r="C40" s="45">
        <f>C39*B40</f>
        <v>1528.7999999999997</v>
      </c>
      <c r="D40" s="44">
        <f>D31</f>
        <v>2</v>
      </c>
      <c r="E40" s="45">
        <f>E39*D40</f>
        <v>382.19999999999993</v>
      </c>
      <c r="F40" s="44">
        <f>F31</f>
        <v>11</v>
      </c>
      <c r="G40" s="45">
        <f>G39*F40</f>
        <v>750.75</v>
      </c>
      <c r="H40" s="44">
        <f>H31</f>
        <v>3</v>
      </c>
      <c r="I40" s="45">
        <f>I39*H40</f>
        <v>204.75</v>
      </c>
      <c r="J40" s="44">
        <f>J31</f>
        <v>1</v>
      </c>
      <c r="K40" s="45">
        <f>K39*J40</f>
        <v>259.35000000000002</v>
      </c>
      <c r="L40" s="44">
        <f>L31</f>
        <v>2</v>
      </c>
      <c r="M40" s="45">
        <f>M39*L40</f>
        <v>518.70000000000005</v>
      </c>
    </row>
    <row r="41" spans="1:13" x14ac:dyDescent="0.2">
      <c r="A41" s="40" t="s">
        <v>158</v>
      </c>
      <c r="B41" s="44"/>
      <c r="C41" s="50"/>
      <c r="D41" s="44"/>
      <c r="E41" s="50"/>
      <c r="F41" s="44"/>
      <c r="G41" s="50"/>
      <c r="H41" s="44"/>
      <c r="I41" s="50"/>
      <c r="J41" s="44"/>
      <c r="K41" s="50"/>
      <c r="L41" s="44"/>
      <c r="M41" s="50"/>
    </row>
    <row r="42" spans="1:13" x14ac:dyDescent="0.2">
      <c r="A42" s="44" t="s">
        <v>154</v>
      </c>
      <c r="B42" s="44"/>
      <c r="C42" s="45">
        <f>22*0.8</f>
        <v>17.600000000000001</v>
      </c>
      <c r="D42" s="44"/>
      <c r="E42" s="45">
        <f>22*0.8</f>
        <v>17.600000000000001</v>
      </c>
      <c r="F42" s="44"/>
      <c r="G42" s="45">
        <f>22*0.8</f>
        <v>17.600000000000001</v>
      </c>
      <c r="H42" s="44"/>
      <c r="I42" s="45">
        <f>22*0.8</f>
        <v>17.600000000000001</v>
      </c>
      <c r="J42" s="44"/>
      <c r="K42" s="45">
        <f>22*0.8</f>
        <v>17.600000000000001</v>
      </c>
      <c r="L42" s="44"/>
      <c r="M42" s="45">
        <f>22*0.8</f>
        <v>17.600000000000001</v>
      </c>
    </row>
    <row r="43" spans="1:13" x14ac:dyDescent="0.2">
      <c r="A43" s="44" t="s">
        <v>146</v>
      </c>
      <c r="B43" s="46">
        <f>B21</f>
        <v>0.21839080459770144</v>
      </c>
      <c r="C43" s="45">
        <f>ROUND(C42*B43,2)</f>
        <v>3.84</v>
      </c>
      <c r="D43" s="46">
        <f>D21</f>
        <v>0.21839080459770144</v>
      </c>
      <c r="E43" s="45">
        <f t="shared" ref="E43" si="35">ROUND(E42*D43,2)</f>
        <v>3.84</v>
      </c>
      <c r="F43" s="46">
        <f>F21</f>
        <v>0.21839080459770144</v>
      </c>
      <c r="G43" s="45">
        <f t="shared" ref="G43" si="36">ROUND(G42*F43,2)</f>
        <v>3.84</v>
      </c>
      <c r="H43" s="46">
        <f>H21</f>
        <v>0.21839080459770144</v>
      </c>
      <c r="I43" s="45">
        <f t="shared" ref="I43" si="37">ROUND(I42*H43,2)</f>
        <v>3.84</v>
      </c>
      <c r="J43" s="46">
        <f>J21</f>
        <v>0.21839080459770144</v>
      </c>
      <c r="K43" s="45">
        <f t="shared" ref="K43" si="38">ROUND(K42*J43,2)</f>
        <v>3.84</v>
      </c>
      <c r="L43" s="46">
        <f>L21</f>
        <v>0.21839080459770144</v>
      </c>
      <c r="M43" s="45">
        <f t="shared" ref="M43" si="39">ROUND(M42*L43,2)</f>
        <v>3.84</v>
      </c>
    </row>
    <row r="44" spans="1:13" x14ac:dyDescent="0.2">
      <c r="A44" s="44" t="s">
        <v>159</v>
      </c>
      <c r="B44" s="44"/>
      <c r="C44" s="45">
        <f>SUM(C42:C43)</f>
        <v>21.44</v>
      </c>
      <c r="D44" s="44"/>
      <c r="E44" s="45">
        <f t="shared" ref="E44" si="40">SUM(E42:E43)</f>
        <v>21.44</v>
      </c>
      <c r="F44" s="44"/>
      <c r="G44" s="45">
        <f t="shared" ref="G44" si="41">SUM(G42:G43)</f>
        <v>21.44</v>
      </c>
      <c r="H44" s="44"/>
      <c r="I44" s="45">
        <f t="shared" ref="I44" si="42">SUM(I42:I43)</f>
        <v>21.44</v>
      </c>
      <c r="J44" s="44"/>
      <c r="K44" s="45">
        <f t="shared" ref="K44" si="43">SUM(K42:K43)</f>
        <v>21.44</v>
      </c>
      <c r="L44" s="44"/>
      <c r="M44" s="45">
        <f t="shared" ref="M44" si="44">SUM(M42:M43)</f>
        <v>21.44</v>
      </c>
    </row>
    <row r="45" spans="1:13" x14ac:dyDescent="0.2">
      <c r="A45" s="44" t="s">
        <v>170</v>
      </c>
      <c r="B45" s="44">
        <v>0</v>
      </c>
      <c r="C45" s="45">
        <f>C44*B45</f>
        <v>0</v>
      </c>
      <c r="D45" s="44">
        <v>0</v>
      </c>
      <c r="E45" s="45">
        <f>E44*D45</f>
        <v>0</v>
      </c>
      <c r="F45" s="44">
        <v>19</v>
      </c>
      <c r="G45" s="45">
        <f>G44*F45</f>
        <v>407.36</v>
      </c>
      <c r="H45" s="44">
        <v>19</v>
      </c>
      <c r="I45" s="45">
        <f>I44*H45</f>
        <v>407.36</v>
      </c>
      <c r="J45" s="44">
        <v>0</v>
      </c>
      <c r="K45" s="45">
        <f>K44*J45</f>
        <v>0</v>
      </c>
      <c r="L45" s="44">
        <v>0</v>
      </c>
      <c r="M45" s="45">
        <f>M44*L45</f>
        <v>0</v>
      </c>
    </row>
    <row r="46" spans="1:13" x14ac:dyDescent="0.2">
      <c r="A46" s="44" t="s">
        <v>150</v>
      </c>
      <c r="B46" s="44">
        <v>8</v>
      </c>
      <c r="C46" s="45">
        <f>C44*B46</f>
        <v>171.52</v>
      </c>
      <c r="D46" s="44">
        <v>8</v>
      </c>
      <c r="E46" s="45">
        <f t="shared" ref="E46" si="45">E44*D46</f>
        <v>171.52</v>
      </c>
      <c r="F46" s="44">
        <v>2</v>
      </c>
      <c r="G46" s="45">
        <f t="shared" ref="G46" si="46">G44*F46</f>
        <v>42.88</v>
      </c>
      <c r="H46" s="44">
        <v>2</v>
      </c>
      <c r="I46" s="45">
        <f t="shared" ref="I46" si="47">I44*H46</f>
        <v>42.88</v>
      </c>
      <c r="J46" s="44">
        <v>10</v>
      </c>
      <c r="K46" s="45">
        <f t="shared" ref="K46" si="48">K44*J46</f>
        <v>214.4</v>
      </c>
      <c r="L46" s="44">
        <v>10</v>
      </c>
      <c r="M46" s="45">
        <f t="shared" ref="M46" si="49">M44*L46</f>
        <v>214.4</v>
      </c>
    </row>
    <row r="47" spans="1:13" x14ac:dyDescent="0.2">
      <c r="A47" s="44" t="s">
        <v>151</v>
      </c>
      <c r="B47" s="44">
        <v>6</v>
      </c>
      <c r="C47" s="45">
        <f>C44*B47</f>
        <v>128.64000000000001</v>
      </c>
      <c r="D47" s="44">
        <v>6</v>
      </c>
      <c r="E47" s="45">
        <f t="shared" ref="E47" si="50">E44*D47</f>
        <v>128.64000000000001</v>
      </c>
      <c r="F47" s="44">
        <v>3</v>
      </c>
      <c r="G47" s="45">
        <f t="shared" ref="G47" si="51">G44*F47</f>
        <v>64.320000000000007</v>
      </c>
      <c r="H47" s="44">
        <v>3</v>
      </c>
      <c r="I47" s="45">
        <f t="shared" ref="I47" si="52">I44*H47</f>
        <v>64.320000000000007</v>
      </c>
      <c r="J47" s="44">
        <v>9</v>
      </c>
      <c r="K47" s="45">
        <f t="shared" ref="K47" si="53">K44*J47</f>
        <v>192.96</v>
      </c>
      <c r="L47" s="44">
        <v>9</v>
      </c>
      <c r="M47" s="45">
        <f t="shared" ref="M47" si="54">M44*L47</f>
        <v>192.96</v>
      </c>
    </row>
    <row r="48" spans="1:13" x14ac:dyDescent="0.2">
      <c r="A48" s="44" t="s">
        <v>169</v>
      </c>
      <c r="B48" s="44"/>
      <c r="C48" s="45">
        <f>SUM(C45:C47)</f>
        <v>300.16000000000003</v>
      </c>
      <c r="D48" s="44"/>
      <c r="E48" s="45">
        <f>SUM(E45:E47)</f>
        <v>300.16000000000003</v>
      </c>
      <c r="F48" s="44"/>
      <c r="G48" s="45">
        <f>SUM(G45:G47)</f>
        <v>514.56000000000006</v>
      </c>
      <c r="H48" s="44"/>
      <c r="I48" s="45">
        <f>SUM(I45:I47)</f>
        <v>514.56000000000006</v>
      </c>
      <c r="J48" s="44"/>
      <c r="K48" s="45">
        <f>SUM(K45:K47)</f>
        <v>407.36</v>
      </c>
      <c r="L48" s="44"/>
      <c r="M48" s="45">
        <f>SUM(M45:M47)</f>
        <v>407.36</v>
      </c>
    </row>
    <row r="49" spans="1:13" x14ac:dyDescent="0.2">
      <c r="A49" s="44" t="s">
        <v>160</v>
      </c>
      <c r="B49" s="54">
        <f>B31</f>
        <v>8</v>
      </c>
      <c r="C49" s="45">
        <f>C48*B49</f>
        <v>2401.2800000000002</v>
      </c>
      <c r="D49" s="54">
        <f>D31</f>
        <v>2</v>
      </c>
      <c r="E49" s="45">
        <f>E48*D49</f>
        <v>600.32000000000005</v>
      </c>
      <c r="F49" s="54">
        <f>F31</f>
        <v>11</v>
      </c>
      <c r="G49" s="45">
        <f>G48*F49</f>
        <v>5660.1600000000008</v>
      </c>
      <c r="H49" s="54">
        <f>H31</f>
        <v>3</v>
      </c>
      <c r="I49" s="45">
        <f>I48*H49</f>
        <v>1543.6800000000003</v>
      </c>
      <c r="J49" s="54">
        <f>J31</f>
        <v>1</v>
      </c>
      <c r="K49" s="45">
        <f>K48*J49</f>
        <v>407.36</v>
      </c>
      <c r="L49" s="54">
        <f>L31</f>
        <v>2</v>
      </c>
      <c r="M49" s="45">
        <f>M48*L49</f>
        <v>814.72</v>
      </c>
    </row>
    <row r="50" spans="1:13" x14ac:dyDescent="0.2">
      <c r="A50" s="40" t="s">
        <v>161</v>
      </c>
    </row>
    <row r="51" spans="1:13" ht="24.75" customHeight="1" x14ac:dyDescent="0.2">
      <c r="A51" s="51" t="s">
        <v>139</v>
      </c>
      <c r="B51" s="96" t="str">
        <f>B14</f>
        <v>Atendente III</v>
      </c>
      <c r="C51" s="97"/>
      <c r="D51" s="96" t="str">
        <f>D14</f>
        <v>Atendente IV (Libras)</v>
      </c>
      <c r="E51" s="97"/>
      <c r="F51" s="96" t="str">
        <f>F14</f>
        <v>Telefonista</v>
      </c>
      <c r="G51" s="97"/>
      <c r="H51" s="96" t="str">
        <f>H14</f>
        <v>Telefonista Bilíngue (Libras)</v>
      </c>
      <c r="I51" s="97"/>
      <c r="J51" s="96" t="str">
        <f>J14</f>
        <v>Supervisor</v>
      </c>
      <c r="K51" s="97"/>
      <c r="L51" s="96" t="str">
        <f>L14</f>
        <v>Auxiliar de Supervisão</v>
      </c>
      <c r="M51" s="97"/>
    </row>
    <row r="52" spans="1:13" x14ac:dyDescent="0.2">
      <c r="A52" s="55" t="s">
        <v>191</v>
      </c>
      <c r="B52" s="44" t="s">
        <v>162</v>
      </c>
      <c r="C52" s="45">
        <f>C31</f>
        <v>22279.68</v>
      </c>
      <c r="D52" s="44" t="s">
        <v>162</v>
      </c>
      <c r="E52" s="45">
        <f>E31</f>
        <v>6610.08</v>
      </c>
      <c r="F52" s="44" t="s">
        <v>162</v>
      </c>
      <c r="G52" s="45">
        <f>G31</f>
        <v>9234.7199999999993</v>
      </c>
      <c r="H52" s="44" t="s">
        <v>162</v>
      </c>
      <c r="I52" s="45">
        <f>I31</f>
        <v>3095.2799999999997</v>
      </c>
      <c r="J52" s="44" t="s">
        <v>162</v>
      </c>
      <c r="K52" s="45">
        <f>K31</f>
        <v>4502.5199999999995</v>
      </c>
      <c r="L52" s="44" t="s">
        <v>162</v>
      </c>
      <c r="M52" s="45">
        <f>M31</f>
        <v>7690.32</v>
      </c>
    </row>
    <row r="53" spans="1:13" x14ac:dyDescent="0.2">
      <c r="A53" s="56">
        <f>SUM(B55:M55)</f>
        <v>68484.670000000013</v>
      </c>
      <c r="B53" s="44" t="s">
        <v>163</v>
      </c>
      <c r="C53" s="45">
        <f>C40</f>
        <v>1528.7999999999997</v>
      </c>
      <c r="D53" s="44" t="s">
        <v>163</v>
      </c>
      <c r="E53" s="45">
        <f>E40</f>
        <v>382.19999999999993</v>
      </c>
      <c r="F53" s="44" t="s">
        <v>163</v>
      </c>
      <c r="G53" s="45">
        <f>G40</f>
        <v>750.75</v>
      </c>
      <c r="H53" s="44" t="s">
        <v>163</v>
      </c>
      <c r="I53" s="45">
        <f>I40</f>
        <v>204.75</v>
      </c>
      <c r="J53" s="44" t="s">
        <v>163</v>
      </c>
      <c r="K53" s="45">
        <f>K40</f>
        <v>259.35000000000002</v>
      </c>
      <c r="L53" s="44" t="s">
        <v>163</v>
      </c>
      <c r="M53" s="45">
        <f>M40</f>
        <v>518.70000000000005</v>
      </c>
    </row>
    <row r="54" spans="1:13" x14ac:dyDescent="0.2">
      <c r="A54" s="52"/>
      <c r="B54" s="44" t="s">
        <v>164</v>
      </c>
      <c r="C54" s="45">
        <f>C49</f>
        <v>2401.2800000000002</v>
      </c>
      <c r="D54" s="44" t="s">
        <v>164</v>
      </c>
      <c r="E54" s="45">
        <f>E49</f>
        <v>600.32000000000005</v>
      </c>
      <c r="F54" s="44" t="s">
        <v>164</v>
      </c>
      <c r="G54" s="45">
        <f>G49</f>
        <v>5660.1600000000008</v>
      </c>
      <c r="H54" s="44" t="s">
        <v>164</v>
      </c>
      <c r="I54" s="45">
        <f>I49</f>
        <v>1543.6800000000003</v>
      </c>
      <c r="J54" s="44" t="s">
        <v>164</v>
      </c>
      <c r="K54" s="45">
        <f>K49</f>
        <v>407.36</v>
      </c>
      <c r="L54" s="44" t="s">
        <v>164</v>
      </c>
      <c r="M54" s="45">
        <f>M49</f>
        <v>814.72</v>
      </c>
    </row>
    <row r="55" spans="1:13" x14ac:dyDescent="0.2">
      <c r="A55" s="53"/>
      <c r="B55" s="44" t="s">
        <v>165</v>
      </c>
      <c r="C55" s="45">
        <f>SUM(C52:C54)</f>
        <v>26209.759999999998</v>
      </c>
      <c r="D55" s="44" t="s">
        <v>165</v>
      </c>
      <c r="E55" s="45">
        <f t="shared" ref="E55" si="55">SUM(E52:E54)</f>
        <v>7592.5999999999995</v>
      </c>
      <c r="F55" s="44" t="s">
        <v>165</v>
      </c>
      <c r="G55" s="45">
        <f t="shared" ref="G55" si="56">SUM(G52:G54)</f>
        <v>15645.630000000001</v>
      </c>
      <c r="H55" s="44" t="s">
        <v>165</v>
      </c>
      <c r="I55" s="45">
        <f t="shared" ref="I55" si="57">SUM(I52:I54)</f>
        <v>4843.71</v>
      </c>
      <c r="J55" s="44" t="s">
        <v>165</v>
      </c>
      <c r="K55" s="45">
        <f t="shared" ref="K55" si="58">SUM(K52:K54)</f>
        <v>5169.2299999999996</v>
      </c>
      <c r="L55" s="44" t="s">
        <v>165</v>
      </c>
      <c r="M55" s="45">
        <f t="shared" ref="M55" si="59">SUM(M52:M54)</f>
        <v>9023.74</v>
      </c>
    </row>
  </sheetData>
  <mergeCells count="18">
    <mergeCell ref="L14:M14"/>
    <mergeCell ref="B14:C14"/>
    <mergeCell ref="D14:E14"/>
    <mergeCell ref="F14:G14"/>
    <mergeCell ref="H14:I14"/>
    <mergeCell ref="J14:K14"/>
    <mergeCell ref="L51:M51"/>
    <mergeCell ref="B26:C26"/>
    <mergeCell ref="D26:E26"/>
    <mergeCell ref="F26:G26"/>
    <mergeCell ref="H26:I26"/>
    <mergeCell ref="J26:K26"/>
    <mergeCell ref="L26:M26"/>
    <mergeCell ref="B51:C51"/>
    <mergeCell ref="D51:E51"/>
    <mergeCell ref="F51:G51"/>
    <mergeCell ref="H51:I51"/>
    <mergeCell ref="J51:K51"/>
  </mergeCells>
  <pageMargins left="0.51181102362204722" right="0.51181102362204722" top="0.98425196850393704" bottom="0.78740157480314965" header="0.31496062992125984" footer="0.31496062992125984"/>
  <pageSetup paperSize="9" scale="73" fitToHeight="0" orientation="portrait" r:id="rId1"/>
  <headerFooter>
    <oddHeader>&amp;C&amp;G</oddHeader>
    <oddFooter>&amp;L&amp;"-,Negrito"Documento elaborado em &amp;D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zoomScaleSheetLayoutView="100" workbookViewId="0">
      <selection activeCell="F39" sqref="F39"/>
    </sheetView>
  </sheetViews>
  <sheetFormatPr defaultRowHeight="12.75" x14ac:dyDescent="0.25"/>
  <cols>
    <col min="1" max="1" width="5.7109375" style="58" customWidth="1"/>
    <col min="2" max="2" width="25.7109375" style="58" customWidth="1"/>
    <col min="3" max="3" width="15.7109375" style="58" customWidth="1"/>
    <col min="4" max="4" width="10.7109375" style="58" customWidth="1"/>
    <col min="5" max="6" width="15.7109375" style="58" customWidth="1"/>
    <col min="7" max="16384" width="9.140625" style="58"/>
  </cols>
  <sheetData>
    <row r="1" spans="1:6" x14ac:dyDescent="0.25">
      <c r="A1" s="57" t="s">
        <v>171</v>
      </c>
    </row>
    <row r="3" spans="1:6" x14ac:dyDescent="0.25">
      <c r="A3" s="57" t="s">
        <v>172</v>
      </c>
    </row>
    <row r="4" spans="1:6" s="60" customFormat="1" ht="25.5" x14ac:dyDescent="0.25">
      <c r="A4" s="59" t="s">
        <v>173</v>
      </c>
      <c r="B4" s="59" t="s">
        <v>174</v>
      </c>
      <c r="C4" s="59" t="s">
        <v>175</v>
      </c>
      <c r="D4" s="59" t="s">
        <v>176</v>
      </c>
      <c r="E4" s="59" t="s">
        <v>177</v>
      </c>
      <c r="F4" s="59" t="s">
        <v>178</v>
      </c>
    </row>
    <row r="5" spans="1:6" x14ac:dyDescent="0.25">
      <c r="A5" s="61">
        <v>1</v>
      </c>
      <c r="B5" s="62" t="str">
        <f>atendIII!A15</f>
        <v>Atendente III</v>
      </c>
      <c r="C5" s="63">
        <f>atendIII!D159</f>
        <v>5193.88</v>
      </c>
      <c r="D5" s="61">
        <f>atendIII!D15</f>
        <v>8</v>
      </c>
      <c r="E5" s="63">
        <f>C5*D5</f>
        <v>41551.040000000001</v>
      </c>
      <c r="F5" s="63">
        <f>E5*12</f>
        <v>498612.47999999998</v>
      </c>
    </row>
    <row r="6" spans="1:6" x14ac:dyDescent="0.25">
      <c r="A6" s="61">
        <v>2</v>
      </c>
      <c r="B6" s="62" t="str">
        <f>atendIV!A15</f>
        <v>Atendente IV (Libras)</v>
      </c>
      <c r="C6" s="63">
        <f>atendIV!D159</f>
        <v>5931.44</v>
      </c>
      <c r="D6" s="61">
        <f>atendIV!D15</f>
        <v>2</v>
      </c>
      <c r="E6" s="63">
        <f t="shared" ref="E6:E10" si="0">C6*D6</f>
        <v>11862.88</v>
      </c>
      <c r="F6" s="63">
        <f t="shared" ref="F6:F10" si="1">E6*12</f>
        <v>142354.56</v>
      </c>
    </row>
    <row r="7" spans="1:6" x14ac:dyDescent="0.25">
      <c r="A7" s="61">
        <v>3</v>
      </c>
      <c r="B7" s="62" t="str">
        <f>telef!A15</f>
        <v>Telefonista</v>
      </c>
      <c r="C7" s="63">
        <f>telef!D159</f>
        <v>4338.6499999999996</v>
      </c>
      <c r="D7" s="61">
        <f>telef!D15</f>
        <v>11</v>
      </c>
      <c r="E7" s="63">
        <f t="shared" si="0"/>
        <v>47725.149999999994</v>
      </c>
      <c r="F7" s="63">
        <f t="shared" si="1"/>
        <v>572701.79999999993</v>
      </c>
    </row>
    <row r="8" spans="1:6" x14ac:dyDescent="0.25">
      <c r="A8" s="61">
        <v>4</v>
      </c>
      <c r="B8" s="62" t="str">
        <f>telefb!A15</f>
        <v>Telefonista Bilíngue (Libras)</v>
      </c>
      <c r="C8" s="63">
        <f>telefb!D159</f>
        <v>5152.9799999999996</v>
      </c>
      <c r="D8" s="61">
        <f>telefb!D15</f>
        <v>3</v>
      </c>
      <c r="E8" s="63">
        <f t="shared" si="0"/>
        <v>15458.939999999999</v>
      </c>
      <c r="F8" s="63">
        <f t="shared" si="1"/>
        <v>185507.27999999997</v>
      </c>
    </row>
    <row r="9" spans="1:6" x14ac:dyDescent="0.25">
      <c r="A9" s="61">
        <v>5</v>
      </c>
      <c r="B9" s="62" t="str">
        <f>super!A15</f>
        <v>Supervisor</v>
      </c>
      <c r="C9" s="63">
        <f>super!D159</f>
        <v>5889.17</v>
      </c>
      <c r="D9" s="61">
        <f>super!D15</f>
        <v>1</v>
      </c>
      <c r="E9" s="63">
        <f t="shared" si="0"/>
        <v>5889.17</v>
      </c>
      <c r="F9" s="63">
        <f t="shared" si="1"/>
        <v>70670.040000000008</v>
      </c>
    </row>
    <row r="10" spans="1:6" x14ac:dyDescent="0.25">
      <c r="A10" s="61">
        <v>6</v>
      </c>
      <c r="B10" s="62" t="str">
        <f>auxsuper!A15</f>
        <v>Auxiliar de Supervisão</v>
      </c>
      <c r="C10" s="63">
        <f>auxsuper!D159</f>
        <v>5210.9399999999996</v>
      </c>
      <c r="D10" s="61">
        <f>auxsuper!D15</f>
        <v>2</v>
      </c>
      <c r="E10" s="63">
        <f t="shared" si="0"/>
        <v>10421.879999999999</v>
      </c>
      <c r="F10" s="63">
        <f t="shared" si="1"/>
        <v>125062.56</v>
      </c>
    </row>
    <row r="11" spans="1:6" x14ac:dyDescent="0.25">
      <c r="F11" s="63">
        <f>SUM(F5:F10)</f>
        <v>1594908.72</v>
      </c>
    </row>
    <row r="13" spans="1:6" x14ac:dyDescent="0.25">
      <c r="A13" s="57" t="s">
        <v>179</v>
      </c>
    </row>
    <row r="14" spans="1:6" s="64" customFormat="1" ht="25.5" x14ac:dyDescent="0.25">
      <c r="A14" s="59" t="s">
        <v>173</v>
      </c>
      <c r="B14" s="59" t="s">
        <v>174</v>
      </c>
      <c r="C14" s="59" t="s">
        <v>175</v>
      </c>
      <c r="D14" s="59" t="s">
        <v>176</v>
      </c>
      <c r="E14" s="59" t="s">
        <v>177</v>
      </c>
      <c r="F14" s="59" t="s">
        <v>190</v>
      </c>
    </row>
    <row r="15" spans="1:6" x14ac:dyDescent="0.25">
      <c r="A15" s="61">
        <v>7</v>
      </c>
      <c r="B15" s="62" t="str">
        <f>atendIIIad!A15</f>
        <v>Atendente III - Até 61 dias</v>
      </c>
      <c r="C15" s="63">
        <f>atendIIIad!D159</f>
        <v>5094.5600000000004</v>
      </c>
      <c r="D15" s="61">
        <f>atendIIIad!D15</f>
        <v>40</v>
      </c>
      <c r="E15" s="63">
        <f>C15*D15</f>
        <v>203782.40000000002</v>
      </c>
      <c r="F15" s="63">
        <f>E15*2</f>
        <v>407564.80000000005</v>
      </c>
    </row>
    <row r="16" spans="1:6" ht="25.5" x14ac:dyDescent="0.25">
      <c r="A16" s="61">
        <v>8</v>
      </c>
      <c r="B16" s="62" t="str">
        <f>atendIVad!A15</f>
        <v>Atendente IV (Libras) - Até 61 dias</v>
      </c>
      <c r="C16" s="63">
        <f>atendIVad!D159</f>
        <v>5794.72</v>
      </c>
      <c r="D16" s="61">
        <f>atendIVad!D15</f>
        <v>2</v>
      </c>
      <c r="E16" s="63">
        <f t="shared" ref="E16:E19" si="2">C16*D16</f>
        <v>11589.44</v>
      </c>
      <c r="F16" s="63">
        <f t="shared" ref="F16:F19" si="3">E16*2</f>
        <v>23178.880000000001</v>
      </c>
    </row>
    <row r="17" spans="1:6" x14ac:dyDescent="0.25">
      <c r="A17" s="61">
        <v>9</v>
      </c>
      <c r="B17" s="62" t="str">
        <f>telefad!A15</f>
        <v>Telefonista - Até 61 dias</v>
      </c>
      <c r="C17" s="63">
        <f>telefad!D159</f>
        <v>4264.96</v>
      </c>
      <c r="D17" s="61">
        <f>telefad!D15</f>
        <v>11</v>
      </c>
      <c r="E17" s="63">
        <f t="shared" si="2"/>
        <v>46914.559999999998</v>
      </c>
      <c r="F17" s="63">
        <f t="shared" si="3"/>
        <v>93829.119999999995</v>
      </c>
    </row>
    <row r="18" spans="1:6" ht="25.5" x14ac:dyDescent="0.25">
      <c r="A18" s="61">
        <v>10</v>
      </c>
      <c r="B18" s="62" t="str">
        <f>telefbad!A15</f>
        <v>Telefonista Bilíngue (Libras) - Até 61 dias</v>
      </c>
      <c r="C18" s="63">
        <f>telefbad!D159</f>
        <v>5038.0200000000004</v>
      </c>
      <c r="D18" s="61">
        <f>telefbad!D15</f>
        <v>2</v>
      </c>
      <c r="E18" s="63">
        <f t="shared" si="2"/>
        <v>10076.040000000001</v>
      </c>
      <c r="F18" s="63">
        <f t="shared" si="3"/>
        <v>20152.080000000002</v>
      </c>
    </row>
    <row r="19" spans="1:6" ht="25.5" x14ac:dyDescent="0.25">
      <c r="A19" s="61">
        <v>11</v>
      </c>
      <c r="B19" s="62" t="str">
        <f>auxsuperad!A15</f>
        <v>Auxiliar de Supervisão - Até 61 dias</v>
      </c>
      <c r="C19" s="63">
        <f>auxsuperad!D159</f>
        <v>5110.79</v>
      </c>
      <c r="D19" s="61">
        <f>auxsuperad!D15</f>
        <v>2</v>
      </c>
      <c r="E19" s="63">
        <f t="shared" si="2"/>
        <v>10221.58</v>
      </c>
      <c r="F19" s="63">
        <f t="shared" si="3"/>
        <v>20443.16</v>
      </c>
    </row>
    <row r="20" spans="1:6" x14ac:dyDescent="0.25">
      <c r="F20" s="63">
        <f>SUM(F15:F19)</f>
        <v>565168.04</v>
      </c>
    </row>
    <row r="22" spans="1:6" x14ac:dyDescent="0.25">
      <c r="A22" s="57" t="s">
        <v>180</v>
      </c>
    </row>
    <row r="23" spans="1:6" x14ac:dyDescent="0.25">
      <c r="A23" s="57" t="s">
        <v>181</v>
      </c>
      <c r="D23" s="57" t="s">
        <v>182</v>
      </c>
    </row>
    <row r="24" spans="1:6" x14ac:dyDescent="0.25">
      <c r="A24" s="65" t="s">
        <v>183</v>
      </c>
      <c r="B24" s="66"/>
      <c r="C24" s="63">
        <f>F11</f>
        <v>1594908.72</v>
      </c>
      <c r="D24" s="65" t="s">
        <v>183</v>
      </c>
      <c r="E24" s="66"/>
      <c r="F24" s="63">
        <f>F11</f>
        <v>1594908.72</v>
      </c>
    </row>
    <row r="25" spans="1:6" x14ac:dyDescent="0.25">
      <c r="A25" s="65" t="s">
        <v>184</v>
      </c>
      <c r="B25" s="66"/>
      <c r="C25" s="63">
        <v>0</v>
      </c>
      <c r="D25" s="65" t="s">
        <v>184</v>
      </c>
      <c r="E25" s="66"/>
      <c r="F25" s="63">
        <f>F20</f>
        <v>565168.04</v>
      </c>
    </row>
    <row r="26" spans="1:6" x14ac:dyDescent="0.25">
      <c r="A26" s="65" t="s">
        <v>185</v>
      </c>
      <c r="B26" s="66"/>
      <c r="C26" s="63">
        <v>0</v>
      </c>
      <c r="D26" s="65" t="s">
        <v>185</v>
      </c>
      <c r="E26" s="66"/>
      <c r="F26" s="63">
        <f>horaextra!A53</f>
        <v>68484.670000000013</v>
      </c>
    </row>
    <row r="27" spans="1:6" x14ac:dyDescent="0.25">
      <c r="A27" s="65" t="s">
        <v>186</v>
      </c>
      <c r="B27" s="66"/>
      <c r="C27" s="63">
        <f>SUM(C24:C26)</f>
        <v>1594908.72</v>
      </c>
      <c r="D27" s="65" t="s">
        <v>187</v>
      </c>
      <c r="E27" s="66"/>
      <c r="F27" s="63">
        <f>SUM(F24:F26)</f>
        <v>2228561.4299999997</v>
      </c>
    </row>
    <row r="28" spans="1:6" x14ac:dyDescent="0.25">
      <c r="A28" s="67" t="s">
        <v>188</v>
      </c>
      <c r="B28" s="68"/>
      <c r="C28" s="68"/>
      <c r="D28" s="69"/>
      <c r="E28" s="70" t="s">
        <v>189</v>
      </c>
      <c r="F28" s="71">
        <f>C27+F27</f>
        <v>3823470.1499999994</v>
      </c>
    </row>
  </sheetData>
  <pageMargins left="0.511811024" right="0.511811024" top="0.99020833333333336" bottom="0.78740157499999996" header="0.31496062000000002" footer="0.31496062000000002"/>
  <pageSetup paperSize="9" scale="97" orientation="portrait" r:id="rId1"/>
  <headerFooter>
    <oddHeader>&amp;C&amp;G</oddHeader>
    <oddFooter>&amp;L&amp;"-,Negrito"Documento elaborado em 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120" zoomScale="115" zoomScaleNormal="115" workbookViewId="0">
      <selection activeCell="D159" sqref="D15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2" t="s">
        <v>102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x14ac:dyDescent="0.2">
      <c r="A5" s="72" t="s">
        <v>103</v>
      </c>
      <c r="B5" s="73"/>
      <c r="C5" s="73"/>
      <c r="D5" s="74"/>
    </row>
    <row r="6" spans="1:4" x14ac:dyDescent="0.2">
      <c r="A6" s="33" t="s">
        <v>4</v>
      </c>
      <c r="B6" s="34" t="s">
        <v>99</v>
      </c>
      <c r="C6" s="35"/>
      <c r="D6" s="36" t="s">
        <v>105</v>
      </c>
    </row>
    <row r="7" spans="1:4" x14ac:dyDescent="0.2">
      <c r="A7" s="33" t="s">
        <v>6</v>
      </c>
      <c r="B7" s="34" t="s">
        <v>100</v>
      </c>
      <c r="C7" s="35"/>
      <c r="D7" s="38" t="s">
        <v>106</v>
      </c>
    </row>
    <row r="8" spans="1:4" x14ac:dyDescent="0.2">
      <c r="A8" s="33" t="s">
        <v>8</v>
      </c>
      <c r="B8" s="34" t="s">
        <v>101</v>
      </c>
      <c r="C8" s="35"/>
      <c r="D8" s="37">
        <v>45723</v>
      </c>
    </row>
    <row r="9" spans="1:4" x14ac:dyDescent="0.2">
      <c r="A9" s="33" t="s">
        <v>10</v>
      </c>
      <c r="B9" s="83" t="s">
        <v>108</v>
      </c>
      <c r="C9" s="84"/>
      <c r="D9" s="85"/>
    </row>
    <row r="10" spans="1:4" x14ac:dyDescent="0.2">
      <c r="A10" s="33" t="s">
        <v>12</v>
      </c>
      <c r="B10" s="83" t="s">
        <v>107</v>
      </c>
      <c r="C10" s="84"/>
      <c r="D10" s="85"/>
    </row>
    <row r="12" spans="1:4" x14ac:dyDescent="0.2">
      <c r="A12" s="82" t="s">
        <v>87</v>
      </c>
      <c r="B12" s="82"/>
      <c r="C12" s="82"/>
      <c r="D12" s="82"/>
    </row>
    <row r="13" spans="1:4" x14ac:dyDescent="0.2">
      <c r="A13" s="2"/>
      <c r="B13" s="2"/>
      <c r="C13" s="2"/>
      <c r="D13" s="2"/>
    </row>
    <row r="14" spans="1:4" ht="38.25" x14ac:dyDescent="0.2">
      <c r="A14" s="75" t="s">
        <v>88</v>
      </c>
      <c r="B14" s="75"/>
      <c r="C14" s="32" t="s">
        <v>89</v>
      </c>
      <c r="D14" s="27" t="s">
        <v>90</v>
      </c>
    </row>
    <row r="15" spans="1:4" x14ac:dyDescent="0.2">
      <c r="A15" s="76" t="s">
        <v>115</v>
      </c>
      <c r="B15" s="76"/>
      <c r="C15" s="39" t="s">
        <v>110</v>
      </c>
      <c r="D15" s="39">
        <v>2</v>
      </c>
    </row>
    <row r="17" spans="1:4" x14ac:dyDescent="0.2">
      <c r="A17" s="82" t="s">
        <v>71</v>
      </c>
      <c r="B17" s="82"/>
      <c r="C17" s="82"/>
      <c r="D17" s="8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77" t="s">
        <v>115</v>
      </c>
      <c r="D19" s="78"/>
    </row>
    <row r="20" spans="1:4" x14ac:dyDescent="0.2">
      <c r="A20" s="5">
        <v>2</v>
      </c>
      <c r="B20" s="5" t="s">
        <v>91</v>
      </c>
      <c r="C20" s="77" t="s">
        <v>111</v>
      </c>
      <c r="D20" s="78"/>
    </row>
    <row r="21" spans="1:4" x14ac:dyDescent="0.2">
      <c r="A21" s="5">
        <v>3</v>
      </c>
      <c r="B21" s="5" t="s">
        <v>73</v>
      </c>
      <c r="C21" s="81">
        <v>2305.6</v>
      </c>
      <c r="D21" s="78"/>
    </row>
    <row r="22" spans="1:4" x14ac:dyDescent="0.2">
      <c r="A22" s="5">
        <v>4</v>
      </c>
      <c r="B22" s="5" t="s">
        <v>74</v>
      </c>
      <c r="C22" s="77"/>
      <c r="D22" s="78"/>
    </row>
    <row r="23" spans="1:4" x14ac:dyDescent="0.2">
      <c r="A23" s="5">
        <v>5</v>
      </c>
      <c r="B23" s="5" t="s">
        <v>75</v>
      </c>
      <c r="C23" s="77"/>
      <c r="D23" s="78"/>
    </row>
    <row r="25" spans="1:4" x14ac:dyDescent="0.2">
      <c r="A25" s="82" t="s">
        <v>1</v>
      </c>
      <c r="B25" s="82"/>
      <c r="C25" s="82"/>
      <c r="D25" s="82"/>
    </row>
    <row r="27" spans="1:4" x14ac:dyDescent="0.2">
      <c r="A27" s="30">
        <v>1</v>
      </c>
      <c r="B27" s="79" t="s">
        <v>2</v>
      </c>
      <c r="C27" s="79"/>
      <c r="D27" s="30" t="s">
        <v>3</v>
      </c>
    </row>
    <row r="28" spans="1:4" x14ac:dyDescent="0.2">
      <c r="A28" s="32" t="s">
        <v>4</v>
      </c>
      <c r="B28" s="80" t="s">
        <v>5</v>
      </c>
      <c r="C28" s="80"/>
      <c r="D28" s="13">
        <v>2305.6</v>
      </c>
    </row>
    <row r="29" spans="1:4" x14ac:dyDescent="0.2">
      <c r="A29" s="32" t="s">
        <v>6</v>
      </c>
      <c r="B29" s="80" t="s">
        <v>7</v>
      </c>
      <c r="C29" s="80"/>
      <c r="D29" s="13"/>
    </row>
    <row r="30" spans="1:4" x14ac:dyDescent="0.2">
      <c r="A30" s="32" t="s">
        <v>8</v>
      </c>
      <c r="B30" s="80" t="s">
        <v>9</v>
      </c>
      <c r="C30" s="80"/>
      <c r="D30" s="13"/>
    </row>
    <row r="31" spans="1:4" x14ac:dyDescent="0.2">
      <c r="A31" s="32" t="s">
        <v>10</v>
      </c>
      <c r="B31" s="80" t="s">
        <v>11</v>
      </c>
      <c r="C31" s="80"/>
      <c r="D31" s="13"/>
    </row>
    <row r="32" spans="1:4" x14ac:dyDescent="0.2">
      <c r="A32" s="32" t="s">
        <v>12</v>
      </c>
      <c r="B32" s="80" t="s">
        <v>13</v>
      </c>
      <c r="C32" s="80"/>
      <c r="D32" s="13"/>
    </row>
    <row r="33" spans="1:4" x14ac:dyDescent="0.2">
      <c r="A33" s="32"/>
      <c r="B33" s="80"/>
      <c r="C33" s="80"/>
      <c r="D33" s="13"/>
    </row>
    <row r="34" spans="1:4" x14ac:dyDescent="0.2">
      <c r="A34" s="32" t="s">
        <v>14</v>
      </c>
      <c r="B34" s="80" t="s">
        <v>15</v>
      </c>
      <c r="C34" s="80"/>
      <c r="D34" s="13"/>
    </row>
    <row r="35" spans="1:4" x14ac:dyDescent="0.2">
      <c r="A35" s="79" t="s">
        <v>16</v>
      </c>
      <c r="B35" s="79"/>
      <c r="C35" s="79"/>
      <c r="D35" s="20">
        <f>SUM(D28:D34)</f>
        <v>2305.6</v>
      </c>
    </row>
    <row r="38" spans="1:4" x14ac:dyDescent="0.2">
      <c r="A38" s="82" t="s">
        <v>17</v>
      </c>
      <c r="B38" s="82"/>
      <c r="C38" s="82"/>
      <c r="D38" s="82"/>
    </row>
    <row r="39" spans="1:4" x14ac:dyDescent="0.2">
      <c r="A39" s="3"/>
    </row>
    <row r="40" spans="1:4" x14ac:dyDescent="0.2">
      <c r="A40" s="92" t="s">
        <v>18</v>
      </c>
      <c r="B40" s="92"/>
      <c r="C40" s="92"/>
      <c r="D40" s="92"/>
    </row>
    <row r="42" spans="1:4" x14ac:dyDescent="0.2">
      <c r="A42" s="30" t="s">
        <v>19</v>
      </c>
      <c r="B42" s="79" t="s">
        <v>20</v>
      </c>
      <c r="C42" s="7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192.05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256.14999999999998</v>
      </c>
    </row>
    <row r="45" spans="1:4" x14ac:dyDescent="0.2">
      <c r="A45" s="79" t="s">
        <v>16</v>
      </c>
      <c r="B45" s="79"/>
      <c r="C45" s="28">
        <f>SUM(C43:C44)</f>
        <v>0.19440000000000002</v>
      </c>
      <c r="D45" s="19">
        <f>SUM(D43:D44)</f>
        <v>448.2</v>
      </c>
    </row>
    <row r="48" spans="1:4" x14ac:dyDescent="0.2">
      <c r="A48" s="95" t="s">
        <v>23</v>
      </c>
      <c r="B48" s="95"/>
      <c r="C48" s="95"/>
      <c r="D48" s="95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550.76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68.84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82.61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41.3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27.53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16.52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5.5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220.3</v>
      </c>
    </row>
    <row r="59" spans="1:4" x14ac:dyDescent="0.2">
      <c r="A59" s="79" t="s">
        <v>37</v>
      </c>
      <c r="B59" s="79"/>
      <c r="C59" s="15">
        <f>SUM(C51:C58)</f>
        <v>0.36800000000000005</v>
      </c>
      <c r="D59" s="19">
        <f>SUM(D51:D58)</f>
        <v>1013.3599999999999</v>
      </c>
    </row>
    <row r="62" spans="1:4" x14ac:dyDescent="0.2">
      <c r="A62" s="92" t="s">
        <v>38</v>
      </c>
      <c r="B62" s="92"/>
      <c r="C62" s="92"/>
      <c r="D62" s="92"/>
    </row>
    <row r="64" spans="1:4" x14ac:dyDescent="0.2">
      <c r="A64" s="30" t="s">
        <v>39</v>
      </c>
      <c r="B64" s="91" t="s">
        <v>40</v>
      </c>
      <c r="C64" s="91"/>
      <c r="D64" s="30" t="s">
        <v>3</v>
      </c>
    </row>
    <row r="65" spans="1:5" x14ac:dyDescent="0.2">
      <c r="A65" s="32" t="s">
        <v>4</v>
      </c>
      <c r="B65" s="80" t="s">
        <v>41</v>
      </c>
      <c r="C65" s="80"/>
      <c r="D65" s="13">
        <f>IF((22*2*5.6)-(D28*0.06)&gt;0,(22*2*5.6)-(D28*0.06),0)</f>
        <v>108.06399999999999</v>
      </c>
    </row>
    <row r="66" spans="1:5" x14ac:dyDescent="0.2">
      <c r="A66" s="32" t="s">
        <v>6</v>
      </c>
      <c r="B66" s="80" t="s">
        <v>42</v>
      </c>
      <c r="C66" s="80"/>
      <c r="D66" s="13">
        <f>22*0.8*22</f>
        <v>387.20000000000005</v>
      </c>
    </row>
    <row r="67" spans="1:5" x14ac:dyDescent="0.2">
      <c r="A67" s="32" t="s">
        <v>8</v>
      </c>
      <c r="B67" s="80" t="s">
        <v>112</v>
      </c>
      <c r="C67" s="80"/>
      <c r="D67" s="13">
        <v>320</v>
      </c>
    </row>
    <row r="68" spans="1:5" x14ac:dyDescent="0.2">
      <c r="A68" s="32" t="s">
        <v>10</v>
      </c>
      <c r="B68" s="80" t="s">
        <v>113</v>
      </c>
      <c r="C68" s="80"/>
      <c r="D68" s="13">
        <v>26.5</v>
      </c>
    </row>
    <row r="69" spans="1:5" x14ac:dyDescent="0.2">
      <c r="A69" s="32" t="s">
        <v>10</v>
      </c>
      <c r="B69" s="80" t="s">
        <v>114</v>
      </c>
      <c r="C69" s="80"/>
      <c r="D69" s="13">
        <v>5.21</v>
      </c>
    </row>
    <row r="70" spans="1:5" x14ac:dyDescent="0.2">
      <c r="A70" s="79" t="s">
        <v>16</v>
      </c>
      <c r="B70" s="79"/>
      <c r="C70" s="79"/>
      <c r="D70" s="19">
        <f>SUM(D65:D69)</f>
        <v>846.97400000000005</v>
      </c>
    </row>
    <row r="73" spans="1:5" x14ac:dyDescent="0.2">
      <c r="A73" s="92" t="s">
        <v>43</v>
      </c>
      <c r="B73" s="92"/>
      <c r="C73" s="92"/>
      <c r="D73" s="92"/>
    </row>
    <row r="75" spans="1:5" x14ac:dyDescent="0.2">
      <c r="A75" s="30">
        <v>2</v>
      </c>
      <c r="B75" s="91" t="s">
        <v>44</v>
      </c>
      <c r="C75" s="91"/>
      <c r="D75" s="30" t="s">
        <v>3</v>
      </c>
    </row>
    <row r="76" spans="1:5" x14ac:dyDescent="0.2">
      <c r="A76" s="32" t="s">
        <v>19</v>
      </c>
      <c r="B76" s="80" t="s">
        <v>20</v>
      </c>
      <c r="C76" s="80"/>
      <c r="D76" s="14">
        <f>D45</f>
        <v>448.2</v>
      </c>
    </row>
    <row r="77" spans="1:5" x14ac:dyDescent="0.2">
      <c r="A77" s="32" t="s">
        <v>24</v>
      </c>
      <c r="B77" s="80" t="s">
        <v>25</v>
      </c>
      <c r="C77" s="80"/>
      <c r="D77" s="14">
        <f>D59</f>
        <v>1013.3599999999999</v>
      </c>
    </row>
    <row r="78" spans="1:5" x14ac:dyDescent="0.2">
      <c r="A78" s="32" t="s">
        <v>39</v>
      </c>
      <c r="B78" s="80" t="s">
        <v>40</v>
      </c>
      <c r="C78" s="80"/>
      <c r="D78" s="14">
        <f>D70</f>
        <v>846.97400000000005</v>
      </c>
    </row>
    <row r="79" spans="1:5" x14ac:dyDescent="0.2">
      <c r="A79" s="79" t="s">
        <v>16</v>
      </c>
      <c r="B79" s="79"/>
      <c r="C79" s="79"/>
      <c r="D79" s="19">
        <f>SUM(D76:D78)</f>
        <v>2308.5340000000001</v>
      </c>
    </row>
    <row r="80" spans="1:5" x14ac:dyDescent="0.2">
      <c r="A80" s="4"/>
      <c r="E80" s="18"/>
    </row>
    <row r="82" spans="1:5" x14ac:dyDescent="0.2">
      <c r="A82" s="82" t="s">
        <v>45</v>
      </c>
      <c r="B82" s="82"/>
      <c r="C82" s="82"/>
      <c r="D82" s="82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91" t="s">
        <v>46</v>
      </c>
      <c r="C84" s="91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9.4499999999999993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0.75</v>
      </c>
    </row>
    <row r="87" spans="1:5" x14ac:dyDescent="0.2">
      <c r="A87" s="32" t="s">
        <v>8</v>
      </c>
      <c r="B87" s="10" t="s">
        <v>97</v>
      </c>
      <c r="C87" s="9">
        <f>TRUNC(8%*5%*40%,4)</f>
        <v>1.6000000000000001E-3</v>
      </c>
      <c r="D87" s="13">
        <f>TRUNC($D$35*C87,2)</f>
        <v>3.68</v>
      </c>
    </row>
    <row r="88" spans="1:5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42.42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15.61</v>
      </c>
    </row>
    <row r="90" spans="1:5" x14ac:dyDescent="0.2">
      <c r="A90" s="32" t="s">
        <v>32</v>
      </c>
      <c r="B90" s="10" t="s">
        <v>98</v>
      </c>
      <c r="C90" s="9">
        <f>TRUNC(8%*95%*40%,4)</f>
        <v>3.04E-2</v>
      </c>
      <c r="D90" s="13">
        <f t="shared" ref="D90" si="1">TRUNC($D$35*C90,2)</f>
        <v>70.09</v>
      </c>
    </row>
    <row r="91" spans="1:5" x14ac:dyDescent="0.2">
      <c r="A91" s="89" t="s">
        <v>16</v>
      </c>
      <c r="B91" s="90"/>
      <c r="C91" s="93"/>
      <c r="D91" s="19">
        <f>SUM(D85:D90)</f>
        <v>142</v>
      </c>
    </row>
    <row r="94" spans="1:5" x14ac:dyDescent="0.2">
      <c r="A94" s="82" t="s">
        <v>50</v>
      </c>
      <c r="B94" s="82"/>
      <c r="C94" s="82"/>
      <c r="D94" s="82"/>
    </row>
    <row r="97" spans="1:6" x14ac:dyDescent="0.2">
      <c r="A97" s="92" t="s">
        <v>76</v>
      </c>
      <c r="B97" s="92"/>
      <c r="C97" s="92"/>
      <c r="D97" s="92"/>
    </row>
    <row r="98" spans="1:6" x14ac:dyDescent="0.2">
      <c r="A98" s="3"/>
    </row>
    <row r="99" spans="1:6" x14ac:dyDescent="0.2">
      <c r="A99" s="30" t="s">
        <v>51</v>
      </c>
      <c r="B99" s="91" t="s">
        <v>77</v>
      </c>
      <c r="C99" s="91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</f>
        <v>9.1999999999999998E-3</v>
      </c>
      <c r="D100" s="13">
        <f>TRUNC(($D$35+$D$79+$D$91)*C100,2)</f>
        <v>43.75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26.15</v>
      </c>
    </row>
    <row r="102" spans="1:6" x14ac:dyDescent="0.2">
      <c r="A102" s="32" t="s">
        <v>8</v>
      </c>
      <c r="B102" s="29" t="s">
        <v>80</v>
      </c>
      <c r="C102" s="9">
        <f>TRUNC(((5/30)/12)*2%,4)</f>
        <v>2.0000000000000001E-4</v>
      </c>
      <c r="D102" s="13">
        <f t="shared" si="2"/>
        <v>0.95</v>
      </c>
    </row>
    <row r="103" spans="1:6" x14ac:dyDescent="0.2">
      <c r="A103" s="32" t="s">
        <v>10</v>
      </c>
      <c r="B103" s="29" t="s">
        <v>81</v>
      </c>
      <c r="C103" s="9">
        <f>TRUNC(((15/30)/12)*8%,4)</f>
        <v>3.3E-3</v>
      </c>
      <c r="D103" s="13">
        <f t="shared" si="2"/>
        <v>15.69</v>
      </c>
    </row>
    <row r="104" spans="1:6" x14ac:dyDescent="0.2">
      <c r="A104" s="32" t="s">
        <v>12</v>
      </c>
      <c r="B104" s="29" t="s">
        <v>82</v>
      </c>
      <c r="C104" s="9">
        <f>((1+1/3)/12)*3%*(4/12)</f>
        <v>1.1111111111111109E-3</v>
      </c>
      <c r="D104" s="13">
        <f t="shared" si="2"/>
        <v>5.28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79" t="s">
        <v>37</v>
      </c>
      <c r="B106" s="79"/>
      <c r="C106" s="79"/>
      <c r="D106" s="19">
        <f>SUM(D100:D105)</f>
        <v>91.820000000000007</v>
      </c>
      <c r="E106" s="17"/>
      <c r="F106" s="17"/>
    </row>
    <row r="109" spans="1:6" x14ac:dyDescent="0.2">
      <c r="A109" s="92" t="s">
        <v>84</v>
      </c>
      <c r="B109" s="92"/>
      <c r="C109" s="92"/>
      <c r="D109" s="92"/>
    </row>
    <row r="110" spans="1:6" x14ac:dyDescent="0.2">
      <c r="A110" s="3"/>
    </row>
    <row r="111" spans="1:6" x14ac:dyDescent="0.2">
      <c r="A111" s="30" t="s">
        <v>52</v>
      </c>
      <c r="B111" s="91" t="s">
        <v>85</v>
      </c>
      <c r="C111" s="91"/>
      <c r="D111" s="30" t="s">
        <v>3</v>
      </c>
    </row>
    <row r="112" spans="1:6" x14ac:dyDescent="0.2">
      <c r="A112" s="32" t="s">
        <v>4</v>
      </c>
      <c r="B112" s="86" t="s">
        <v>86</v>
      </c>
      <c r="C112" s="87"/>
      <c r="D112" s="13">
        <f>((D35+D79+D91)/220)*22*0</f>
        <v>0</v>
      </c>
    </row>
    <row r="113" spans="1:4" x14ac:dyDescent="0.2">
      <c r="A113" s="79" t="s">
        <v>16</v>
      </c>
      <c r="B113" s="79"/>
      <c r="C113" s="79"/>
      <c r="D113" s="19">
        <f>SUM(D112)</f>
        <v>0</v>
      </c>
    </row>
    <row r="116" spans="1:4" x14ac:dyDescent="0.2">
      <c r="A116" s="92" t="s">
        <v>53</v>
      </c>
      <c r="B116" s="92"/>
      <c r="C116" s="92"/>
      <c r="D116" s="92"/>
    </row>
    <row r="117" spans="1:4" x14ac:dyDescent="0.2">
      <c r="A117" s="3"/>
    </row>
    <row r="118" spans="1:4" x14ac:dyDescent="0.2">
      <c r="A118" s="30">
        <v>4</v>
      </c>
      <c r="B118" s="79" t="s">
        <v>54</v>
      </c>
      <c r="C118" s="79"/>
      <c r="D118" s="30" t="s">
        <v>3</v>
      </c>
    </row>
    <row r="119" spans="1:4" x14ac:dyDescent="0.2">
      <c r="A119" s="32" t="s">
        <v>51</v>
      </c>
      <c r="B119" s="80" t="s">
        <v>77</v>
      </c>
      <c r="C119" s="80"/>
      <c r="D119" s="14">
        <f>D106</f>
        <v>91.820000000000007</v>
      </c>
    </row>
    <row r="120" spans="1:4" x14ac:dyDescent="0.2">
      <c r="A120" s="32" t="s">
        <v>52</v>
      </c>
      <c r="B120" s="80" t="s">
        <v>85</v>
      </c>
      <c r="C120" s="80"/>
      <c r="D120" s="14">
        <f>D113</f>
        <v>0</v>
      </c>
    </row>
    <row r="121" spans="1:4" x14ac:dyDescent="0.2">
      <c r="A121" s="79" t="s">
        <v>16</v>
      </c>
      <c r="B121" s="79"/>
      <c r="C121" s="79"/>
      <c r="D121" s="19">
        <f>SUM(D119:D120)</f>
        <v>91.820000000000007</v>
      </c>
    </row>
    <row r="124" spans="1:4" x14ac:dyDescent="0.2">
      <c r="A124" s="82" t="s">
        <v>55</v>
      </c>
      <c r="B124" s="82"/>
      <c r="C124" s="82"/>
      <c r="D124" s="82"/>
    </row>
    <row r="126" spans="1:4" x14ac:dyDescent="0.2">
      <c r="A126" s="30">
        <v>5</v>
      </c>
      <c r="B126" s="88" t="s">
        <v>56</v>
      </c>
      <c r="C126" s="88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19.420000000000002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0.88</v>
      </c>
    </row>
    <row r="130" spans="1:4" x14ac:dyDescent="0.2">
      <c r="A130" s="32" t="s">
        <v>10</v>
      </c>
      <c r="B130" s="29" t="s">
        <v>15</v>
      </c>
      <c r="C130" s="29"/>
      <c r="D130" s="13">
        <v>0</v>
      </c>
    </row>
    <row r="131" spans="1:4" x14ac:dyDescent="0.2">
      <c r="A131" s="79" t="s">
        <v>37</v>
      </c>
      <c r="B131" s="79"/>
      <c r="C131" s="79"/>
      <c r="D131" s="20">
        <f>SUM(D127:D130)</f>
        <v>20.3</v>
      </c>
    </row>
    <row r="134" spans="1:4" x14ac:dyDescent="0.2">
      <c r="A134" s="82" t="s">
        <v>60</v>
      </c>
      <c r="B134" s="82"/>
      <c r="C134" s="82"/>
      <c r="D134" s="82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243.4127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306.70000199999998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513.0692060459769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94</v>
      </c>
      <c r="C141" s="9">
        <v>6.4999999999999997E-3</v>
      </c>
      <c r="D141" s="14">
        <f t="shared" ref="D141:D145" si="3">$D$159*C141</f>
        <v>38.554359999999996</v>
      </c>
    </row>
    <row r="142" spans="1:4" x14ac:dyDescent="0.2">
      <c r="A142" s="32"/>
      <c r="B142" s="29" t="s">
        <v>95</v>
      </c>
      <c r="C142" s="9">
        <v>0.03</v>
      </c>
      <c r="D142" s="14">
        <f t="shared" si="3"/>
        <v>177.94319999999999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96</v>
      </c>
      <c r="C145" s="9">
        <v>0.05</v>
      </c>
      <c r="D145" s="14">
        <f t="shared" si="3"/>
        <v>296.572</v>
      </c>
    </row>
    <row r="146" spans="1:4" ht="13.5" x14ac:dyDescent="0.2">
      <c r="A146" s="89" t="s">
        <v>37</v>
      </c>
      <c r="B146" s="90"/>
      <c r="C146" s="21">
        <f>(1+C138)*(1+C137)/(1-C139)-1</f>
        <v>0.21839080459770144</v>
      </c>
      <c r="D146" s="19">
        <f>SUM(D137:D139)</f>
        <v>1063.1819080459768</v>
      </c>
    </row>
    <row r="149" spans="1:4" x14ac:dyDescent="0.2">
      <c r="A149" s="82" t="s">
        <v>104</v>
      </c>
      <c r="B149" s="82"/>
      <c r="C149" s="82"/>
      <c r="D149" s="82"/>
    </row>
    <row r="151" spans="1:4" x14ac:dyDescent="0.2">
      <c r="A151" s="30"/>
      <c r="B151" s="79" t="s">
        <v>68</v>
      </c>
      <c r="C151" s="79"/>
      <c r="D151" s="30" t="s">
        <v>3</v>
      </c>
    </row>
    <row r="152" spans="1:4" x14ac:dyDescent="0.2">
      <c r="A152" s="30" t="s">
        <v>4</v>
      </c>
      <c r="B152" s="80" t="s">
        <v>1</v>
      </c>
      <c r="C152" s="80"/>
      <c r="D152" s="22">
        <f>D35</f>
        <v>2305.6</v>
      </c>
    </row>
    <row r="153" spans="1:4" x14ac:dyDescent="0.2">
      <c r="A153" s="30" t="s">
        <v>6</v>
      </c>
      <c r="B153" s="80" t="s">
        <v>17</v>
      </c>
      <c r="C153" s="80"/>
      <c r="D153" s="22">
        <f>D79</f>
        <v>2308.5340000000001</v>
      </c>
    </row>
    <row r="154" spans="1:4" x14ac:dyDescent="0.2">
      <c r="A154" s="30" t="s">
        <v>8</v>
      </c>
      <c r="B154" s="80" t="s">
        <v>45</v>
      </c>
      <c r="C154" s="80"/>
      <c r="D154" s="22">
        <f>D91</f>
        <v>142</v>
      </c>
    </row>
    <row r="155" spans="1:4" x14ac:dyDescent="0.2">
      <c r="A155" s="30" t="s">
        <v>10</v>
      </c>
      <c r="B155" s="80" t="s">
        <v>50</v>
      </c>
      <c r="C155" s="80"/>
      <c r="D155" s="22">
        <f>D121</f>
        <v>91.820000000000007</v>
      </c>
    </row>
    <row r="156" spans="1:4" x14ac:dyDescent="0.2">
      <c r="A156" s="30" t="s">
        <v>12</v>
      </c>
      <c r="B156" s="80" t="s">
        <v>55</v>
      </c>
      <c r="C156" s="80"/>
      <c r="D156" s="22">
        <f>D131</f>
        <v>20.3</v>
      </c>
    </row>
    <row r="157" spans="1:4" x14ac:dyDescent="0.2">
      <c r="A157" s="79" t="s">
        <v>93</v>
      </c>
      <c r="B157" s="79"/>
      <c r="C157" s="79"/>
      <c r="D157" s="23">
        <f>SUM(D152:D156)</f>
        <v>4868.2539999999999</v>
      </c>
    </row>
    <row r="158" spans="1:4" x14ac:dyDescent="0.2">
      <c r="A158" s="30" t="s">
        <v>32</v>
      </c>
      <c r="B158" s="80" t="s">
        <v>69</v>
      </c>
      <c r="C158" s="80"/>
      <c r="D158" s="24">
        <f>D146</f>
        <v>1063.1819080459768</v>
      </c>
    </row>
    <row r="159" spans="1:4" x14ac:dyDescent="0.2">
      <c r="A159" s="79" t="s">
        <v>70</v>
      </c>
      <c r="B159" s="79"/>
      <c r="C159" s="79"/>
      <c r="D159" s="23">
        <f>ROUND(SUM(D157:D158),2)</f>
        <v>5931.44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75" zoomScale="115" zoomScaleNormal="115" workbookViewId="0">
      <selection activeCell="D159" sqref="D15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2" t="s">
        <v>102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x14ac:dyDescent="0.2">
      <c r="A5" s="72" t="s">
        <v>103</v>
      </c>
      <c r="B5" s="73"/>
      <c r="C5" s="73"/>
      <c r="D5" s="74"/>
    </row>
    <row r="6" spans="1:4" x14ac:dyDescent="0.2">
      <c r="A6" s="33" t="s">
        <v>4</v>
      </c>
      <c r="B6" s="34" t="s">
        <v>99</v>
      </c>
      <c r="C6" s="35"/>
      <c r="D6" s="36" t="s">
        <v>105</v>
      </c>
    </row>
    <row r="7" spans="1:4" x14ac:dyDescent="0.2">
      <c r="A7" s="33" t="s">
        <v>6</v>
      </c>
      <c r="B7" s="34" t="s">
        <v>100</v>
      </c>
      <c r="C7" s="35"/>
      <c r="D7" s="38" t="s">
        <v>106</v>
      </c>
    </row>
    <row r="8" spans="1:4" x14ac:dyDescent="0.2">
      <c r="A8" s="33" t="s">
        <v>8</v>
      </c>
      <c r="B8" s="34" t="s">
        <v>101</v>
      </c>
      <c r="C8" s="35"/>
      <c r="D8" s="37">
        <v>45723</v>
      </c>
    </row>
    <row r="9" spans="1:4" x14ac:dyDescent="0.2">
      <c r="A9" s="33" t="s">
        <v>10</v>
      </c>
      <c r="B9" s="83" t="s">
        <v>108</v>
      </c>
      <c r="C9" s="84"/>
      <c r="D9" s="85"/>
    </row>
    <row r="10" spans="1:4" x14ac:dyDescent="0.2">
      <c r="A10" s="33" t="s">
        <v>12</v>
      </c>
      <c r="B10" s="83" t="s">
        <v>107</v>
      </c>
      <c r="C10" s="84"/>
      <c r="D10" s="85"/>
    </row>
    <row r="12" spans="1:4" x14ac:dyDescent="0.2">
      <c r="A12" s="82" t="s">
        <v>87</v>
      </c>
      <c r="B12" s="82"/>
      <c r="C12" s="82"/>
      <c r="D12" s="82"/>
    </row>
    <row r="13" spans="1:4" x14ac:dyDescent="0.2">
      <c r="A13" s="2"/>
      <c r="B13" s="2"/>
      <c r="C13" s="2"/>
      <c r="D13" s="2"/>
    </row>
    <row r="14" spans="1:4" ht="38.25" x14ac:dyDescent="0.2">
      <c r="A14" s="75" t="s">
        <v>88</v>
      </c>
      <c r="B14" s="75"/>
      <c r="C14" s="32" t="s">
        <v>89</v>
      </c>
      <c r="D14" s="27" t="s">
        <v>90</v>
      </c>
    </row>
    <row r="15" spans="1:4" x14ac:dyDescent="0.2">
      <c r="A15" s="76" t="s">
        <v>116</v>
      </c>
      <c r="B15" s="76"/>
      <c r="C15" s="39" t="s">
        <v>110</v>
      </c>
      <c r="D15" s="39">
        <v>11</v>
      </c>
    </row>
    <row r="17" spans="1:4" x14ac:dyDescent="0.2">
      <c r="A17" s="82" t="s">
        <v>71</v>
      </c>
      <c r="B17" s="82"/>
      <c r="C17" s="82"/>
      <c r="D17" s="8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77" t="s">
        <v>116</v>
      </c>
      <c r="D19" s="78"/>
    </row>
    <row r="20" spans="1:4" x14ac:dyDescent="0.2">
      <c r="A20" s="5">
        <v>2</v>
      </c>
      <c r="B20" s="5" t="s">
        <v>91</v>
      </c>
      <c r="C20" s="77" t="s">
        <v>117</v>
      </c>
      <c r="D20" s="78"/>
    </row>
    <row r="21" spans="1:4" x14ac:dyDescent="0.2">
      <c r="A21" s="5">
        <v>3</v>
      </c>
      <c r="B21" s="5" t="s">
        <v>73</v>
      </c>
      <c r="C21" s="81">
        <v>1756.91</v>
      </c>
      <c r="D21" s="78"/>
    </row>
    <row r="22" spans="1:4" x14ac:dyDescent="0.2">
      <c r="A22" s="5">
        <v>4</v>
      </c>
      <c r="B22" s="5" t="s">
        <v>74</v>
      </c>
      <c r="C22" s="77"/>
      <c r="D22" s="78"/>
    </row>
    <row r="23" spans="1:4" x14ac:dyDescent="0.2">
      <c r="A23" s="5">
        <v>5</v>
      </c>
      <c r="B23" s="5" t="s">
        <v>75</v>
      </c>
      <c r="C23" s="77"/>
      <c r="D23" s="78"/>
    </row>
    <row r="25" spans="1:4" x14ac:dyDescent="0.2">
      <c r="A25" s="82" t="s">
        <v>1</v>
      </c>
      <c r="B25" s="82"/>
      <c r="C25" s="82"/>
      <c r="D25" s="82"/>
    </row>
    <row r="27" spans="1:4" x14ac:dyDescent="0.2">
      <c r="A27" s="30">
        <v>1</v>
      </c>
      <c r="B27" s="79" t="s">
        <v>2</v>
      </c>
      <c r="C27" s="79"/>
      <c r="D27" s="30" t="s">
        <v>3</v>
      </c>
    </row>
    <row r="28" spans="1:4" x14ac:dyDescent="0.2">
      <c r="A28" s="32" t="s">
        <v>4</v>
      </c>
      <c r="B28" s="80" t="s">
        <v>5</v>
      </c>
      <c r="C28" s="80"/>
      <c r="D28" s="13">
        <v>1756.91</v>
      </c>
    </row>
    <row r="29" spans="1:4" x14ac:dyDescent="0.2">
      <c r="A29" s="32" t="s">
        <v>6</v>
      </c>
      <c r="B29" s="80" t="s">
        <v>7</v>
      </c>
      <c r="C29" s="80"/>
      <c r="D29" s="13"/>
    </row>
    <row r="30" spans="1:4" x14ac:dyDescent="0.2">
      <c r="A30" s="32" t="s">
        <v>8</v>
      </c>
      <c r="B30" s="80" t="s">
        <v>9</v>
      </c>
      <c r="C30" s="80"/>
      <c r="D30" s="13"/>
    </row>
    <row r="31" spans="1:4" x14ac:dyDescent="0.2">
      <c r="A31" s="32" t="s">
        <v>10</v>
      </c>
      <c r="B31" s="80" t="s">
        <v>11</v>
      </c>
      <c r="C31" s="80"/>
      <c r="D31" s="13"/>
    </row>
    <row r="32" spans="1:4" x14ac:dyDescent="0.2">
      <c r="A32" s="32" t="s">
        <v>12</v>
      </c>
      <c r="B32" s="80" t="s">
        <v>13</v>
      </c>
      <c r="C32" s="80"/>
      <c r="D32" s="13"/>
    </row>
    <row r="33" spans="1:4" x14ac:dyDescent="0.2">
      <c r="A33" s="32"/>
      <c r="B33" s="80"/>
      <c r="C33" s="80"/>
      <c r="D33" s="13"/>
    </row>
    <row r="34" spans="1:4" x14ac:dyDescent="0.2">
      <c r="A34" s="32" t="s">
        <v>14</v>
      </c>
      <c r="B34" s="80" t="s">
        <v>15</v>
      </c>
      <c r="C34" s="80"/>
      <c r="D34" s="13"/>
    </row>
    <row r="35" spans="1:4" x14ac:dyDescent="0.2">
      <c r="A35" s="79" t="s">
        <v>16</v>
      </c>
      <c r="B35" s="79"/>
      <c r="C35" s="79"/>
      <c r="D35" s="20">
        <f>SUM(D28:D34)</f>
        <v>1756.91</v>
      </c>
    </row>
    <row r="38" spans="1:4" x14ac:dyDescent="0.2">
      <c r="A38" s="82" t="s">
        <v>17</v>
      </c>
      <c r="B38" s="82"/>
      <c r="C38" s="82"/>
      <c r="D38" s="82"/>
    </row>
    <row r="39" spans="1:4" x14ac:dyDescent="0.2">
      <c r="A39" s="3"/>
    </row>
    <row r="40" spans="1:4" x14ac:dyDescent="0.2">
      <c r="A40" s="92" t="s">
        <v>18</v>
      </c>
      <c r="B40" s="92"/>
      <c r="C40" s="92"/>
      <c r="D40" s="92"/>
    </row>
    <row r="42" spans="1:4" x14ac:dyDescent="0.2">
      <c r="A42" s="30" t="s">
        <v>19</v>
      </c>
      <c r="B42" s="79" t="s">
        <v>20</v>
      </c>
      <c r="C42" s="7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146.35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195.19</v>
      </c>
    </row>
    <row r="45" spans="1:4" x14ac:dyDescent="0.2">
      <c r="A45" s="79" t="s">
        <v>16</v>
      </c>
      <c r="B45" s="79"/>
      <c r="C45" s="28">
        <f>SUM(C43:C44)</f>
        <v>0.19440000000000002</v>
      </c>
      <c r="D45" s="19">
        <f>SUM(D43:D44)</f>
        <v>341.53999999999996</v>
      </c>
    </row>
    <row r="48" spans="1:4" x14ac:dyDescent="0.2">
      <c r="A48" s="95" t="s">
        <v>23</v>
      </c>
      <c r="B48" s="95"/>
      <c r="C48" s="95"/>
      <c r="D48" s="95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419.69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52.46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62.95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31.47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20.98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12.59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4.1900000000000004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167.87</v>
      </c>
    </row>
    <row r="59" spans="1:4" x14ac:dyDescent="0.2">
      <c r="A59" s="79" t="s">
        <v>37</v>
      </c>
      <c r="B59" s="79"/>
      <c r="C59" s="15">
        <f>SUM(C51:C58)</f>
        <v>0.36800000000000005</v>
      </c>
      <c r="D59" s="19">
        <f>SUM(D51:D58)</f>
        <v>772.20000000000016</v>
      </c>
    </row>
    <row r="62" spans="1:4" x14ac:dyDescent="0.2">
      <c r="A62" s="92" t="s">
        <v>38</v>
      </c>
      <c r="B62" s="92"/>
      <c r="C62" s="92"/>
      <c r="D62" s="92"/>
    </row>
    <row r="64" spans="1:4" x14ac:dyDescent="0.2">
      <c r="A64" s="30" t="s">
        <v>39</v>
      </c>
      <c r="B64" s="91" t="s">
        <v>40</v>
      </c>
      <c r="C64" s="91"/>
      <c r="D64" s="30" t="s">
        <v>3</v>
      </c>
    </row>
    <row r="65" spans="1:5" x14ac:dyDescent="0.2">
      <c r="A65" s="32" t="s">
        <v>4</v>
      </c>
      <c r="B65" s="80" t="s">
        <v>41</v>
      </c>
      <c r="C65" s="80"/>
      <c r="D65" s="13">
        <f>IF((22*2*5.6)-(D28*0.06)&gt;0,(22*2*5.6)-(D28*0.06),0)</f>
        <v>140.98539999999997</v>
      </c>
    </row>
    <row r="66" spans="1:5" x14ac:dyDescent="0.2">
      <c r="A66" s="32" t="s">
        <v>6</v>
      </c>
      <c r="B66" s="80" t="s">
        <v>42</v>
      </c>
      <c r="C66" s="80"/>
      <c r="D66" s="13">
        <v>0</v>
      </c>
    </row>
    <row r="67" spans="1:5" x14ac:dyDescent="0.2">
      <c r="A67" s="32" t="s">
        <v>8</v>
      </c>
      <c r="B67" s="80" t="s">
        <v>112</v>
      </c>
      <c r="C67" s="80"/>
      <c r="D67" s="13">
        <v>320</v>
      </c>
    </row>
    <row r="68" spans="1:5" x14ac:dyDescent="0.2">
      <c r="A68" s="32" t="s">
        <v>10</v>
      </c>
      <c r="B68" s="80" t="s">
        <v>113</v>
      </c>
      <c r="C68" s="80"/>
      <c r="D68" s="13">
        <v>26.5</v>
      </c>
    </row>
    <row r="69" spans="1:5" x14ac:dyDescent="0.2">
      <c r="A69" s="32" t="s">
        <v>10</v>
      </c>
      <c r="B69" s="80" t="s">
        <v>114</v>
      </c>
      <c r="C69" s="80"/>
      <c r="D69" s="13">
        <v>5.21</v>
      </c>
    </row>
    <row r="70" spans="1:5" x14ac:dyDescent="0.2">
      <c r="A70" s="79" t="s">
        <v>16</v>
      </c>
      <c r="B70" s="79"/>
      <c r="C70" s="79"/>
      <c r="D70" s="19">
        <f>SUM(D65:D69)</f>
        <v>492.69539999999995</v>
      </c>
    </row>
    <row r="73" spans="1:5" x14ac:dyDescent="0.2">
      <c r="A73" s="92" t="s">
        <v>43</v>
      </c>
      <c r="B73" s="92"/>
      <c r="C73" s="92"/>
      <c r="D73" s="92"/>
    </row>
    <row r="75" spans="1:5" x14ac:dyDescent="0.2">
      <c r="A75" s="30">
        <v>2</v>
      </c>
      <c r="B75" s="91" t="s">
        <v>44</v>
      </c>
      <c r="C75" s="91"/>
      <c r="D75" s="30" t="s">
        <v>3</v>
      </c>
    </row>
    <row r="76" spans="1:5" x14ac:dyDescent="0.2">
      <c r="A76" s="32" t="s">
        <v>19</v>
      </c>
      <c r="B76" s="80" t="s">
        <v>20</v>
      </c>
      <c r="C76" s="80"/>
      <c r="D76" s="14">
        <f>D45</f>
        <v>341.53999999999996</v>
      </c>
    </row>
    <row r="77" spans="1:5" x14ac:dyDescent="0.2">
      <c r="A77" s="32" t="s">
        <v>24</v>
      </c>
      <c r="B77" s="80" t="s">
        <v>25</v>
      </c>
      <c r="C77" s="80"/>
      <c r="D77" s="14">
        <f>D59</f>
        <v>772.20000000000016</v>
      </c>
    </row>
    <row r="78" spans="1:5" x14ac:dyDescent="0.2">
      <c r="A78" s="32" t="s">
        <v>39</v>
      </c>
      <c r="B78" s="80" t="s">
        <v>40</v>
      </c>
      <c r="C78" s="80"/>
      <c r="D78" s="14">
        <f>D70</f>
        <v>492.69539999999995</v>
      </c>
    </row>
    <row r="79" spans="1:5" x14ac:dyDescent="0.2">
      <c r="A79" s="79" t="s">
        <v>16</v>
      </c>
      <c r="B79" s="79"/>
      <c r="C79" s="79"/>
      <c r="D79" s="19">
        <f>SUM(D76:D78)</f>
        <v>1606.4354000000003</v>
      </c>
    </row>
    <row r="80" spans="1:5" x14ac:dyDescent="0.2">
      <c r="A80" s="4"/>
      <c r="E80" s="18"/>
    </row>
    <row r="82" spans="1:5" x14ac:dyDescent="0.2">
      <c r="A82" s="82" t="s">
        <v>45</v>
      </c>
      <c r="B82" s="82"/>
      <c r="C82" s="82"/>
      <c r="D82" s="82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91" t="s">
        <v>46</v>
      </c>
      <c r="C84" s="91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7.2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0.56999999999999995</v>
      </c>
    </row>
    <row r="87" spans="1:5" x14ac:dyDescent="0.2">
      <c r="A87" s="32" t="s">
        <v>8</v>
      </c>
      <c r="B87" s="10" t="s">
        <v>97</v>
      </c>
      <c r="C87" s="9">
        <f>TRUNC(8%*5%*40%,4)</f>
        <v>1.6000000000000001E-3</v>
      </c>
      <c r="D87" s="13">
        <f>TRUNC($D$35*C87,2)</f>
        <v>2.81</v>
      </c>
    </row>
    <row r="88" spans="1:5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32.32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11.89</v>
      </c>
    </row>
    <row r="90" spans="1:5" x14ac:dyDescent="0.2">
      <c r="A90" s="32" t="s">
        <v>32</v>
      </c>
      <c r="B90" s="10" t="s">
        <v>98</v>
      </c>
      <c r="C90" s="9">
        <f>TRUNC(8%*95%*40%,4)</f>
        <v>3.04E-2</v>
      </c>
      <c r="D90" s="13">
        <f t="shared" ref="D90" si="1">TRUNC($D$35*C90,2)</f>
        <v>53.41</v>
      </c>
    </row>
    <row r="91" spans="1:5" x14ac:dyDescent="0.2">
      <c r="A91" s="89" t="s">
        <v>16</v>
      </c>
      <c r="B91" s="90"/>
      <c r="C91" s="93"/>
      <c r="D91" s="19">
        <f>SUM(D85:D90)</f>
        <v>108.19999999999999</v>
      </c>
    </row>
    <row r="94" spans="1:5" x14ac:dyDescent="0.2">
      <c r="A94" s="82" t="s">
        <v>50</v>
      </c>
      <c r="B94" s="82"/>
      <c r="C94" s="82"/>
      <c r="D94" s="82"/>
    </row>
    <row r="97" spans="1:6" x14ac:dyDescent="0.2">
      <c r="A97" s="92" t="s">
        <v>76</v>
      </c>
      <c r="B97" s="92"/>
      <c r="C97" s="92"/>
      <c r="D97" s="92"/>
    </row>
    <row r="98" spans="1:6" x14ac:dyDescent="0.2">
      <c r="A98" s="3"/>
    </row>
    <row r="99" spans="1:6" x14ac:dyDescent="0.2">
      <c r="A99" s="30" t="s">
        <v>51</v>
      </c>
      <c r="B99" s="91" t="s">
        <v>77</v>
      </c>
      <c r="C99" s="91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</f>
        <v>9.1999999999999998E-3</v>
      </c>
      <c r="D100" s="13">
        <f>TRUNC(($D$35+$D$79+$D$91)*C100,2)</f>
        <v>31.93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19.09</v>
      </c>
    </row>
    <row r="102" spans="1:6" x14ac:dyDescent="0.2">
      <c r="A102" s="32" t="s">
        <v>8</v>
      </c>
      <c r="B102" s="29" t="s">
        <v>80</v>
      </c>
      <c r="C102" s="9">
        <f>TRUNC(((5/30)/12)*2%,4)</f>
        <v>2.0000000000000001E-4</v>
      </c>
      <c r="D102" s="13">
        <f t="shared" si="2"/>
        <v>0.69</v>
      </c>
    </row>
    <row r="103" spans="1:6" x14ac:dyDescent="0.2">
      <c r="A103" s="32" t="s">
        <v>10</v>
      </c>
      <c r="B103" s="29" t="s">
        <v>81</v>
      </c>
      <c r="C103" s="9">
        <f>TRUNC(((15/30)/12)*8%,4)</f>
        <v>3.3E-3</v>
      </c>
      <c r="D103" s="13">
        <f t="shared" si="2"/>
        <v>11.45</v>
      </c>
    </row>
    <row r="104" spans="1:6" x14ac:dyDescent="0.2">
      <c r="A104" s="32" t="s">
        <v>12</v>
      </c>
      <c r="B104" s="29" t="s">
        <v>82</v>
      </c>
      <c r="C104" s="9">
        <f>((1+1/3)/12)*3%*(4/12)</f>
        <v>1.1111111111111109E-3</v>
      </c>
      <c r="D104" s="13">
        <f t="shared" si="2"/>
        <v>3.85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79" t="s">
        <v>37</v>
      </c>
      <c r="B106" s="79"/>
      <c r="C106" s="79"/>
      <c r="D106" s="19">
        <f>SUM(D100:D105)</f>
        <v>67.009999999999991</v>
      </c>
      <c r="E106" s="17"/>
      <c r="F106" s="17"/>
    </row>
    <row r="109" spans="1:6" x14ac:dyDescent="0.2">
      <c r="A109" s="92" t="s">
        <v>84</v>
      </c>
      <c r="B109" s="92"/>
      <c r="C109" s="92"/>
      <c r="D109" s="92"/>
    </row>
    <row r="110" spans="1:6" x14ac:dyDescent="0.2">
      <c r="A110" s="3"/>
    </row>
    <row r="111" spans="1:6" x14ac:dyDescent="0.2">
      <c r="A111" s="30" t="s">
        <v>52</v>
      </c>
      <c r="B111" s="91" t="s">
        <v>85</v>
      </c>
      <c r="C111" s="91"/>
      <c r="D111" s="30" t="s">
        <v>3</v>
      </c>
    </row>
    <row r="112" spans="1:6" x14ac:dyDescent="0.2">
      <c r="A112" s="32" t="s">
        <v>4</v>
      </c>
      <c r="B112" s="86" t="s">
        <v>86</v>
      </c>
      <c r="C112" s="87"/>
      <c r="D112" s="13">
        <f>((D35+D79+D91)/220)*22*0</f>
        <v>0</v>
      </c>
    </row>
    <row r="113" spans="1:4" x14ac:dyDescent="0.2">
      <c r="A113" s="79" t="s">
        <v>16</v>
      </c>
      <c r="B113" s="79"/>
      <c r="C113" s="79"/>
      <c r="D113" s="19">
        <f>SUM(D112)</f>
        <v>0</v>
      </c>
    </row>
    <row r="116" spans="1:4" x14ac:dyDescent="0.2">
      <c r="A116" s="92" t="s">
        <v>53</v>
      </c>
      <c r="B116" s="92"/>
      <c r="C116" s="92"/>
      <c r="D116" s="92"/>
    </row>
    <row r="117" spans="1:4" x14ac:dyDescent="0.2">
      <c r="A117" s="3"/>
    </row>
    <row r="118" spans="1:4" x14ac:dyDescent="0.2">
      <c r="A118" s="30">
        <v>4</v>
      </c>
      <c r="B118" s="79" t="s">
        <v>54</v>
      </c>
      <c r="C118" s="79"/>
      <c r="D118" s="30" t="s">
        <v>3</v>
      </c>
    </row>
    <row r="119" spans="1:4" x14ac:dyDescent="0.2">
      <c r="A119" s="32" t="s">
        <v>51</v>
      </c>
      <c r="B119" s="80" t="s">
        <v>77</v>
      </c>
      <c r="C119" s="80"/>
      <c r="D119" s="14">
        <f>D106</f>
        <v>67.009999999999991</v>
      </c>
    </row>
    <row r="120" spans="1:4" x14ac:dyDescent="0.2">
      <c r="A120" s="32" t="s">
        <v>52</v>
      </c>
      <c r="B120" s="80" t="s">
        <v>85</v>
      </c>
      <c r="C120" s="80"/>
      <c r="D120" s="14">
        <f>D113</f>
        <v>0</v>
      </c>
    </row>
    <row r="121" spans="1:4" x14ac:dyDescent="0.2">
      <c r="A121" s="79" t="s">
        <v>16</v>
      </c>
      <c r="B121" s="79"/>
      <c r="C121" s="79"/>
      <c r="D121" s="19">
        <f>SUM(D119:D120)</f>
        <v>67.009999999999991</v>
      </c>
    </row>
    <row r="124" spans="1:4" x14ac:dyDescent="0.2">
      <c r="A124" s="82" t="s">
        <v>55</v>
      </c>
      <c r="B124" s="82"/>
      <c r="C124" s="82"/>
      <c r="D124" s="82"/>
    </row>
    <row r="126" spans="1:4" x14ac:dyDescent="0.2">
      <c r="A126" s="30">
        <v>5</v>
      </c>
      <c r="B126" s="88" t="s">
        <v>56</v>
      </c>
      <c r="C126" s="88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19.420000000000002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f>0.88+2.11</f>
        <v>2.9899999999999998</v>
      </c>
    </row>
    <row r="130" spans="1:4" x14ac:dyDescent="0.2">
      <c r="A130" s="32" t="s">
        <v>10</v>
      </c>
      <c r="B130" s="29" t="s">
        <v>15</v>
      </c>
      <c r="C130" s="29"/>
      <c r="D130" s="13">
        <v>0</v>
      </c>
    </row>
    <row r="131" spans="1:4" x14ac:dyDescent="0.2">
      <c r="A131" s="79" t="s">
        <v>37</v>
      </c>
      <c r="B131" s="79"/>
      <c r="C131" s="79"/>
      <c r="D131" s="20">
        <f>SUM(D127:D130)</f>
        <v>22.41</v>
      </c>
    </row>
    <row r="134" spans="1:4" x14ac:dyDescent="0.2">
      <c r="A134" s="82" t="s">
        <v>60</v>
      </c>
      <c r="B134" s="82"/>
      <c r="C134" s="82"/>
      <c r="D134" s="82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178.04827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224.3408202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375.29300865057473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94</v>
      </c>
      <c r="C141" s="9">
        <v>6.4999999999999997E-3</v>
      </c>
      <c r="D141" s="14">
        <f t="shared" ref="D141:D145" si="3">$D$159*C141</f>
        <v>28.201224999999997</v>
      </c>
    </row>
    <row r="142" spans="1:4" x14ac:dyDescent="0.2">
      <c r="A142" s="32"/>
      <c r="B142" s="29" t="s">
        <v>95</v>
      </c>
      <c r="C142" s="9">
        <v>0.03</v>
      </c>
      <c r="D142" s="14">
        <f t="shared" si="3"/>
        <v>130.15949999999998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96</v>
      </c>
      <c r="C145" s="9">
        <v>0.05</v>
      </c>
      <c r="D145" s="14">
        <f t="shared" si="3"/>
        <v>216.9325</v>
      </c>
    </row>
    <row r="146" spans="1:4" ht="13.5" x14ac:dyDescent="0.2">
      <c r="A146" s="89" t="s">
        <v>37</v>
      </c>
      <c r="B146" s="90"/>
      <c r="C146" s="21">
        <f>(1+C138)*(1+C137)/(1-C139)-1</f>
        <v>0.21839080459770144</v>
      </c>
      <c r="D146" s="19">
        <f>SUM(D137:D139)</f>
        <v>777.68209885057468</v>
      </c>
    </row>
    <row r="149" spans="1:4" x14ac:dyDescent="0.2">
      <c r="A149" s="82" t="s">
        <v>104</v>
      </c>
      <c r="B149" s="82"/>
      <c r="C149" s="82"/>
      <c r="D149" s="82"/>
    </row>
    <row r="151" spans="1:4" x14ac:dyDescent="0.2">
      <c r="A151" s="30"/>
      <c r="B151" s="79" t="s">
        <v>68</v>
      </c>
      <c r="C151" s="79"/>
      <c r="D151" s="30" t="s">
        <v>3</v>
      </c>
    </row>
    <row r="152" spans="1:4" x14ac:dyDescent="0.2">
      <c r="A152" s="30" t="s">
        <v>4</v>
      </c>
      <c r="B152" s="80" t="s">
        <v>1</v>
      </c>
      <c r="C152" s="80"/>
      <c r="D152" s="22">
        <f>D35</f>
        <v>1756.91</v>
      </c>
    </row>
    <row r="153" spans="1:4" x14ac:dyDescent="0.2">
      <c r="A153" s="30" t="s">
        <v>6</v>
      </c>
      <c r="B153" s="80" t="s">
        <v>17</v>
      </c>
      <c r="C153" s="80"/>
      <c r="D153" s="22">
        <f>D79</f>
        <v>1606.4354000000003</v>
      </c>
    </row>
    <row r="154" spans="1:4" x14ac:dyDescent="0.2">
      <c r="A154" s="30" t="s">
        <v>8</v>
      </c>
      <c r="B154" s="80" t="s">
        <v>45</v>
      </c>
      <c r="C154" s="80"/>
      <c r="D154" s="22">
        <f>D91</f>
        <v>108.19999999999999</v>
      </c>
    </row>
    <row r="155" spans="1:4" x14ac:dyDescent="0.2">
      <c r="A155" s="30" t="s">
        <v>10</v>
      </c>
      <c r="B155" s="80" t="s">
        <v>50</v>
      </c>
      <c r="C155" s="80"/>
      <c r="D155" s="22">
        <f>D121</f>
        <v>67.009999999999991</v>
      </c>
    </row>
    <row r="156" spans="1:4" x14ac:dyDescent="0.2">
      <c r="A156" s="30" t="s">
        <v>12</v>
      </c>
      <c r="B156" s="80" t="s">
        <v>55</v>
      </c>
      <c r="C156" s="80"/>
      <c r="D156" s="22">
        <f>D131</f>
        <v>22.41</v>
      </c>
    </row>
    <row r="157" spans="1:4" x14ac:dyDescent="0.2">
      <c r="A157" s="79" t="s">
        <v>93</v>
      </c>
      <c r="B157" s="79"/>
      <c r="C157" s="79"/>
      <c r="D157" s="23">
        <f>SUM(D152:D156)</f>
        <v>3560.9654</v>
      </c>
    </row>
    <row r="158" spans="1:4" x14ac:dyDescent="0.2">
      <c r="A158" s="30" t="s">
        <v>32</v>
      </c>
      <c r="B158" s="80" t="s">
        <v>69</v>
      </c>
      <c r="C158" s="80"/>
      <c r="D158" s="24">
        <f>D146</f>
        <v>777.68209885057468</v>
      </c>
    </row>
    <row r="159" spans="1:4" x14ac:dyDescent="0.2">
      <c r="A159" s="79" t="s">
        <v>70</v>
      </c>
      <c r="B159" s="79"/>
      <c r="C159" s="79"/>
      <c r="D159" s="23">
        <f>ROUND(SUM(D157:D158),2)</f>
        <v>4338.6499999999996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zoomScale="115" zoomScaleNormal="115" workbookViewId="0">
      <selection activeCell="D159" sqref="D15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2" t="s">
        <v>102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x14ac:dyDescent="0.2">
      <c r="A5" s="72" t="s">
        <v>103</v>
      </c>
      <c r="B5" s="73"/>
      <c r="C5" s="73"/>
      <c r="D5" s="74"/>
    </row>
    <row r="6" spans="1:4" x14ac:dyDescent="0.2">
      <c r="A6" s="33" t="s">
        <v>4</v>
      </c>
      <c r="B6" s="34" t="s">
        <v>99</v>
      </c>
      <c r="C6" s="35"/>
      <c r="D6" s="36" t="s">
        <v>105</v>
      </c>
    </row>
    <row r="7" spans="1:4" x14ac:dyDescent="0.2">
      <c r="A7" s="33" t="s">
        <v>6</v>
      </c>
      <c r="B7" s="34" t="s">
        <v>100</v>
      </c>
      <c r="C7" s="35"/>
      <c r="D7" s="38" t="s">
        <v>106</v>
      </c>
    </row>
    <row r="8" spans="1:4" x14ac:dyDescent="0.2">
      <c r="A8" s="33" t="s">
        <v>8</v>
      </c>
      <c r="B8" s="34" t="s">
        <v>101</v>
      </c>
      <c r="C8" s="35"/>
      <c r="D8" s="37">
        <v>45723</v>
      </c>
    </row>
    <row r="9" spans="1:4" x14ac:dyDescent="0.2">
      <c r="A9" s="33" t="s">
        <v>10</v>
      </c>
      <c r="B9" s="83" t="s">
        <v>108</v>
      </c>
      <c r="C9" s="84"/>
      <c r="D9" s="85"/>
    </row>
    <row r="10" spans="1:4" x14ac:dyDescent="0.2">
      <c r="A10" s="33" t="s">
        <v>12</v>
      </c>
      <c r="B10" s="83" t="s">
        <v>107</v>
      </c>
      <c r="C10" s="84"/>
      <c r="D10" s="85"/>
    </row>
    <row r="12" spans="1:4" x14ac:dyDescent="0.2">
      <c r="A12" s="82" t="s">
        <v>87</v>
      </c>
      <c r="B12" s="82"/>
      <c r="C12" s="82"/>
      <c r="D12" s="82"/>
    </row>
    <row r="13" spans="1:4" x14ac:dyDescent="0.2">
      <c r="A13" s="2"/>
      <c r="B13" s="2"/>
      <c r="C13" s="2"/>
      <c r="D13" s="2"/>
    </row>
    <row r="14" spans="1:4" ht="38.25" x14ac:dyDescent="0.2">
      <c r="A14" s="75" t="s">
        <v>88</v>
      </c>
      <c r="B14" s="75"/>
      <c r="C14" s="32" t="s">
        <v>89</v>
      </c>
      <c r="D14" s="27" t="s">
        <v>90</v>
      </c>
    </row>
    <row r="15" spans="1:4" x14ac:dyDescent="0.2">
      <c r="A15" s="76" t="s">
        <v>118</v>
      </c>
      <c r="B15" s="76"/>
      <c r="C15" s="39" t="s">
        <v>110</v>
      </c>
      <c r="D15" s="39">
        <v>3</v>
      </c>
    </row>
    <row r="17" spans="1:4" x14ac:dyDescent="0.2">
      <c r="A17" s="82" t="s">
        <v>71</v>
      </c>
      <c r="B17" s="82"/>
      <c r="C17" s="82"/>
      <c r="D17" s="8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77" t="s">
        <v>118</v>
      </c>
      <c r="D19" s="78"/>
    </row>
    <row r="20" spans="1:4" x14ac:dyDescent="0.2">
      <c r="A20" s="5">
        <v>2</v>
      </c>
      <c r="B20" s="5" t="s">
        <v>91</v>
      </c>
      <c r="C20" s="77" t="s">
        <v>117</v>
      </c>
      <c r="D20" s="78"/>
    </row>
    <row r="21" spans="1:4" x14ac:dyDescent="0.2">
      <c r="A21" s="5">
        <v>3</v>
      </c>
      <c r="B21" s="5" t="s">
        <v>73</v>
      </c>
      <c r="C21" s="81">
        <v>2157.85</v>
      </c>
      <c r="D21" s="78"/>
    </row>
    <row r="22" spans="1:4" x14ac:dyDescent="0.2">
      <c r="A22" s="5">
        <v>4</v>
      </c>
      <c r="B22" s="5" t="s">
        <v>74</v>
      </c>
      <c r="C22" s="77"/>
      <c r="D22" s="78"/>
    </row>
    <row r="23" spans="1:4" x14ac:dyDescent="0.2">
      <c r="A23" s="5">
        <v>5</v>
      </c>
      <c r="B23" s="5" t="s">
        <v>75</v>
      </c>
      <c r="C23" s="77"/>
      <c r="D23" s="78"/>
    </row>
    <row r="25" spans="1:4" x14ac:dyDescent="0.2">
      <c r="A25" s="82" t="s">
        <v>1</v>
      </c>
      <c r="B25" s="82"/>
      <c r="C25" s="82"/>
      <c r="D25" s="82"/>
    </row>
    <row r="27" spans="1:4" x14ac:dyDescent="0.2">
      <c r="A27" s="30">
        <v>1</v>
      </c>
      <c r="B27" s="79" t="s">
        <v>2</v>
      </c>
      <c r="C27" s="79"/>
      <c r="D27" s="30" t="s">
        <v>3</v>
      </c>
    </row>
    <row r="28" spans="1:4" x14ac:dyDescent="0.2">
      <c r="A28" s="32" t="s">
        <v>4</v>
      </c>
      <c r="B28" s="80" t="s">
        <v>5</v>
      </c>
      <c r="C28" s="80"/>
      <c r="D28" s="13">
        <v>2157.85</v>
      </c>
    </row>
    <row r="29" spans="1:4" x14ac:dyDescent="0.2">
      <c r="A29" s="32" t="s">
        <v>6</v>
      </c>
      <c r="B29" s="80" t="s">
        <v>7</v>
      </c>
      <c r="C29" s="80"/>
      <c r="D29" s="13"/>
    </row>
    <row r="30" spans="1:4" x14ac:dyDescent="0.2">
      <c r="A30" s="32" t="s">
        <v>8</v>
      </c>
      <c r="B30" s="80" t="s">
        <v>9</v>
      </c>
      <c r="C30" s="80"/>
      <c r="D30" s="13"/>
    </row>
    <row r="31" spans="1:4" x14ac:dyDescent="0.2">
      <c r="A31" s="32" t="s">
        <v>10</v>
      </c>
      <c r="B31" s="80" t="s">
        <v>11</v>
      </c>
      <c r="C31" s="80"/>
      <c r="D31" s="13"/>
    </row>
    <row r="32" spans="1:4" x14ac:dyDescent="0.2">
      <c r="A32" s="32" t="s">
        <v>12</v>
      </c>
      <c r="B32" s="80" t="s">
        <v>13</v>
      </c>
      <c r="C32" s="80"/>
      <c r="D32" s="13"/>
    </row>
    <row r="33" spans="1:4" x14ac:dyDescent="0.2">
      <c r="A33" s="32"/>
      <c r="B33" s="80"/>
      <c r="C33" s="80"/>
      <c r="D33" s="13"/>
    </row>
    <row r="34" spans="1:4" x14ac:dyDescent="0.2">
      <c r="A34" s="32" t="s">
        <v>14</v>
      </c>
      <c r="B34" s="80" t="s">
        <v>15</v>
      </c>
      <c r="C34" s="80"/>
      <c r="D34" s="13"/>
    </row>
    <row r="35" spans="1:4" x14ac:dyDescent="0.2">
      <c r="A35" s="79" t="s">
        <v>16</v>
      </c>
      <c r="B35" s="79"/>
      <c r="C35" s="79"/>
      <c r="D35" s="20">
        <f>SUM(D28:D34)</f>
        <v>2157.85</v>
      </c>
    </row>
    <row r="38" spans="1:4" x14ac:dyDescent="0.2">
      <c r="A38" s="82" t="s">
        <v>17</v>
      </c>
      <c r="B38" s="82"/>
      <c r="C38" s="82"/>
      <c r="D38" s="82"/>
    </row>
    <row r="39" spans="1:4" x14ac:dyDescent="0.2">
      <c r="A39" s="3"/>
    </row>
    <row r="40" spans="1:4" x14ac:dyDescent="0.2">
      <c r="A40" s="92" t="s">
        <v>18</v>
      </c>
      <c r="B40" s="92"/>
      <c r="C40" s="92"/>
      <c r="D40" s="92"/>
    </row>
    <row r="42" spans="1:4" x14ac:dyDescent="0.2">
      <c r="A42" s="30" t="s">
        <v>19</v>
      </c>
      <c r="B42" s="79" t="s">
        <v>20</v>
      </c>
      <c r="C42" s="7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179.74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239.73</v>
      </c>
    </row>
    <row r="45" spans="1:4" x14ac:dyDescent="0.2">
      <c r="A45" s="79" t="s">
        <v>16</v>
      </c>
      <c r="B45" s="79"/>
      <c r="C45" s="28">
        <f>SUM(C43:C44)</f>
        <v>0.19440000000000002</v>
      </c>
      <c r="D45" s="19">
        <f>SUM(D43:D44)</f>
        <v>419.47</v>
      </c>
    </row>
    <row r="48" spans="1:4" x14ac:dyDescent="0.2">
      <c r="A48" s="95" t="s">
        <v>23</v>
      </c>
      <c r="B48" s="95"/>
      <c r="C48" s="95"/>
      <c r="D48" s="95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515.46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64.430000000000007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77.31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38.65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25.77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15.46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5.15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206.18</v>
      </c>
    </row>
    <row r="59" spans="1:4" x14ac:dyDescent="0.2">
      <c r="A59" s="79" t="s">
        <v>37</v>
      </c>
      <c r="B59" s="79"/>
      <c r="C59" s="15">
        <f>SUM(C51:C58)</f>
        <v>0.36800000000000005</v>
      </c>
      <c r="D59" s="19">
        <f>SUM(D51:D58)</f>
        <v>948.41000000000008</v>
      </c>
    </row>
    <row r="62" spans="1:4" x14ac:dyDescent="0.2">
      <c r="A62" s="92" t="s">
        <v>38</v>
      </c>
      <c r="B62" s="92"/>
      <c r="C62" s="92"/>
      <c r="D62" s="92"/>
    </row>
    <row r="64" spans="1:4" x14ac:dyDescent="0.2">
      <c r="A64" s="30" t="s">
        <v>39</v>
      </c>
      <c r="B64" s="91" t="s">
        <v>40</v>
      </c>
      <c r="C64" s="91"/>
      <c r="D64" s="30" t="s">
        <v>3</v>
      </c>
    </row>
    <row r="65" spans="1:5" x14ac:dyDescent="0.2">
      <c r="A65" s="32" t="s">
        <v>4</v>
      </c>
      <c r="B65" s="80" t="s">
        <v>41</v>
      </c>
      <c r="C65" s="80"/>
      <c r="D65" s="13">
        <f>IF((22*2*5.6)-(D28*0.06)&gt;0,(22*2*5.6)-(D28*0.06),0)</f>
        <v>116.92899999999997</v>
      </c>
    </row>
    <row r="66" spans="1:5" x14ac:dyDescent="0.2">
      <c r="A66" s="32" t="s">
        <v>6</v>
      </c>
      <c r="B66" s="80" t="s">
        <v>42</v>
      </c>
      <c r="C66" s="80"/>
      <c r="D66" s="13">
        <v>0</v>
      </c>
    </row>
    <row r="67" spans="1:5" x14ac:dyDescent="0.2">
      <c r="A67" s="32" t="s">
        <v>8</v>
      </c>
      <c r="B67" s="80" t="s">
        <v>112</v>
      </c>
      <c r="C67" s="80"/>
      <c r="D67" s="13">
        <v>320</v>
      </c>
    </row>
    <row r="68" spans="1:5" x14ac:dyDescent="0.2">
      <c r="A68" s="32" t="s">
        <v>10</v>
      </c>
      <c r="B68" s="80" t="s">
        <v>113</v>
      </c>
      <c r="C68" s="80"/>
      <c r="D68" s="13">
        <v>26.5</v>
      </c>
    </row>
    <row r="69" spans="1:5" x14ac:dyDescent="0.2">
      <c r="A69" s="32" t="s">
        <v>10</v>
      </c>
      <c r="B69" s="80" t="s">
        <v>114</v>
      </c>
      <c r="C69" s="80"/>
      <c r="D69" s="13">
        <v>5.21</v>
      </c>
    </row>
    <row r="70" spans="1:5" x14ac:dyDescent="0.2">
      <c r="A70" s="79" t="s">
        <v>16</v>
      </c>
      <c r="B70" s="79"/>
      <c r="C70" s="79"/>
      <c r="D70" s="19">
        <f>SUM(D65:D69)</f>
        <v>468.63899999999995</v>
      </c>
    </row>
    <row r="73" spans="1:5" x14ac:dyDescent="0.2">
      <c r="A73" s="92" t="s">
        <v>43</v>
      </c>
      <c r="B73" s="92"/>
      <c r="C73" s="92"/>
      <c r="D73" s="92"/>
    </row>
    <row r="75" spans="1:5" x14ac:dyDescent="0.2">
      <c r="A75" s="30">
        <v>2</v>
      </c>
      <c r="B75" s="91" t="s">
        <v>44</v>
      </c>
      <c r="C75" s="91"/>
      <c r="D75" s="30" t="s">
        <v>3</v>
      </c>
    </row>
    <row r="76" spans="1:5" x14ac:dyDescent="0.2">
      <c r="A76" s="32" t="s">
        <v>19</v>
      </c>
      <c r="B76" s="80" t="s">
        <v>20</v>
      </c>
      <c r="C76" s="80"/>
      <c r="D76" s="14">
        <f>D45</f>
        <v>419.47</v>
      </c>
    </row>
    <row r="77" spans="1:5" x14ac:dyDescent="0.2">
      <c r="A77" s="32" t="s">
        <v>24</v>
      </c>
      <c r="B77" s="80" t="s">
        <v>25</v>
      </c>
      <c r="C77" s="80"/>
      <c r="D77" s="14">
        <f>D59</f>
        <v>948.41000000000008</v>
      </c>
    </row>
    <row r="78" spans="1:5" x14ac:dyDescent="0.2">
      <c r="A78" s="32" t="s">
        <v>39</v>
      </c>
      <c r="B78" s="80" t="s">
        <v>40</v>
      </c>
      <c r="C78" s="80"/>
      <c r="D78" s="14">
        <f>D70</f>
        <v>468.63899999999995</v>
      </c>
    </row>
    <row r="79" spans="1:5" x14ac:dyDescent="0.2">
      <c r="A79" s="79" t="s">
        <v>16</v>
      </c>
      <c r="B79" s="79"/>
      <c r="C79" s="79"/>
      <c r="D79" s="19">
        <f>SUM(D76:D78)</f>
        <v>1836.519</v>
      </c>
    </row>
    <row r="80" spans="1:5" x14ac:dyDescent="0.2">
      <c r="A80" s="4"/>
      <c r="E80" s="18"/>
    </row>
    <row r="82" spans="1:5" x14ac:dyDescent="0.2">
      <c r="A82" s="82" t="s">
        <v>45</v>
      </c>
      <c r="B82" s="82"/>
      <c r="C82" s="82"/>
      <c r="D82" s="82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91" t="s">
        <v>46</v>
      </c>
      <c r="C84" s="91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8.84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0.7</v>
      </c>
    </row>
    <row r="87" spans="1:5" x14ac:dyDescent="0.2">
      <c r="A87" s="32" t="s">
        <v>8</v>
      </c>
      <c r="B87" s="10" t="s">
        <v>97</v>
      </c>
      <c r="C87" s="9">
        <f>TRUNC(8%*5%*40%,4)</f>
        <v>1.6000000000000001E-3</v>
      </c>
      <c r="D87" s="13">
        <f>TRUNC($D$35*C87,2)</f>
        <v>3.45</v>
      </c>
    </row>
    <row r="88" spans="1:5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39.700000000000003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14.6</v>
      </c>
    </row>
    <row r="90" spans="1:5" x14ac:dyDescent="0.2">
      <c r="A90" s="32" t="s">
        <v>32</v>
      </c>
      <c r="B90" s="10" t="s">
        <v>98</v>
      </c>
      <c r="C90" s="9">
        <f>TRUNC(8%*95%*40%,4)</f>
        <v>3.04E-2</v>
      </c>
      <c r="D90" s="13">
        <f t="shared" ref="D90" si="1">TRUNC($D$35*C90,2)</f>
        <v>65.59</v>
      </c>
    </row>
    <row r="91" spans="1:5" x14ac:dyDescent="0.2">
      <c r="A91" s="89" t="s">
        <v>16</v>
      </c>
      <c r="B91" s="90"/>
      <c r="C91" s="93"/>
      <c r="D91" s="19">
        <f>SUM(D85:D90)</f>
        <v>132.88</v>
      </c>
    </row>
    <row r="94" spans="1:5" x14ac:dyDescent="0.2">
      <c r="A94" s="82" t="s">
        <v>50</v>
      </c>
      <c r="B94" s="82"/>
      <c r="C94" s="82"/>
      <c r="D94" s="82"/>
    </row>
    <row r="97" spans="1:6" x14ac:dyDescent="0.2">
      <c r="A97" s="92" t="s">
        <v>76</v>
      </c>
      <c r="B97" s="92"/>
      <c r="C97" s="92"/>
      <c r="D97" s="92"/>
    </row>
    <row r="98" spans="1:6" x14ac:dyDescent="0.2">
      <c r="A98" s="3"/>
    </row>
    <row r="99" spans="1:6" x14ac:dyDescent="0.2">
      <c r="A99" s="30" t="s">
        <v>51</v>
      </c>
      <c r="B99" s="91" t="s">
        <v>77</v>
      </c>
      <c r="C99" s="91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</f>
        <v>9.1999999999999998E-3</v>
      </c>
      <c r="D100" s="13">
        <f>TRUNC(($D$35+$D$79+$D$91)*C100,2)</f>
        <v>37.97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22.69</v>
      </c>
    </row>
    <row r="102" spans="1:6" x14ac:dyDescent="0.2">
      <c r="A102" s="32" t="s">
        <v>8</v>
      </c>
      <c r="B102" s="29" t="s">
        <v>80</v>
      </c>
      <c r="C102" s="9">
        <f>TRUNC(((5/30)/12)*2%,4)</f>
        <v>2.0000000000000001E-4</v>
      </c>
      <c r="D102" s="13">
        <f t="shared" si="2"/>
        <v>0.82</v>
      </c>
    </row>
    <row r="103" spans="1:6" x14ac:dyDescent="0.2">
      <c r="A103" s="32" t="s">
        <v>10</v>
      </c>
      <c r="B103" s="29" t="s">
        <v>81</v>
      </c>
      <c r="C103" s="9">
        <f>TRUNC(((15/30)/12)*8%,4)</f>
        <v>3.3E-3</v>
      </c>
      <c r="D103" s="13">
        <f t="shared" si="2"/>
        <v>13.61</v>
      </c>
    </row>
    <row r="104" spans="1:6" x14ac:dyDescent="0.2">
      <c r="A104" s="32" t="s">
        <v>12</v>
      </c>
      <c r="B104" s="29" t="s">
        <v>82</v>
      </c>
      <c r="C104" s="9">
        <f>((1+1/3)/12)*3%*(4/12)</f>
        <v>1.1111111111111109E-3</v>
      </c>
      <c r="D104" s="13">
        <f t="shared" si="2"/>
        <v>4.58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79" t="s">
        <v>37</v>
      </c>
      <c r="B106" s="79"/>
      <c r="C106" s="79"/>
      <c r="D106" s="19">
        <f>SUM(D100:D105)</f>
        <v>79.67</v>
      </c>
      <c r="E106" s="17"/>
      <c r="F106" s="17"/>
    </row>
    <row r="109" spans="1:6" x14ac:dyDescent="0.2">
      <c r="A109" s="92" t="s">
        <v>84</v>
      </c>
      <c r="B109" s="92"/>
      <c r="C109" s="92"/>
      <c r="D109" s="92"/>
    </row>
    <row r="110" spans="1:6" x14ac:dyDescent="0.2">
      <c r="A110" s="3"/>
    </row>
    <row r="111" spans="1:6" x14ac:dyDescent="0.2">
      <c r="A111" s="30" t="s">
        <v>52</v>
      </c>
      <c r="B111" s="91" t="s">
        <v>85</v>
      </c>
      <c r="C111" s="91"/>
      <c r="D111" s="30" t="s">
        <v>3</v>
      </c>
    </row>
    <row r="112" spans="1:6" x14ac:dyDescent="0.2">
      <c r="A112" s="32" t="s">
        <v>4</v>
      </c>
      <c r="B112" s="86" t="s">
        <v>86</v>
      </c>
      <c r="C112" s="87"/>
      <c r="D112" s="13">
        <f>((D35+D79+D91)/220)*22*0</f>
        <v>0</v>
      </c>
    </row>
    <row r="113" spans="1:4" x14ac:dyDescent="0.2">
      <c r="A113" s="79" t="s">
        <v>16</v>
      </c>
      <c r="B113" s="79"/>
      <c r="C113" s="79"/>
      <c r="D113" s="19">
        <f>SUM(D112)</f>
        <v>0</v>
      </c>
    </row>
    <row r="116" spans="1:4" x14ac:dyDescent="0.2">
      <c r="A116" s="92" t="s">
        <v>53</v>
      </c>
      <c r="B116" s="92"/>
      <c r="C116" s="92"/>
      <c r="D116" s="92"/>
    </row>
    <row r="117" spans="1:4" x14ac:dyDescent="0.2">
      <c r="A117" s="3"/>
    </row>
    <row r="118" spans="1:4" x14ac:dyDescent="0.2">
      <c r="A118" s="30">
        <v>4</v>
      </c>
      <c r="B118" s="79" t="s">
        <v>54</v>
      </c>
      <c r="C118" s="79"/>
      <c r="D118" s="30" t="s">
        <v>3</v>
      </c>
    </row>
    <row r="119" spans="1:4" x14ac:dyDescent="0.2">
      <c r="A119" s="32" t="s">
        <v>51</v>
      </c>
      <c r="B119" s="80" t="s">
        <v>77</v>
      </c>
      <c r="C119" s="80"/>
      <c r="D119" s="14">
        <f>D106</f>
        <v>79.67</v>
      </c>
    </row>
    <row r="120" spans="1:4" x14ac:dyDescent="0.2">
      <c r="A120" s="32" t="s">
        <v>52</v>
      </c>
      <c r="B120" s="80" t="s">
        <v>85</v>
      </c>
      <c r="C120" s="80"/>
      <c r="D120" s="14">
        <f>D113</f>
        <v>0</v>
      </c>
    </row>
    <row r="121" spans="1:4" x14ac:dyDescent="0.2">
      <c r="A121" s="79" t="s">
        <v>16</v>
      </c>
      <c r="B121" s="79"/>
      <c r="C121" s="79"/>
      <c r="D121" s="19">
        <f>SUM(D119:D120)</f>
        <v>79.67</v>
      </c>
    </row>
    <row r="124" spans="1:4" x14ac:dyDescent="0.2">
      <c r="A124" s="82" t="s">
        <v>55</v>
      </c>
      <c r="B124" s="82"/>
      <c r="C124" s="82"/>
      <c r="D124" s="82"/>
    </row>
    <row r="126" spans="1:4" x14ac:dyDescent="0.2">
      <c r="A126" s="30">
        <v>5</v>
      </c>
      <c r="B126" s="88" t="s">
        <v>56</v>
      </c>
      <c r="C126" s="88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19.420000000000002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f>0.88+2.11</f>
        <v>2.9899999999999998</v>
      </c>
    </row>
    <row r="130" spans="1:4" x14ac:dyDescent="0.2">
      <c r="A130" s="32" t="s">
        <v>10</v>
      </c>
      <c r="B130" s="29" t="s">
        <v>15</v>
      </c>
      <c r="C130" s="29"/>
      <c r="D130" s="13">
        <v>0</v>
      </c>
    </row>
    <row r="131" spans="1:4" x14ac:dyDescent="0.2">
      <c r="A131" s="79" t="s">
        <v>37</v>
      </c>
      <c r="B131" s="79"/>
      <c r="C131" s="79"/>
      <c r="D131" s="20">
        <f>SUM(D127:D130)</f>
        <v>22.41</v>
      </c>
    </row>
    <row r="134" spans="1:4" x14ac:dyDescent="0.2">
      <c r="A134" s="82" t="s">
        <v>60</v>
      </c>
      <c r="B134" s="82"/>
      <c r="C134" s="82"/>
      <c r="D134" s="82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211.46645000000001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266.44772699999999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445.73238621839073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94</v>
      </c>
      <c r="C141" s="9">
        <v>6.4999999999999997E-3</v>
      </c>
      <c r="D141" s="14">
        <f t="shared" ref="D141:D145" si="3">$D$159*C141</f>
        <v>33.494369999999996</v>
      </c>
    </row>
    <row r="142" spans="1:4" x14ac:dyDescent="0.2">
      <c r="A142" s="32"/>
      <c r="B142" s="29" t="s">
        <v>95</v>
      </c>
      <c r="C142" s="9">
        <v>0.03</v>
      </c>
      <c r="D142" s="14">
        <f t="shared" si="3"/>
        <v>154.58939999999998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96</v>
      </c>
      <c r="C145" s="9">
        <v>0.05</v>
      </c>
      <c r="D145" s="14">
        <f t="shared" si="3"/>
        <v>257.649</v>
      </c>
    </row>
    <row r="146" spans="1:4" ht="13.5" x14ac:dyDescent="0.2">
      <c r="A146" s="89" t="s">
        <v>37</v>
      </c>
      <c r="B146" s="90"/>
      <c r="C146" s="21">
        <f>(1+C138)*(1+C137)/(1-C139)-1</f>
        <v>0.21839080459770144</v>
      </c>
      <c r="D146" s="19">
        <f>SUM(D137:D139)</f>
        <v>923.64656321839072</v>
      </c>
    </row>
    <row r="149" spans="1:4" x14ac:dyDescent="0.2">
      <c r="A149" s="82" t="s">
        <v>104</v>
      </c>
      <c r="B149" s="82"/>
      <c r="C149" s="82"/>
      <c r="D149" s="82"/>
    </row>
    <row r="151" spans="1:4" x14ac:dyDescent="0.2">
      <c r="A151" s="30"/>
      <c r="B151" s="79" t="s">
        <v>68</v>
      </c>
      <c r="C151" s="79"/>
      <c r="D151" s="30" t="s">
        <v>3</v>
      </c>
    </row>
    <row r="152" spans="1:4" x14ac:dyDescent="0.2">
      <c r="A152" s="30" t="s">
        <v>4</v>
      </c>
      <c r="B152" s="80" t="s">
        <v>1</v>
      </c>
      <c r="C152" s="80"/>
      <c r="D152" s="22">
        <f>D35</f>
        <v>2157.85</v>
      </c>
    </row>
    <row r="153" spans="1:4" x14ac:dyDescent="0.2">
      <c r="A153" s="30" t="s">
        <v>6</v>
      </c>
      <c r="B153" s="80" t="s">
        <v>17</v>
      </c>
      <c r="C153" s="80"/>
      <c r="D153" s="22">
        <f>D79</f>
        <v>1836.519</v>
      </c>
    </row>
    <row r="154" spans="1:4" x14ac:dyDescent="0.2">
      <c r="A154" s="30" t="s">
        <v>8</v>
      </c>
      <c r="B154" s="80" t="s">
        <v>45</v>
      </c>
      <c r="C154" s="80"/>
      <c r="D154" s="22">
        <f>D91</f>
        <v>132.88</v>
      </c>
    </row>
    <row r="155" spans="1:4" x14ac:dyDescent="0.2">
      <c r="A155" s="30" t="s">
        <v>10</v>
      </c>
      <c r="B155" s="80" t="s">
        <v>50</v>
      </c>
      <c r="C155" s="80"/>
      <c r="D155" s="22">
        <f>D121</f>
        <v>79.67</v>
      </c>
    </row>
    <row r="156" spans="1:4" x14ac:dyDescent="0.2">
      <c r="A156" s="30" t="s">
        <v>12</v>
      </c>
      <c r="B156" s="80" t="s">
        <v>55</v>
      </c>
      <c r="C156" s="80"/>
      <c r="D156" s="22">
        <f>D131</f>
        <v>22.41</v>
      </c>
    </row>
    <row r="157" spans="1:4" x14ac:dyDescent="0.2">
      <c r="A157" s="79" t="s">
        <v>93</v>
      </c>
      <c r="B157" s="79"/>
      <c r="C157" s="79"/>
      <c r="D157" s="23">
        <f>SUM(D152:D156)</f>
        <v>4229.3289999999997</v>
      </c>
    </row>
    <row r="158" spans="1:4" x14ac:dyDescent="0.2">
      <c r="A158" s="30" t="s">
        <v>32</v>
      </c>
      <c r="B158" s="80" t="s">
        <v>69</v>
      </c>
      <c r="C158" s="80"/>
      <c r="D158" s="24">
        <f>D146</f>
        <v>923.64656321839072</v>
      </c>
    </row>
    <row r="159" spans="1:4" x14ac:dyDescent="0.2">
      <c r="A159" s="79" t="s">
        <v>70</v>
      </c>
      <c r="B159" s="79"/>
      <c r="C159" s="79"/>
      <c r="D159" s="23">
        <f>ROUND(SUM(D157:D158),2)</f>
        <v>5152.9799999999996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81" zoomScale="115" zoomScaleNormal="115" workbookViewId="0">
      <selection activeCell="D159" sqref="D15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2" t="s">
        <v>102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x14ac:dyDescent="0.2">
      <c r="A5" s="72" t="s">
        <v>103</v>
      </c>
      <c r="B5" s="73"/>
      <c r="C5" s="73"/>
      <c r="D5" s="74"/>
    </row>
    <row r="6" spans="1:4" x14ac:dyDescent="0.2">
      <c r="A6" s="33" t="s">
        <v>4</v>
      </c>
      <c r="B6" s="34" t="s">
        <v>99</v>
      </c>
      <c r="C6" s="35"/>
      <c r="D6" s="36" t="s">
        <v>105</v>
      </c>
    </row>
    <row r="7" spans="1:4" x14ac:dyDescent="0.2">
      <c r="A7" s="33" t="s">
        <v>6</v>
      </c>
      <c r="B7" s="34" t="s">
        <v>100</v>
      </c>
      <c r="C7" s="35"/>
      <c r="D7" s="38" t="s">
        <v>106</v>
      </c>
    </row>
    <row r="8" spans="1:4" x14ac:dyDescent="0.2">
      <c r="A8" s="33" t="s">
        <v>8</v>
      </c>
      <c r="B8" s="34" t="s">
        <v>101</v>
      </c>
      <c r="C8" s="35"/>
      <c r="D8" s="37">
        <v>45723</v>
      </c>
    </row>
    <row r="9" spans="1:4" x14ac:dyDescent="0.2">
      <c r="A9" s="33" t="s">
        <v>10</v>
      </c>
      <c r="B9" s="83" t="s">
        <v>108</v>
      </c>
      <c r="C9" s="84"/>
      <c r="D9" s="85"/>
    </row>
    <row r="10" spans="1:4" x14ac:dyDescent="0.2">
      <c r="A10" s="33" t="s">
        <v>12</v>
      </c>
      <c r="B10" s="83" t="s">
        <v>107</v>
      </c>
      <c r="C10" s="84"/>
      <c r="D10" s="85"/>
    </row>
    <row r="12" spans="1:4" x14ac:dyDescent="0.2">
      <c r="A12" s="82" t="s">
        <v>87</v>
      </c>
      <c r="B12" s="82"/>
      <c r="C12" s="82"/>
      <c r="D12" s="82"/>
    </row>
    <row r="13" spans="1:4" x14ac:dyDescent="0.2">
      <c r="A13" s="2"/>
      <c r="B13" s="2"/>
      <c r="C13" s="2"/>
      <c r="D13" s="2"/>
    </row>
    <row r="14" spans="1:4" ht="38.25" x14ac:dyDescent="0.2">
      <c r="A14" s="75" t="s">
        <v>88</v>
      </c>
      <c r="B14" s="75"/>
      <c r="C14" s="32" t="s">
        <v>89</v>
      </c>
      <c r="D14" s="27" t="s">
        <v>90</v>
      </c>
    </row>
    <row r="15" spans="1:4" x14ac:dyDescent="0.2">
      <c r="A15" s="76" t="s">
        <v>119</v>
      </c>
      <c r="B15" s="76"/>
      <c r="C15" s="39" t="s">
        <v>110</v>
      </c>
      <c r="D15" s="39">
        <v>1</v>
      </c>
    </row>
    <row r="17" spans="1:4" x14ac:dyDescent="0.2">
      <c r="A17" s="82" t="s">
        <v>71</v>
      </c>
      <c r="B17" s="82"/>
      <c r="C17" s="82"/>
      <c r="D17" s="8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77" t="s">
        <v>119</v>
      </c>
      <c r="D19" s="78"/>
    </row>
    <row r="20" spans="1:4" x14ac:dyDescent="0.2">
      <c r="A20" s="5">
        <v>2</v>
      </c>
      <c r="B20" s="5" t="s">
        <v>91</v>
      </c>
      <c r="C20" s="77" t="s">
        <v>120</v>
      </c>
      <c r="D20" s="78"/>
    </row>
    <row r="21" spans="1:4" x14ac:dyDescent="0.2">
      <c r="A21" s="5">
        <v>3</v>
      </c>
      <c r="B21" s="5" t="s">
        <v>73</v>
      </c>
      <c r="C21" s="81">
        <v>2284.79</v>
      </c>
      <c r="D21" s="78"/>
    </row>
    <row r="22" spans="1:4" x14ac:dyDescent="0.2">
      <c r="A22" s="5">
        <v>4</v>
      </c>
      <c r="B22" s="5" t="s">
        <v>74</v>
      </c>
      <c r="C22" s="77"/>
      <c r="D22" s="78"/>
    </row>
    <row r="23" spans="1:4" x14ac:dyDescent="0.2">
      <c r="A23" s="5">
        <v>5</v>
      </c>
      <c r="B23" s="5" t="s">
        <v>75</v>
      </c>
      <c r="C23" s="77"/>
      <c r="D23" s="78"/>
    </row>
    <row r="25" spans="1:4" x14ac:dyDescent="0.2">
      <c r="A25" s="82" t="s">
        <v>1</v>
      </c>
      <c r="B25" s="82"/>
      <c r="C25" s="82"/>
      <c r="D25" s="82"/>
    </row>
    <row r="27" spans="1:4" x14ac:dyDescent="0.2">
      <c r="A27" s="30">
        <v>1</v>
      </c>
      <c r="B27" s="79" t="s">
        <v>2</v>
      </c>
      <c r="C27" s="79"/>
      <c r="D27" s="30" t="s">
        <v>3</v>
      </c>
    </row>
    <row r="28" spans="1:4" x14ac:dyDescent="0.2">
      <c r="A28" s="32" t="s">
        <v>4</v>
      </c>
      <c r="B28" s="80" t="s">
        <v>5</v>
      </c>
      <c r="C28" s="80"/>
      <c r="D28" s="13">
        <v>2284.79</v>
      </c>
    </row>
    <row r="29" spans="1:4" x14ac:dyDescent="0.2">
      <c r="A29" s="32" t="s">
        <v>6</v>
      </c>
      <c r="B29" s="80" t="s">
        <v>7</v>
      </c>
      <c r="C29" s="80"/>
      <c r="D29" s="13"/>
    </row>
    <row r="30" spans="1:4" x14ac:dyDescent="0.2">
      <c r="A30" s="32" t="s">
        <v>8</v>
      </c>
      <c r="B30" s="80" t="s">
        <v>9</v>
      </c>
      <c r="C30" s="80"/>
      <c r="D30" s="13"/>
    </row>
    <row r="31" spans="1:4" x14ac:dyDescent="0.2">
      <c r="A31" s="32" t="s">
        <v>10</v>
      </c>
      <c r="B31" s="80" t="s">
        <v>11</v>
      </c>
      <c r="C31" s="80"/>
      <c r="D31" s="13"/>
    </row>
    <row r="32" spans="1:4" x14ac:dyDescent="0.2">
      <c r="A32" s="32" t="s">
        <v>12</v>
      </c>
      <c r="B32" s="80" t="s">
        <v>13</v>
      </c>
      <c r="C32" s="80"/>
      <c r="D32" s="13"/>
    </row>
    <row r="33" spans="1:4" x14ac:dyDescent="0.2">
      <c r="A33" s="32"/>
      <c r="B33" s="80"/>
      <c r="C33" s="80"/>
      <c r="D33" s="13"/>
    </row>
    <row r="34" spans="1:4" x14ac:dyDescent="0.2">
      <c r="A34" s="32" t="s">
        <v>14</v>
      </c>
      <c r="B34" s="80" t="s">
        <v>15</v>
      </c>
      <c r="C34" s="80"/>
      <c r="D34" s="13"/>
    </row>
    <row r="35" spans="1:4" x14ac:dyDescent="0.2">
      <c r="A35" s="79" t="s">
        <v>16</v>
      </c>
      <c r="B35" s="79"/>
      <c r="C35" s="79"/>
      <c r="D35" s="20">
        <f>SUM(D28:D34)</f>
        <v>2284.79</v>
      </c>
    </row>
    <row r="38" spans="1:4" x14ac:dyDescent="0.2">
      <c r="A38" s="82" t="s">
        <v>17</v>
      </c>
      <c r="B38" s="82"/>
      <c r="C38" s="82"/>
      <c r="D38" s="82"/>
    </row>
    <row r="39" spans="1:4" x14ac:dyDescent="0.2">
      <c r="A39" s="3"/>
    </row>
    <row r="40" spans="1:4" x14ac:dyDescent="0.2">
      <c r="A40" s="92" t="s">
        <v>18</v>
      </c>
      <c r="B40" s="92"/>
      <c r="C40" s="92"/>
      <c r="D40" s="92"/>
    </row>
    <row r="42" spans="1:4" x14ac:dyDescent="0.2">
      <c r="A42" s="30" t="s">
        <v>19</v>
      </c>
      <c r="B42" s="79" t="s">
        <v>20</v>
      </c>
      <c r="C42" s="7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190.32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253.84</v>
      </c>
    </row>
    <row r="45" spans="1:4" x14ac:dyDescent="0.2">
      <c r="A45" s="79" t="s">
        <v>16</v>
      </c>
      <c r="B45" s="79"/>
      <c r="C45" s="28">
        <f>SUM(C43:C44)</f>
        <v>0.19440000000000002</v>
      </c>
      <c r="D45" s="19">
        <f>SUM(D43:D44)</f>
        <v>444.15999999999997</v>
      </c>
    </row>
    <row r="48" spans="1:4" x14ac:dyDescent="0.2">
      <c r="A48" s="95" t="s">
        <v>23</v>
      </c>
      <c r="B48" s="95"/>
      <c r="C48" s="95"/>
      <c r="D48" s="95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545.79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68.22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81.86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40.93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27.28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16.37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5.45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218.31</v>
      </c>
    </row>
    <row r="59" spans="1:4" x14ac:dyDescent="0.2">
      <c r="A59" s="79" t="s">
        <v>37</v>
      </c>
      <c r="B59" s="79"/>
      <c r="C59" s="15">
        <f>SUM(C51:C58)</f>
        <v>0.36800000000000005</v>
      </c>
      <c r="D59" s="19">
        <f>SUM(D51:D58)</f>
        <v>1004.21</v>
      </c>
    </row>
    <row r="62" spans="1:4" x14ac:dyDescent="0.2">
      <c r="A62" s="92" t="s">
        <v>38</v>
      </c>
      <c r="B62" s="92"/>
      <c r="C62" s="92"/>
      <c r="D62" s="92"/>
    </row>
    <row r="64" spans="1:4" x14ac:dyDescent="0.2">
      <c r="A64" s="30" t="s">
        <v>39</v>
      </c>
      <c r="B64" s="91" t="s">
        <v>40</v>
      </c>
      <c r="C64" s="91"/>
      <c r="D64" s="30" t="s">
        <v>3</v>
      </c>
    </row>
    <row r="65" spans="1:5" x14ac:dyDescent="0.2">
      <c r="A65" s="32" t="s">
        <v>4</v>
      </c>
      <c r="B65" s="80" t="s">
        <v>41</v>
      </c>
      <c r="C65" s="80"/>
      <c r="D65" s="13">
        <f>IF((22*2*5.6)-(D28*0.06)&gt;0,(22*2*5.6)-(D28*0.06),0)</f>
        <v>109.31259999999997</v>
      </c>
    </row>
    <row r="66" spans="1:5" x14ac:dyDescent="0.2">
      <c r="A66" s="32" t="s">
        <v>6</v>
      </c>
      <c r="B66" s="80" t="s">
        <v>42</v>
      </c>
      <c r="C66" s="80"/>
      <c r="D66" s="13">
        <f>22*0.8*22</f>
        <v>387.20000000000005</v>
      </c>
    </row>
    <row r="67" spans="1:5" x14ac:dyDescent="0.2">
      <c r="A67" s="32" t="s">
        <v>8</v>
      </c>
      <c r="B67" s="80" t="s">
        <v>112</v>
      </c>
      <c r="C67" s="80"/>
      <c r="D67" s="13">
        <v>320</v>
      </c>
    </row>
    <row r="68" spans="1:5" x14ac:dyDescent="0.2">
      <c r="A68" s="32" t="s">
        <v>10</v>
      </c>
      <c r="B68" s="80" t="s">
        <v>113</v>
      </c>
      <c r="C68" s="80"/>
      <c r="D68" s="13">
        <v>26.5</v>
      </c>
    </row>
    <row r="69" spans="1:5" x14ac:dyDescent="0.2">
      <c r="A69" s="32" t="s">
        <v>10</v>
      </c>
      <c r="B69" s="80" t="s">
        <v>114</v>
      </c>
      <c r="C69" s="80"/>
      <c r="D69" s="13">
        <v>5.21</v>
      </c>
    </row>
    <row r="70" spans="1:5" x14ac:dyDescent="0.2">
      <c r="A70" s="79" t="s">
        <v>16</v>
      </c>
      <c r="B70" s="79"/>
      <c r="C70" s="79"/>
      <c r="D70" s="19">
        <f>SUM(D65:D69)</f>
        <v>848.22260000000006</v>
      </c>
    </row>
    <row r="73" spans="1:5" x14ac:dyDescent="0.2">
      <c r="A73" s="92" t="s">
        <v>43</v>
      </c>
      <c r="B73" s="92"/>
      <c r="C73" s="92"/>
      <c r="D73" s="92"/>
    </row>
    <row r="75" spans="1:5" x14ac:dyDescent="0.2">
      <c r="A75" s="30">
        <v>2</v>
      </c>
      <c r="B75" s="91" t="s">
        <v>44</v>
      </c>
      <c r="C75" s="91"/>
      <c r="D75" s="30" t="s">
        <v>3</v>
      </c>
    </row>
    <row r="76" spans="1:5" x14ac:dyDescent="0.2">
      <c r="A76" s="32" t="s">
        <v>19</v>
      </c>
      <c r="B76" s="80" t="s">
        <v>20</v>
      </c>
      <c r="C76" s="80"/>
      <c r="D76" s="14">
        <f>D45</f>
        <v>444.15999999999997</v>
      </c>
    </row>
    <row r="77" spans="1:5" x14ac:dyDescent="0.2">
      <c r="A77" s="32" t="s">
        <v>24</v>
      </c>
      <c r="B77" s="80" t="s">
        <v>25</v>
      </c>
      <c r="C77" s="80"/>
      <c r="D77" s="14">
        <f>D59</f>
        <v>1004.21</v>
      </c>
    </row>
    <row r="78" spans="1:5" x14ac:dyDescent="0.2">
      <c r="A78" s="32" t="s">
        <v>39</v>
      </c>
      <c r="B78" s="80" t="s">
        <v>40</v>
      </c>
      <c r="C78" s="80"/>
      <c r="D78" s="14">
        <f>D70</f>
        <v>848.22260000000006</v>
      </c>
    </row>
    <row r="79" spans="1:5" x14ac:dyDescent="0.2">
      <c r="A79" s="79" t="s">
        <v>16</v>
      </c>
      <c r="B79" s="79"/>
      <c r="C79" s="79"/>
      <c r="D79" s="19">
        <f>SUM(D76:D78)</f>
        <v>2296.5925999999999</v>
      </c>
    </row>
    <row r="80" spans="1:5" x14ac:dyDescent="0.2">
      <c r="A80" s="4"/>
      <c r="E80" s="18"/>
    </row>
    <row r="82" spans="1:5" x14ac:dyDescent="0.2">
      <c r="A82" s="82" t="s">
        <v>45</v>
      </c>
      <c r="B82" s="82"/>
      <c r="C82" s="82"/>
      <c r="D82" s="82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91" t="s">
        <v>46</v>
      </c>
      <c r="C84" s="91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9.36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0.74</v>
      </c>
    </row>
    <row r="87" spans="1:5" x14ac:dyDescent="0.2">
      <c r="A87" s="32" t="s">
        <v>8</v>
      </c>
      <c r="B87" s="10" t="s">
        <v>97</v>
      </c>
      <c r="C87" s="9">
        <f>TRUNC(8%*5%*40%,4)</f>
        <v>1.6000000000000001E-3</v>
      </c>
      <c r="D87" s="13">
        <f>TRUNC($D$35*C87,2)</f>
        <v>3.65</v>
      </c>
    </row>
    <row r="88" spans="1:5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42.04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15.47</v>
      </c>
    </row>
    <row r="90" spans="1:5" x14ac:dyDescent="0.2">
      <c r="A90" s="32" t="s">
        <v>32</v>
      </c>
      <c r="B90" s="10" t="s">
        <v>98</v>
      </c>
      <c r="C90" s="9">
        <f>TRUNC(8%*95%*40%,4)</f>
        <v>3.04E-2</v>
      </c>
      <c r="D90" s="13">
        <f t="shared" ref="D90" si="1">TRUNC($D$35*C90,2)</f>
        <v>69.45</v>
      </c>
    </row>
    <row r="91" spans="1:5" x14ac:dyDescent="0.2">
      <c r="A91" s="89" t="s">
        <v>16</v>
      </c>
      <c r="B91" s="90"/>
      <c r="C91" s="93"/>
      <c r="D91" s="19">
        <f>SUM(D85:D90)</f>
        <v>140.71</v>
      </c>
    </row>
    <row r="94" spans="1:5" x14ac:dyDescent="0.2">
      <c r="A94" s="82" t="s">
        <v>50</v>
      </c>
      <c r="B94" s="82"/>
      <c r="C94" s="82"/>
      <c r="D94" s="82"/>
    </row>
    <row r="97" spans="1:6" x14ac:dyDescent="0.2">
      <c r="A97" s="92" t="s">
        <v>76</v>
      </c>
      <c r="B97" s="92"/>
      <c r="C97" s="92"/>
      <c r="D97" s="92"/>
    </row>
    <row r="98" spans="1:6" x14ac:dyDescent="0.2">
      <c r="A98" s="3"/>
    </row>
    <row r="99" spans="1:6" x14ac:dyDescent="0.2">
      <c r="A99" s="30" t="s">
        <v>51</v>
      </c>
      <c r="B99" s="91" t="s">
        <v>77</v>
      </c>
      <c r="C99" s="91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</f>
        <v>9.1999999999999998E-3</v>
      </c>
      <c r="D100" s="13">
        <f>TRUNC(($D$35+$D$79+$D$91)*C100,2)</f>
        <v>43.44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25.97</v>
      </c>
    </row>
    <row r="102" spans="1:6" x14ac:dyDescent="0.2">
      <c r="A102" s="32" t="s">
        <v>8</v>
      </c>
      <c r="B102" s="29" t="s">
        <v>80</v>
      </c>
      <c r="C102" s="9">
        <f>TRUNC(((5/30)/12)*2%,4)</f>
        <v>2.0000000000000001E-4</v>
      </c>
      <c r="D102" s="13">
        <f t="shared" si="2"/>
        <v>0.94</v>
      </c>
    </row>
    <row r="103" spans="1:6" x14ac:dyDescent="0.2">
      <c r="A103" s="32" t="s">
        <v>10</v>
      </c>
      <c r="B103" s="29" t="s">
        <v>81</v>
      </c>
      <c r="C103" s="9">
        <f>TRUNC(((15/30)/12)*8%,4)</f>
        <v>3.3E-3</v>
      </c>
      <c r="D103" s="13">
        <f t="shared" si="2"/>
        <v>15.58</v>
      </c>
    </row>
    <row r="104" spans="1:6" x14ac:dyDescent="0.2">
      <c r="A104" s="32" t="s">
        <v>12</v>
      </c>
      <c r="B104" s="29" t="s">
        <v>82</v>
      </c>
      <c r="C104" s="9">
        <f>((1+1/3)/12)*3%*(4/12)</f>
        <v>1.1111111111111109E-3</v>
      </c>
      <c r="D104" s="13">
        <f t="shared" si="2"/>
        <v>5.24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79" t="s">
        <v>37</v>
      </c>
      <c r="B106" s="79"/>
      <c r="C106" s="79"/>
      <c r="D106" s="19">
        <f>SUM(D100:D105)</f>
        <v>91.169999999999987</v>
      </c>
      <c r="E106" s="17"/>
      <c r="F106" s="17"/>
    </row>
    <row r="109" spans="1:6" x14ac:dyDescent="0.2">
      <c r="A109" s="92" t="s">
        <v>84</v>
      </c>
      <c r="B109" s="92"/>
      <c r="C109" s="92"/>
      <c r="D109" s="92"/>
    </row>
    <row r="110" spans="1:6" x14ac:dyDescent="0.2">
      <c r="A110" s="3"/>
    </row>
    <row r="111" spans="1:6" x14ac:dyDescent="0.2">
      <c r="A111" s="30" t="s">
        <v>52</v>
      </c>
      <c r="B111" s="91" t="s">
        <v>85</v>
      </c>
      <c r="C111" s="91"/>
      <c r="D111" s="30" t="s">
        <v>3</v>
      </c>
    </row>
    <row r="112" spans="1:6" x14ac:dyDescent="0.2">
      <c r="A112" s="32" t="s">
        <v>4</v>
      </c>
      <c r="B112" s="86" t="s">
        <v>86</v>
      </c>
      <c r="C112" s="87"/>
      <c r="D112" s="13">
        <f>((D35+D79+D91)/220)*22*0</f>
        <v>0</v>
      </c>
    </row>
    <row r="113" spans="1:4" x14ac:dyDescent="0.2">
      <c r="A113" s="79" t="s">
        <v>16</v>
      </c>
      <c r="B113" s="79"/>
      <c r="C113" s="79"/>
      <c r="D113" s="19">
        <f>SUM(D112)</f>
        <v>0</v>
      </c>
    </row>
    <row r="116" spans="1:4" x14ac:dyDescent="0.2">
      <c r="A116" s="92" t="s">
        <v>53</v>
      </c>
      <c r="B116" s="92"/>
      <c r="C116" s="92"/>
      <c r="D116" s="92"/>
    </row>
    <row r="117" spans="1:4" x14ac:dyDescent="0.2">
      <c r="A117" s="3"/>
    </row>
    <row r="118" spans="1:4" x14ac:dyDescent="0.2">
      <c r="A118" s="30">
        <v>4</v>
      </c>
      <c r="B118" s="79" t="s">
        <v>54</v>
      </c>
      <c r="C118" s="79"/>
      <c r="D118" s="30" t="s">
        <v>3</v>
      </c>
    </row>
    <row r="119" spans="1:4" x14ac:dyDescent="0.2">
      <c r="A119" s="32" t="s">
        <v>51</v>
      </c>
      <c r="B119" s="80" t="s">
        <v>77</v>
      </c>
      <c r="C119" s="80"/>
      <c r="D119" s="14">
        <f>D106</f>
        <v>91.169999999999987</v>
      </c>
    </row>
    <row r="120" spans="1:4" x14ac:dyDescent="0.2">
      <c r="A120" s="32" t="s">
        <v>52</v>
      </c>
      <c r="B120" s="80" t="s">
        <v>85</v>
      </c>
      <c r="C120" s="80"/>
      <c r="D120" s="14">
        <f>D113</f>
        <v>0</v>
      </c>
    </row>
    <row r="121" spans="1:4" x14ac:dyDescent="0.2">
      <c r="A121" s="79" t="s">
        <v>16</v>
      </c>
      <c r="B121" s="79"/>
      <c r="C121" s="79"/>
      <c r="D121" s="19">
        <f>SUM(D119:D120)</f>
        <v>91.169999999999987</v>
      </c>
    </row>
    <row r="124" spans="1:4" x14ac:dyDescent="0.2">
      <c r="A124" s="82" t="s">
        <v>55</v>
      </c>
      <c r="B124" s="82"/>
      <c r="C124" s="82"/>
      <c r="D124" s="82"/>
    </row>
    <row r="126" spans="1:4" x14ac:dyDescent="0.2">
      <c r="A126" s="30">
        <v>5</v>
      </c>
      <c r="B126" s="88" t="s">
        <v>56</v>
      </c>
      <c r="C126" s="88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19.420000000000002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0.88</v>
      </c>
    </row>
    <row r="130" spans="1:4" x14ac:dyDescent="0.2">
      <c r="A130" s="32" t="s">
        <v>10</v>
      </c>
      <c r="B130" s="29" t="s">
        <v>15</v>
      </c>
      <c r="C130" s="29"/>
      <c r="D130" s="13">
        <v>0</v>
      </c>
    </row>
    <row r="131" spans="1:4" x14ac:dyDescent="0.2">
      <c r="A131" s="79" t="s">
        <v>37</v>
      </c>
      <c r="B131" s="79"/>
      <c r="C131" s="79"/>
      <c r="D131" s="20">
        <f>SUM(D127:D130)</f>
        <v>20.3</v>
      </c>
    </row>
    <row r="134" spans="1:4" x14ac:dyDescent="0.2">
      <c r="A134" s="82" t="s">
        <v>60</v>
      </c>
      <c r="B134" s="82"/>
      <c r="C134" s="82"/>
      <c r="D134" s="82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241.67813000000001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304.51444380000004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509.41305148735631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94</v>
      </c>
      <c r="C141" s="9">
        <v>6.4999999999999997E-3</v>
      </c>
      <c r="D141" s="14">
        <f t="shared" ref="D141:D145" si="3">$D$159*C141</f>
        <v>38.279604999999997</v>
      </c>
    </row>
    <row r="142" spans="1:4" x14ac:dyDescent="0.2">
      <c r="A142" s="32"/>
      <c r="B142" s="29" t="s">
        <v>95</v>
      </c>
      <c r="C142" s="9">
        <v>0.03</v>
      </c>
      <c r="D142" s="14">
        <f t="shared" si="3"/>
        <v>176.67509999999999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96</v>
      </c>
      <c r="C145" s="9">
        <v>0.05</v>
      </c>
      <c r="D145" s="14">
        <f t="shared" si="3"/>
        <v>294.45850000000002</v>
      </c>
    </row>
    <row r="146" spans="1:4" ht="13.5" x14ac:dyDescent="0.2">
      <c r="A146" s="89" t="s">
        <v>37</v>
      </c>
      <c r="B146" s="90"/>
      <c r="C146" s="21">
        <f>(1+C138)*(1+C137)/(1-C139)-1</f>
        <v>0.21839080459770144</v>
      </c>
      <c r="D146" s="19">
        <f>SUM(D137:D139)</f>
        <v>1055.6056252873564</v>
      </c>
    </row>
    <row r="149" spans="1:4" x14ac:dyDescent="0.2">
      <c r="A149" s="82" t="s">
        <v>104</v>
      </c>
      <c r="B149" s="82"/>
      <c r="C149" s="82"/>
      <c r="D149" s="82"/>
    </row>
    <row r="151" spans="1:4" x14ac:dyDescent="0.2">
      <c r="A151" s="30"/>
      <c r="B151" s="79" t="s">
        <v>68</v>
      </c>
      <c r="C151" s="79"/>
      <c r="D151" s="30" t="s">
        <v>3</v>
      </c>
    </row>
    <row r="152" spans="1:4" x14ac:dyDescent="0.2">
      <c r="A152" s="30" t="s">
        <v>4</v>
      </c>
      <c r="B152" s="80" t="s">
        <v>1</v>
      </c>
      <c r="C152" s="80"/>
      <c r="D152" s="22">
        <f>D35</f>
        <v>2284.79</v>
      </c>
    </row>
    <row r="153" spans="1:4" x14ac:dyDescent="0.2">
      <c r="A153" s="30" t="s">
        <v>6</v>
      </c>
      <c r="B153" s="80" t="s">
        <v>17</v>
      </c>
      <c r="C153" s="80"/>
      <c r="D153" s="22">
        <f>D79</f>
        <v>2296.5925999999999</v>
      </c>
    </row>
    <row r="154" spans="1:4" x14ac:dyDescent="0.2">
      <c r="A154" s="30" t="s">
        <v>8</v>
      </c>
      <c r="B154" s="80" t="s">
        <v>45</v>
      </c>
      <c r="C154" s="80"/>
      <c r="D154" s="22">
        <f>D91</f>
        <v>140.71</v>
      </c>
    </row>
    <row r="155" spans="1:4" x14ac:dyDescent="0.2">
      <c r="A155" s="30" t="s">
        <v>10</v>
      </c>
      <c r="B155" s="80" t="s">
        <v>50</v>
      </c>
      <c r="C155" s="80"/>
      <c r="D155" s="22">
        <f>D121</f>
        <v>91.169999999999987</v>
      </c>
    </row>
    <row r="156" spans="1:4" x14ac:dyDescent="0.2">
      <c r="A156" s="30" t="s">
        <v>12</v>
      </c>
      <c r="B156" s="80" t="s">
        <v>55</v>
      </c>
      <c r="C156" s="80"/>
      <c r="D156" s="22">
        <f>D131</f>
        <v>20.3</v>
      </c>
    </row>
    <row r="157" spans="1:4" x14ac:dyDescent="0.2">
      <c r="A157" s="79" t="s">
        <v>93</v>
      </c>
      <c r="B157" s="79"/>
      <c r="C157" s="79"/>
      <c r="D157" s="23">
        <f>SUM(D152:D156)</f>
        <v>4833.5626000000002</v>
      </c>
    </row>
    <row r="158" spans="1:4" x14ac:dyDescent="0.2">
      <c r="A158" s="30" t="s">
        <v>32</v>
      </c>
      <c r="B158" s="80" t="s">
        <v>69</v>
      </c>
      <c r="C158" s="80"/>
      <c r="D158" s="24">
        <f>D146</f>
        <v>1055.6056252873564</v>
      </c>
    </row>
    <row r="159" spans="1:4" x14ac:dyDescent="0.2">
      <c r="A159" s="79" t="s">
        <v>70</v>
      </c>
      <c r="B159" s="79"/>
      <c r="C159" s="79"/>
      <c r="D159" s="23">
        <f>ROUND(SUM(D157:D158),2)</f>
        <v>5889.17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9" zoomScale="115" zoomScaleNormal="115" workbookViewId="0">
      <selection activeCell="D159" sqref="D15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2" t="s">
        <v>102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x14ac:dyDescent="0.2">
      <c r="A5" s="72" t="s">
        <v>103</v>
      </c>
      <c r="B5" s="73"/>
      <c r="C5" s="73"/>
      <c r="D5" s="74"/>
    </row>
    <row r="6" spans="1:4" x14ac:dyDescent="0.2">
      <c r="A6" s="33" t="s">
        <v>4</v>
      </c>
      <c r="B6" s="34" t="s">
        <v>99</v>
      </c>
      <c r="C6" s="35"/>
      <c r="D6" s="36" t="s">
        <v>105</v>
      </c>
    </row>
    <row r="7" spans="1:4" x14ac:dyDescent="0.2">
      <c r="A7" s="33" t="s">
        <v>6</v>
      </c>
      <c r="B7" s="34" t="s">
        <v>100</v>
      </c>
      <c r="C7" s="35"/>
      <c r="D7" s="38" t="s">
        <v>106</v>
      </c>
    </row>
    <row r="8" spans="1:4" x14ac:dyDescent="0.2">
      <c r="A8" s="33" t="s">
        <v>8</v>
      </c>
      <c r="B8" s="34" t="s">
        <v>101</v>
      </c>
      <c r="C8" s="35"/>
      <c r="D8" s="37">
        <v>45723</v>
      </c>
    </row>
    <row r="9" spans="1:4" x14ac:dyDescent="0.2">
      <c r="A9" s="33" t="s">
        <v>10</v>
      </c>
      <c r="B9" s="83" t="s">
        <v>108</v>
      </c>
      <c r="C9" s="84"/>
      <c r="D9" s="85"/>
    </row>
    <row r="10" spans="1:4" x14ac:dyDescent="0.2">
      <c r="A10" s="33" t="s">
        <v>12</v>
      </c>
      <c r="B10" s="83" t="s">
        <v>107</v>
      </c>
      <c r="C10" s="84"/>
      <c r="D10" s="85"/>
    </row>
    <row r="12" spans="1:4" x14ac:dyDescent="0.2">
      <c r="A12" s="82" t="s">
        <v>87</v>
      </c>
      <c r="B12" s="82"/>
      <c r="C12" s="82"/>
      <c r="D12" s="82"/>
    </row>
    <row r="13" spans="1:4" x14ac:dyDescent="0.2">
      <c r="A13" s="2"/>
      <c r="B13" s="2"/>
      <c r="C13" s="2"/>
      <c r="D13" s="2"/>
    </row>
    <row r="14" spans="1:4" ht="38.25" x14ac:dyDescent="0.2">
      <c r="A14" s="75" t="s">
        <v>88</v>
      </c>
      <c r="B14" s="75"/>
      <c r="C14" s="32" t="s">
        <v>89</v>
      </c>
      <c r="D14" s="27" t="s">
        <v>90</v>
      </c>
    </row>
    <row r="15" spans="1:4" x14ac:dyDescent="0.2">
      <c r="A15" s="76" t="s">
        <v>121</v>
      </c>
      <c r="B15" s="76"/>
      <c r="C15" s="39" t="s">
        <v>110</v>
      </c>
      <c r="D15" s="39">
        <v>2</v>
      </c>
    </row>
    <row r="17" spans="1:4" x14ac:dyDescent="0.2">
      <c r="A17" s="82" t="s">
        <v>71</v>
      </c>
      <c r="B17" s="82"/>
      <c r="C17" s="82"/>
      <c r="D17" s="8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77" t="s">
        <v>121</v>
      </c>
      <c r="D19" s="78"/>
    </row>
    <row r="20" spans="1:4" x14ac:dyDescent="0.2">
      <c r="A20" s="5">
        <v>2</v>
      </c>
      <c r="B20" s="5" t="s">
        <v>91</v>
      </c>
      <c r="C20" s="77" t="s">
        <v>120</v>
      </c>
      <c r="D20" s="78"/>
    </row>
    <row r="21" spans="1:4" x14ac:dyDescent="0.2">
      <c r="A21" s="5">
        <v>3</v>
      </c>
      <c r="B21" s="5" t="s">
        <v>73</v>
      </c>
      <c r="C21" s="81">
        <v>1950.9</v>
      </c>
      <c r="D21" s="78"/>
    </row>
    <row r="22" spans="1:4" x14ac:dyDescent="0.2">
      <c r="A22" s="5">
        <v>4</v>
      </c>
      <c r="B22" s="5" t="s">
        <v>74</v>
      </c>
      <c r="C22" s="77"/>
      <c r="D22" s="78"/>
    </row>
    <row r="23" spans="1:4" x14ac:dyDescent="0.2">
      <c r="A23" s="5">
        <v>5</v>
      </c>
      <c r="B23" s="5" t="s">
        <v>75</v>
      </c>
      <c r="C23" s="77"/>
      <c r="D23" s="78"/>
    </row>
    <row r="25" spans="1:4" x14ac:dyDescent="0.2">
      <c r="A25" s="82" t="s">
        <v>1</v>
      </c>
      <c r="B25" s="82"/>
      <c r="C25" s="82"/>
      <c r="D25" s="82"/>
    </row>
    <row r="27" spans="1:4" x14ac:dyDescent="0.2">
      <c r="A27" s="30">
        <v>1</v>
      </c>
      <c r="B27" s="79" t="s">
        <v>2</v>
      </c>
      <c r="C27" s="79"/>
      <c r="D27" s="30" t="s">
        <v>3</v>
      </c>
    </row>
    <row r="28" spans="1:4" x14ac:dyDescent="0.2">
      <c r="A28" s="32" t="s">
        <v>4</v>
      </c>
      <c r="B28" s="80" t="s">
        <v>5</v>
      </c>
      <c r="C28" s="80"/>
      <c r="D28" s="13">
        <v>1950.9</v>
      </c>
    </row>
    <row r="29" spans="1:4" x14ac:dyDescent="0.2">
      <c r="A29" s="32" t="s">
        <v>6</v>
      </c>
      <c r="B29" s="80" t="s">
        <v>7</v>
      </c>
      <c r="C29" s="80"/>
      <c r="D29" s="13"/>
    </row>
    <row r="30" spans="1:4" x14ac:dyDescent="0.2">
      <c r="A30" s="32" t="s">
        <v>8</v>
      </c>
      <c r="B30" s="80" t="s">
        <v>9</v>
      </c>
      <c r="C30" s="80"/>
      <c r="D30" s="13"/>
    </row>
    <row r="31" spans="1:4" x14ac:dyDescent="0.2">
      <c r="A31" s="32" t="s">
        <v>10</v>
      </c>
      <c r="B31" s="80" t="s">
        <v>11</v>
      </c>
      <c r="C31" s="80"/>
      <c r="D31" s="13"/>
    </row>
    <row r="32" spans="1:4" x14ac:dyDescent="0.2">
      <c r="A32" s="32" t="s">
        <v>12</v>
      </c>
      <c r="B32" s="80" t="s">
        <v>13</v>
      </c>
      <c r="C32" s="80"/>
      <c r="D32" s="13"/>
    </row>
    <row r="33" spans="1:4" x14ac:dyDescent="0.2">
      <c r="A33" s="32"/>
      <c r="B33" s="80"/>
      <c r="C33" s="80"/>
      <c r="D33" s="13"/>
    </row>
    <row r="34" spans="1:4" x14ac:dyDescent="0.2">
      <c r="A34" s="32" t="s">
        <v>14</v>
      </c>
      <c r="B34" s="80" t="s">
        <v>15</v>
      </c>
      <c r="C34" s="80"/>
      <c r="D34" s="13"/>
    </row>
    <row r="35" spans="1:4" x14ac:dyDescent="0.2">
      <c r="A35" s="79" t="s">
        <v>16</v>
      </c>
      <c r="B35" s="79"/>
      <c r="C35" s="79"/>
      <c r="D35" s="20">
        <f>SUM(D28:D34)</f>
        <v>1950.9</v>
      </c>
    </row>
    <row r="38" spans="1:4" x14ac:dyDescent="0.2">
      <c r="A38" s="82" t="s">
        <v>17</v>
      </c>
      <c r="B38" s="82"/>
      <c r="C38" s="82"/>
      <c r="D38" s="82"/>
    </row>
    <row r="39" spans="1:4" x14ac:dyDescent="0.2">
      <c r="A39" s="3"/>
    </row>
    <row r="40" spans="1:4" x14ac:dyDescent="0.2">
      <c r="A40" s="92" t="s">
        <v>18</v>
      </c>
      <c r="B40" s="92"/>
      <c r="C40" s="92"/>
      <c r="D40" s="92"/>
    </row>
    <row r="42" spans="1:4" x14ac:dyDescent="0.2">
      <c r="A42" s="30" t="s">
        <v>19</v>
      </c>
      <c r="B42" s="79" t="s">
        <v>20</v>
      </c>
      <c r="C42" s="7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162.5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216.74</v>
      </c>
    </row>
    <row r="45" spans="1:4" x14ac:dyDescent="0.2">
      <c r="A45" s="79" t="s">
        <v>16</v>
      </c>
      <c r="B45" s="79"/>
      <c r="C45" s="28">
        <f>SUM(C43:C44)</f>
        <v>0.19440000000000002</v>
      </c>
      <c r="D45" s="19">
        <f>SUM(D43:D44)</f>
        <v>379.24</v>
      </c>
    </row>
    <row r="48" spans="1:4" x14ac:dyDescent="0.2">
      <c r="A48" s="95" t="s">
        <v>23</v>
      </c>
      <c r="B48" s="95"/>
      <c r="C48" s="95"/>
      <c r="D48" s="95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466.02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58.25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69.900000000000006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34.950000000000003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23.3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13.98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4.66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186.41</v>
      </c>
    </row>
    <row r="59" spans="1:4" x14ac:dyDescent="0.2">
      <c r="A59" s="79" t="s">
        <v>37</v>
      </c>
      <c r="B59" s="79"/>
      <c r="C59" s="15">
        <f>SUM(C51:C58)</f>
        <v>0.36800000000000005</v>
      </c>
      <c r="D59" s="19">
        <f>SUM(D51:D58)</f>
        <v>857.46999999999991</v>
      </c>
    </row>
    <row r="62" spans="1:4" x14ac:dyDescent="0.2">
      <c r="A62" s="92" t="s">
        <v>38</v>
      </c>
      <c r="B62" s="92"/>
      <c r="C62" s="92"/>
      <c r="D62" s="92"/>
    </row>
    <row r="64" spans="1:4" x14ac:dyDescent="0.2">
      <c r="A64" s="30" t="s">
        <v>39</v>
      </c>
      <c r="B64" s="91" t="s">
        <v>40</v>
      </c>
      <c r="C64" s="91"/>
      <c r="D64" s="30" t="s">
        <v>3</v>
      </c>
    </row>
    <row r="65" spans="1:5" x14ac:dyDescent="0.2">
      <c r="A65" s="32" t="s">
        <v>4</v>
      </c>
      <c r="B65" s="80" t="s">
        <v>41</v>
      </c>
      <c r="C65" s="80"/>
      <c r="D65" s="13">
        <f>IF((22*2*5.6)-(D28*0.06)&gt;0,(22*2*5.6)-(D28*0.06),0)</f>
        <v>129.34599999999998</v>
      </c>
    </row>
    <row r="66" spans="1:5" x14ac:dyDescent="0.2">
      <c r="A66" s="32" t="s">
        <v>6</v>
      </c>
      <c r="B66" s="80" t="s">
        <v>42</v>
      </c>
      <c r="C66" s="80"/>
      <c r="D66" s="13">
        <f>22*0.8*22</f>
        <v>387.20000000000005</v>
      </c>
    </row>
    <row r="67" spans="1:5" x14ac:dyDescent="0.2">
      <c r="A67" s="32" t="s">
        <v>8</v>
      </c>
      <c r="B67" s="80" t="s">
        <v>112</v>
      </c>
      <c r="C67" s="80"/>
      <c r="D67" s="13">
        <v>320</v>
      </c>
    </row>
    <row r="68" spans="1:5" x14ac:dyDescent="0.2">
      <c r="A68" s="32" t="s">
        <v>10</v>
      </c>
      <c r="B68" s="80" t="s">
        <v>113</v>
      </c>
      <c r="C68" s="80"/>
      <c r="D68" s="13">
        <v>26.5</v>
      </c>
    </row>
    <row r="69" spans="1:5" x14ac:dyDescent="0.2">
      <c r="A69" s="32" t="s">
        <v>10</v>
      </c>
      <c r="B69" s="80" t="s">
        <v>114</v>
      </c>
      <c r="C69" s="80"/>
      <c r="D69" s="13">
        <v>5.21</v>
      </c>
    </row>
    <row r="70" spans="1:5" x14ac:dyDescent="0.2">
      <c r="A70" s="79" t="s">
        <v>16</v>
      </c>
      <c r="B70" s="79"/>
      <c r="C70" s="79"/>
      <c r="D70" s="19">
        <f>SUM(D65:D69)</f>
        <v>868.25600000000009</v>
      </c>
    </row>
    <row r="73" spans="1:5" x14ac:dyDescent="0.2">
      <c r="A73" s="92" t="s">
        <v>43</v>
      </c>
      <c r="B73" s="92"/>
      <c r="C73" s="92"/>
      <c r="D73" s="92"/>
    </row>
    <row r="75" spans="1:5" x14ac:dyDescent="0.2">
      <c r="A75" s="30">
        <v>2</v>
      </c>
      <c r="B75" s="91" t="s">
        <v>44</v>
      </c>
      <c r="C75" s="91"/>
      <c r="D75" s="30" t="s">
        <v>3</v>
      </c>
    </row>
    <row r="76" spans="1:5" x14ac:dyDescent="0.2">
      <c r="A76" s="32" t="s">
        <v>19</v>
      </c>
      <c r="B76" s="80" t="s">
        <v>20</v>
      </c>
      <c r="C76" s="80"/>
      <c r="D76" s="14">
        <f>D45</f>
        <v>379.24</v>
      </c>
    </row>
    <row r="77" spans="1:5" x14ac:dyDescent="0.2">
      <c r="A77" s="32" t="s">
        <v>24</v>
      </c>
      <c r="B77" s="80" t="s">
        <v>25</v>
      </c>
      <c r="C77" s="80"/>
      <c r="D77" s="14">
        <f>D59</f>
        <v>857.46999999999991</v>
      </c>
    </row>
    <row r="78" spans="1:5" x14ac:dyDescent="0.2">
      <c r="A78" s="32" t="s">
        <v>39</v>
      </c>
      <c r="B78" s="80" t="s">
        <v>40</v>
      </c>
      <c r="C78" s="80"/>
      <c r="D78" s="14">
        <f>D70</f>
        <v>868.25600000000009</v>
      </c>
    </row>
    <row r="79" spans="1:5" x14ac:dyDescent="0.2">
      <c r="A79" s="79" t="s">
        <v>16</v>
      </c>
      <c r="B79" s="79"/>
      <c r="C79" s="79"/>
      <c r="D79" s="19">
        <f>SUM(D76:D78)</f>
        <v>2104.9660000000003</v>
      </c>
    </row>
    <row r="80" spans="1:5" x14ac:dyDescent="0.2">
      <c r="A80" s="4"/>
      <c r="E80" s="18"/>
    </row>
    <row r="82" spans="1:5" x14ac:dyDescent="0.2">
      <c r="A82" s="82" t="s">
        <v>45</v>
      </c>
      <c r="B82" s="82"/>
      <c r="C82" s="82"/>
      <c r="D82" s="82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91" t="s">
        <v>46</v>
      </c>
      <c r="C84" s="91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7.99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0.63</v>
      </c>
    </row>
    <row r="87" spans="1:5" x14ac:dyDescent="0.2">
      <c r="A87" s="32" t="s">
        <v>8</v>
      </c>
      <c r="B87" s="10" t="s">
        <v>97</v>
      </c>
      <c r="C87" s="9">
        <f>TRUNC(8%*5%*40%,4)</f>
        <v>1.6000000000000001E-3</v>
      </c>
      <c r="D87" s="13">
        <f>TRUNC($D$35*C87,2)</f>
        <v>3.12</v>
      </c>
    </row>
    <row r="88" spans="1:5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35.89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13.2</v>
      </c>
    </row>
    <row r="90" spans="1:5" x14ac:dyDescent="0.2">
      <c r="A90" s="32" t="s">
        <v>32</v>
      </c>
      <c r="B90" s="10" t="s">
        <v>98</v>
      </c>
      <c r="C90" s="9">
        <f>TRUNC(8%*95%*40%,4)</f>
        <v>3.04E-2</v>
      </c>
      <c r="D90" s="13">
        <f t="shared" ref="D90" si="1">TRUNC($D$35*C90,2)</f>
        <v>59.3</v>
      </c>
    </row>
    <row r="91" spans="1:5" x14ac:dyDescent="0.2">
      <c r="A91" s="89" t="s">
        <v>16</v>
      </c>
      <c r="B91" s="90"/>
      <c r="C91" s="93"/>
      <c r="D91" s="19">
        <f>SUM(D85:D90)</f>
        <v>120.13</v>
      </c>
    </row>
    <row r="94" spans="1:5" x14ac:dyDescent="0.2">
      <c r="A94" s="82" t="s">
        <v>50</v>
      </c>
      <c r="B94" s="82"/>
      <c r="C94" s="82"/>
      <c r="D94" s="82"/>
    </row>
    <row r="97" spans="1:6" x14ac:dyDescent="0.2">
      <c r="A97" s="92" t="s">
        <v>76</v>
      </c>
      <c r="B97" s="92"/>
      <c r="C97" s="92"/>
      <c r="D97" s="92"/>
    </row>
    <row r="98" spans="1:6" x14ac:dyDescent="0.2">
      <c r="A98" s="3"/>
    </row>
    <row r="99" spans="1:6" x14ac:dyDescent="0.2">
      <c r="A99" s="30" t="s">
        <v>51</v>
      </c>
      <c r="B99" s="91" t="s">
        <v>77</v>
      </c>
      <c r="C99" s="91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</f>
        <v>9.1999999999999998E-3</v>
      </c>
      <c r="D100" s="13">
        <f>TRUNC(($D$35+$D$79+$D$91)*C100,2)</f>
        <v>38.409999999999997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22.96</v>
      </c>
    </row>
    <row r="102" spans="1:6" x14ac:dyDescent="0.2">
      <c r="A102" s="32" t="s">
        <v>8</v>
      </c>
      <c r="B102" s="29" t="s">
        <v>80</v>
      </c>
      <c r="C102" s="9">
        <f>TRUNC(((5/30)/12)*2%,4)</f>
        <v>2.0000000000000001E-4</v>
      </c>
      <c r="D102" s="13">
        <f t="shared" si="2"/>
        <v>0.83</v>
      </c>
    </row>
    <row r="103" spans="1:6" x14ac:dyDescent="0.2">
      <c r="A103" s="32" t="s">
        <v>10</v>
      </c>
      <c r="B103" s="29" t="s">
        <v>81</v>
      </c>
      <c r="C103" s="9">
        <f>TRUNC(((15/30)/12)*8%,4)</f>
        <v>3.3E-3</v>
      </c>
      <c r="D103" s="13">
        <f t="shared" si="2"/>
        <v>13.78</v>
      </c>
    </row>
    <row r="104" spans="1:6" x14ac:dyDescent="0.2">
      <c r="A104" s="32" t="s">
        <v>12</v>
      </c>
      <c r="B104" s="29" t="s">
        <v>82</v>
      </c>
      <c r="C104" s="9">
        <f>((1+1/3)/12)*3%*(4/12)</f>
        <v>1.1111111111111109E-3</v>
      </c>
      <c r="D104" s="13">
        <f t="shared" si="2"/>
        <v>4.63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79" t="s">
        <v>37</v>
      </c>
      <c r="B106" s="79"/>
      <c r="C106" s="79"/>
      <c r="D106" s="19">
        <f>SUM(D100:D105)</f>
        <v>80.609999999999985</v>
      </c>
      <c r="E106" s="17"/>
      <c r="F106" s="17"/>
    </row>
    <row r="109" spans="1:6" x14ac:dyDescent="0.2">
      <c r="A109" s="92" t="s">
        <v>84</v>
      </c>
      <c r="B109" s="92"/>
      <c r="C109" s="92"/>
      <c r="D109" s="92"/>
    </row>
    <row r="110" spans="1:6" x14ac:dyDescent="0.2">
      <c r="A110" s="3"/>
    </row>
    <row r="111" spans="1:6" x14ac:dyDescent="0.2">
      <c r="A111" s="30" t="s">
        <v>52</v>
      </c>
      <c r="B111" s="91" t="s">
        <v>85</v>
      </c>
      <c r="C111" s="91"/>
      <c r="D111" s="30" t="s">
        <v>3</v>
      </c>
    </row>
    <row r="112" spans="1:6" x14ac:dyDescent="0.2">
      <c r="A112" s="32" t="s">
        <v>4</v>
      </c>
      <c r="B112" s="86" t="s">
        <v>86</v>
      </c>
      <c r="C112" s="87"/>
      <c r="D112" s="13">
        <f>((D35+D79+D91)/220)*22*0</f>
        <v>0</v>
      </c>
    </row>
    <row r="113" spans="1:4" x14ac:dyDescent="0.2">
      <c r="A113" s="79" t="s">
        <v>16</v>
      </c>
      <c r="B113" s="79"/>
      <c r="C113" s="79"/>
      <c r="D113" s="19">
        <f>SUM(D112)</f>
        <v>0</v>
      </c>
    </row>
    <row r="116" spans="1:4" x14ac:dyDescent="0.2">
      <c r="A116" s="92" t="s">
        <v>53</v>
      </c>
      <c r="B116" s="92"/>
      <c r="C116" s="92"/>
      <c r="D116" s="92"/>
    </row>
    <row r="117" spans="1:4" x14ac:dyDescent="0.2">
      <c r="A117" s="3"/>
    </row>
    <row r="118" spans="1:4" x14ac:dyDescent="0.2">
      <c r="A118" s="30">
        <v>4</v>
      </c>
      <c r="B118" s="79" t="s">
        <v>54</v>
      </c>
      <c r="C118" s="79"/>
      <c r="D118" s="30" t="s">
        <v>3</v>
      </c>
    </row>
    <row r="119" spans="1:4" x14ac:dyDescent="0.2">
      <c r="A119" s="32" t="s">
        <v>51</v>
      </c>
      <c r="B119" s="80" t="s">
        <v>77</v>
      </c>
      <c r="C119" s="80"/>
      <c r="D119" s="14">
        <f>D106</f>
        <v>80.609999999999985</v>
      </c>
    </row>
    <row r="120" spans="1:4" x14ac:dyDescent="0.2">
      <c r="A120" s="32" t="s">
        <v>52</v>
      </c>
      <c r="B120" s="80" t="s">
        <v>85</v>
      </c>
      <c r="C120" s="80"/>
      <c r="D120" s="14">
        <f>D113</f>
        <v>0</v>
      </c>
    </row>
    <row r="121" spans="1:4" x14ac:dyDescent="0.2">
      <c r="A121" s="79" t="s">
        <v>16</v>
      </c>
      <c r="B121" s="79"/>
      <c r="C121" s="79"/>
      <c r="D121" s="19">
        <f>SUM(D119:D120)</f>
        <v>80.609999999999985</v>
      </c>
    </row>
    <row r="124" spans="1:4" x14ac:dyDescent="0.2">
      <c r="A124" s="82" t="s">
        <v>55</v>
      </c>
      <c r="B124" s="82"/>
      <c r="C124" s="82"/>
      <c r="D124" s="82"/>
    </row>
    <row r="126" spans="1:4" x14ac:dyDescent="0.2">
      <c r="A126" s="30">
        <v>5</v>
      </c>
      <c r="B126" s="88" t="s">
        <v>56</v>
      </c>
      <c r="C126" s="88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19.420000000000002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0.88</v>
      </c>
    </row>
    <row r="130" spans="1:4" x14ac:dyDescent="0.2">
      <c r="A130" s="32" t="s">
        <v>10</v>
      </c>
      <c r="B130" s="29" t="s">
        <v>15</v>
      </c>
      <c r="C130" s="29"/>
      <c r="D130" s="13">
        <v>0</v>
      </c>
    </row>
    <row r="131" spans="1:4" x14ac:dyDescent="0.2">
      <c r="A131" s="79" t="s">
        <v>37</v>
      </c>
      <c r="B131" s="79"/>
      <c r="C131" s="79"/>
      <c r="D131" s="20">
        <f>SUM(D127:D130)</f>
        <v>20.3</v>
      </c>
    </row>
    <row r="134" spans="1:4" x14ac:dyDescent="0.2">
      <c r="A134" s="82" t="s">
        <v>60</v>
      </c>
      <c r="B134" s="82"/>
      <c r="C134" s="82"/>
      <c r="D134" s="82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213.84530000000001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269.44507799999997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450.74656452873558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94</v>
      </c>
      <c r="C141" s="9">
        <v>6.4999999999999997E-3</v>
      </c>
      <c r="D141" s="14">
        <f t="shared" ref="D141:D145" si="3">$D$159*C141</f>
        <v>33.871109999999994</v>
      </c>
    </row>
    <row r="142" spans="1:4" x14ac:dyDescent="0.2">
      <c r="A142" s="32"/>
      <c r="B142" s="29" t="s">
        <v>95</v>
      </c>
      <c r="C142" s="9">
        <v>0.03</v>
      </c>
      <c r="D142" s="14">
        <f t="shared" si="3"/>
        <v>156.32819999999998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96</v>
      </c>
      <c r="C145" s="9">
        <v>0.05</v>
      </c>
      <c r="D145" s="14">
        <f t="shared" si="3"/>
        <v>260.54699999999997</v>
      </c>
    </row>
    <row r="146" spans="1:4" ht="13.5" x14ac:dyDescent="0.2">
      <c r="A146" s="89" t="s">
        <v>37</v>
      </c>
      <c r="B146" s="90"/>
      <c r="C146" s="21">
        <f>(1+C138)*(1+C137)/(1-C139)-1</f>
        <v>0.21839080459770144</v>
      </c>
      <c r="D146" s="19">
        <f>SUM(D137:D139)</f>
        <v>934.03694252873561</v>
      </c>
    </row>
    <row r="149" spans="1:4" x14ac:dyDescent="0.2">
      <c r="A149" s="82" t="s">
        <v>104</v>
      </c>
      <c r="B149" s="82"/>
      <c r="C149" s="82"/>
      <c r="D149" s="82"/>
    </row>
    <row r="151" spans="1:4" x14ac:dyDescent="0.2">
      <c r="A151" s="30"/>
      <c r="B151" s="79" t="s">
        <v>68</v>
      </c>
      <c r="C151" s="79"/>
      <c r="D151" s="30" t="s">
        <v>3</v>
      </c>
    </row>
    <row r="152" spans="1:4" x14ac:dyDescent="0.2">
      <c r="A152" s="30" t="s">
        <v>4</v>
      </c>
      <c r="B152" s="80" t="s">
        <v>1</v>
      </c>
      <c r="C152" s="80"/>
      <c r="D152" s="22">
        <f>D35</f>
        <v>1950.9</v>
      </c>
    </row>
    <row r="153" spans="1:4" x14ac:dyDescent="0.2">
      <c r="A153" s="30" t="s">
        <v>6</v>
      </c>
      <c r="B153" s="80" t="s">
        <v>17</v>
      </c>
      <c r="C153" s="80"/>
      <c r="D153" s="22">
        <f>D79</f>
        <v>2104.9660000000003</v>
      </c>
    </row>
    <row r="154" spans="1:4" x14ac:dyDescent="0.2">
      <c r="A154" s="30" t="s">
        <v>8</v>
      </c>
      <c r="B154" s="80" t="s">
        <v>45</v>
      </c>
      <c r="C154" s="80"/>
      <c r="D154" s="22">
        <f>D91</f>
        <v>120.13</v>
      </c>
    </row>
    <row r="155" spans="1:4" x14ac:dyDescent="0.2">
      <c r="A155" s="30" t="s">
        <v>10</v>
      </c>
      <c r="B155" s="80" t="s">
        <v>50</v>
      </c>
      <c r="C155" s="80"/>
      <c r="D155" s="22">
        <f>D121</f>
        <v>80.609999999999985</v>
      </c>
    </row>
    <row r="156" spans="1:4" x14ac:dyDescent="0.2">
      <c r="A156" s="30" t="s">
        <v>12</v>
      </c>
      <c r="B156" s="80" t="s">
        <v>55</v>
      </c>
      <c r="C156" s="80"/>
      <c r="D156" s="22">
        <f>D131</f>
        <v>20.3</v>
      </c>
    </row>
    <row r="157" spans="1:4" x14ac:dyDescent="0.2">
      <c r="A157" s="79" t="s">
        <v>93</v>
      </c>
      <c r="B157" s="79"/>
      <c r="C157" s="79"/>
      <c r="D157" s="23">
        <f>SUM(D152:D156)</f>
        <v>4276.9059999999999</v>
      </c>
    </row>
    <row r="158" spans="1:4" x14ac:dyDescent="0.2">
      <c r="A158" s="30" t="s">
        <v>32</v>
      </c>
      <c r="B158" s="80" t="s">
        <v>69</v>
      </c>
      <c r="C158" s="80"/>
      <c r="D158" s="24">
        <f>D146</f>
        <v>934.03694252873561</v>
      </c>
    </row>
    <row r="159" spans="1:4" x14ac:dyDescent="0.2">
      <c r="A159" s="79" t="s">
        <v>70</v>
      </c>
      <c r="B159" s="79"/>
      <c r="C159" s="79"/>
      <c r="D159" s="23">
        <f>ROUND(SUM(D157:D158),2)</f>
        <v>5210.9399999999996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65" zoomScale="115" zoomScaleNormal="115" workbookViewId="0">
      <selection activeCell="D159" sqref="D15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2" t="s">
        <v>102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x14ac:dyDescent="0.2">
      <c r="A5" s="72" t="s">
        <v>103</v>
      </c>
      <c r="B5" s="73"/>
      <c r="C5" s="73"/>
      <c r="D5" s="74"/>
    </row>
    <row r="6" spans="1:4" x14ac:dyDescent="0.2">
      <c r="A6" s="33" t="s">
        <v>4</v>
      </c>
      <c r="B6" s="34" t="s">
        <v>99</v>
      </c>
      <c r="C6" s="35"/>
      <c r="D6" s="36" t="s">
        <v>105</v>
      </c>
    </row>
    <row r="7" spans="1:4" x14ac:dyDescent="0.2">
      <c r="A7" s="33" t="s">
        <v>6</v>
      </c>
      <c r="B7" s="34" t="s">
        <v>100</v>
      </c>
      <c r="C7" s="35"/>
      <c r="D7" s="38" t="s">
        <v>106</v>
      </c>
    </row>
    <row r="8" spans="1:4" x14ac:dyDescent="0.2">
      <c r="A8" s="33" t="s">
        <v>8</v>
      </c>
      <c r="B8" s="34" t="s">
        <v>101</v>
      </c>
      <c r="C8" s="35"/>
      <c r="D8" s="37">
        <v>45723</v>
      </c>
    </row>
    <row r="9" spans="1:4" x14ac:dyDescent="0.2">
      <c r="A9" s="33" t="s">
        <v>10</v>
      </c>
      <c r="B9" s="83" t="s">
        <v>108</v>
      </c>
      <c r="C9" s="84"/>
      <c r="D9" s="85"/>
    </row>
    <row r="10" spans="1:4" x14ac:dyDescent="0.2">
      <c r="A10" s="33" t="s">
        <v>12</v>
      </c>
      <c r="B10" s="83" t="s">
        <v>107</v>
      </c>
      <c r="C10" s="84"/>
      <c r="D10" s="85"/>
    </row>
    <row r="12" spans="1:4" x14ac:dyDescent="0.2">
      <c r="A12" s="82" t="s">
        <v>87</v>
      </c>
      <c r="B12" s="82"/>
      <c r="C12" s="82"/>
      <c r="D12" s="82"/>
    </row>
    <row r="13" spans="1:4" x14ac:dyDescent="0.2">
      <c r="A13" s="2"/>
      <c r="B13" s="2"/>
      <c r="C13" s="2"/>
      <c r="D13" s="2"/>
    </row>
    <row r="14" spans="1:4" ht="38.25" x14ac:dyDescent="0.2">
      <c r="A14" s="75" t="s">
        <v>88</v>
      </c>
      <c r="B14" s="75"/>
      <c r="C14" s="32" t="s">
        <v>89</v>
      </c>
      <c r="D14" s="27" t="s">
        <v>90</v>
      </c>
    </row>
    <row r="15" spans="1:4" x14ac:dyDescent="0.2">
      <c r="A15" s="76" t="s">
        <v>123</v>
      </c>
      <c r="B15" s="76"/>
      <c r="C15" s="39" t="s">
        <v>110</v>
      </c>
      <c r="D15" s="39">
        <v>40</v>
      </c>
    </row>
    <row r="17" spans="1:4" x14ac:dyDescent="0.2">
      <c r="A17" s="82" t="s">
        <v>71</v>
      </c>
      <c r="B17" s="82"/>
      <c r="C17" s="82"/>
      <c r="D17" s="8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77" t="s">
        <v>109</v>
      </c>
      <c r="D19" s="78"/>
    </row>
    <row r="20" spans="1:4" x14ac:dyDescent="0.2">
      <c r="A20" s="5">
        <v>2</v>
      </c>
      <c r="B20" s="5" t="s">
        <v>91</v>
      </c>
      <c r="C20" s="77" t="s">
        <v>111</v>
      </c>
      <c r="D20" s="78"/>
    </row>
    <row r="21" spans="1:4" x14ac:dyDescent="0.2">
      <c r="A21" s="5">
        <v>3</v>
      </c>
      <c r="B21" s="5" t="s">
        <v>73</v>
      </c>
      <c r="C21" s="81">
        <v>1942.48</v>
      </c>
      <c r="D21" s="78"/>
    </row>
    <row r="22" spans="1:4" x14ac:dyDescent="0.2">
      <c r="A22" s="5">
        <v>4</v>
      </c>
      <c r="B22" s="5" t="s">
        <v>74</v>
      </c>
      <c r="C22" s="77"/>
      <c r="D22" s="78"/>
    </row>
    <row r="23" spans="1:4" x14ac:dyDescent="0.2">
      <c r="A23" s="5">
        <v>5</v>
      </c>
      <c r="B23" s="5" t="s">
        <v>75</v>
      </c>
      <c r="C23" s="77"/>
      <c r="D23" s="78"/>
    </row>
    <row r="25" spans="1:4" x14ac:dyDescent="0.2">
      <c r="A25" s="82" t="s">
        <v>1</v>
      </c>
      <c r="B25" s="82"/>
      <c r="C25" s="82"/>
      <c r="D25" s="82"/>
    </row>
    <row r="27" spans="1:4" x14ac:dyDescent="0.2">
      <c r="A27" s="30">
        <v>1</v>
      </c>
      <c r="B27" s="79" t="s">
        <v>2</v>
      </c>
      <c r="C27" s="79"/>
      <c r="D27" s="30" t="s">
        <v>3</v>
      </c>
    </row>
    <row r="28" spans="1:4" x14ac:dyDescent="0.2">
      <c r="A28" s="32" t="s">
        <v>4</v>
      </c>
      <c r="B28" s="80" t="s">
        <v>5</v>
      </c>
      <c r="C28" s="80"/>
      <c r="D28" s="13">
        <v>1942.48</v>
      </c>
    </row>
    <row r="29" spans="1:4" x14ac:dyDescent="0.2">
      <c r="A29" s="32" t="s">
        <v>6</v>
      </c>
      <c r="B29" s="80" t="s">
        <v>7</v>
      </c>
      <c r="C29" s="80"/>
      <c r="D29" s="13"/>
    </row>
    <row r="30" spans="1:4" x14ac:dyDescent="0.2">
      <c r="A30" s="32" t="s">
        <v>8</v>
      </c>
      <c r="B30" s="80" t="s">
        <v>9</v>
      </c>
      <c r="C30" s="80"/>
      <c r="D30" s="13"/>
    </row>
    <row r="31" spans="1:4" x14ac:dyDescent="0.2">
      <c r="A31" s="32" t="s">
        <v>10</v>
      </c>
      <c r="B31" s="80" t="s">
        <v>11</v>
      </c>
      <c r="C31" s="80"/>
      <c r="D31" s="13"/>
    </row>
    <row r="32" spans="1:4" x14ac:dyDescent="0.2">
      <c r="A32" s="32" t="s">
        <v>12</v>
      </c>
      <c r="B32" s="80" t="s">
        <v>13</v>
      </c>
      <c r="C32" s="80"/>
      <c r="D32" s="13"/>
    </row>
    <row r="33" spans="1:4" x14ac:dyDescent="0.2">
      <c r="A33" s="32"/>
      <c r="B33" s="80"/>
      <c r="C33" s="80"/>
      <c r="D33" s="13"/>
    </row>
    <row r="34" spans="1:4" x14ac:dyDescent="0.2">
      <c r="A34" s="32" t="s">
        <v>14</v>
      </c>
      <c r="B34" s="80" t="s">
        <v>15</v>
      </c>
      <c r="C34" s="80"/>
      <c r="D34" s="13"/>
    </row>
    <row r="35" spans="1:4" x14ac:dyDescent="0.2">
      <c r="A35" s="79" t="s">
        <v>16</v>
      </c>
      <c r="B35" s="79"/>
      <c r="C35" s="79"/>
      <c r="D35" s="20">
        <f>SUM(D28:D34)</f>
        <v>1942.48</v>
      </c>
    </row>
    <row r="38" spans="1:4" x14ac:dyDescent="0.2">
      <c r="A38" s="82" t="s">
        <v>17</v>
      </c>
      <c r="B38" s="82"/>
      <c r="C38" s="82"/>
      <c r="D38" s="82"/>
    </row>
    <row r="39" spans="1:4" x14ac:dyDescent="0.2">
      <c r="A39" s="3"/>
    </row>
    <row r="40" spans="1:4" x14ac:dyDescent="0.2">
      <c r="A40" s="92" t="s">
        <v>18</v>
      </c>
      <c r="B40" s="92"/>
      <c r="C40" s="92"/>
      <c r="D40" s="92"/>
    </row>
    <row r="42" spans="1:4" x14ac:dyDescent="0.2">
      <c r="A42" s="30" t="s">
        <v>19</v>
      </c>
      <c r="B42" s="79" t="s">
        <v>20</v>
      </c>
      <c r="C42" s="7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161.80000000000001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215.8</v>
      </c>
    </row>
    <row r="45" spans="1:4" x14ac:dyDescent="0.2">
      <c r="A45" s="79" t="s">
        <v>16</v>
      </c>
      <c r="B45" s="79"/>
      <c r="C45" s="28">
        <f>SUM(C43:C44)</f>
        <v>0.19440000000000002</v>
      </c>
      <c r="D45" s="19">
        <f>SUM(D43:D44)</f>
        <v>377.6</v>
      </c>
    </row>
    <row r="48" spans="1:4" x14ac:dyDescent="0.2">
      <c r="A48" s="95" t="s">
        <v>23</v>
      </c>
      <c r="B48" s="95"/>
      <c r="C48" s="95"/>
      <c r="D48" s="95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464.01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58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69.599999999999994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34.799999999999997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23.2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13.92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4.6399999999999997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185.6</v>
      </c>
    </row>
    <row r="59" spans="1:4" x14ac:dyDescent="0.2">
      <c r="A59" s="79" t="s">
        <v>37</v>
      </c>
      <c r="B59" s="79"/>
      <c r="C59" s="15">
        <f>SUM(C51:C58)</f>
        <v>0.36800000000000005</v>
      </c>
      <c r="D59" s="19">
        <f>SUM(D51:D58)</f>
        <v>853.77</v>
      </c>
    </row>
    <row r="62" spans="1:4" x14ac:dyDescent="0.2">
      <c r="A62" s="92" t="s">
        <v>38</v>
      </c>
      <c r="B62" s="92"/>
      <c r="C62" s="92"/>
      <c r="D62" s="92"/>
    </row>
    <row r="64" spans="1:4" x14ac:dyDescent="0.2">
      <c r="A64" s="30" t="s">
        <v>39</v>
      </c>
      <c r="B64" s="91" t="s">
        <v>40</v>
      </c>
      <c r="C64" s="91"/>
      <c r="D64" s="30" t="s">
        <v>3</v>
      </c>
    </row>
    <row r="65" spans="1:5" x14ac:dyDescent="0.2">
      <c r="A65" s="32" t="s">
        <v>4</v>
      </c>
      <c r="B65" s="80" t="s">
        <v>41</v>
      </c>
      <c r="C65" s="80"/>
      <c r="D65" s="13">
        <f>IF((22*2*5.6)-(D28*0.06)&gt;0,(22*2*5.6)-(D28*0.06),0)</f>
        <v>129.85119999999998</v>
      </c>
    </row>
    <row r="66" spans="1:5" x14ac:dyDescent="0.2">
      <c r="A66" s="32" t="s">
        <v>6</v>
      </c>
      <c r="B66" s="80" t="s">
        <v>42</v>
      </c>
      <c r="C66" s="80"/>
      <c r="D66" s="13">
        <f>22*0.8*22</f>
        <v>387.20000000000005</v>
      </c>
    </row>
    <row r="67" spans="1:5" x14ac:dyDescent="0.2">
      <c r="A67" s="32" t="s">
        <v>8</v>
      </c>
      <c r="B67" s="80" t="s">
        <v>112</v>
      </c>
      <c r="C67" s="80"/>
      <c r="D67" s="13">
        <v>320</v>
      </c>
    </row>
    <row r="68" spans="1:5" x14ac:dyDescent="0.2">
      <c r="A68" s="32" t="s">
        <v>10</v>
      </c>
      <c r="B68" s="80" t="s">
        <v>113</v>
      </c>
      <c r="C68" s="80"/>
      <c r="D68" s="13">
        <v>26.5</v>
      </c>
    </row>
    <row r="69" spans="1:5" x14ac:dyDescent="0.2">
      <c r="A69" s="32" t="s">
        <v>10</v>
      </c>
      <c r="B69" s="80" t="s">
        <v>114</v>
      </c>
      <c r="C69" s="80"/>
      <c r="D69" s="13">
        <v>5.21</v>
      </c>
    </row>
    <row r="70" spans="1:5" x14ac:dyDescent="0.2">
      <c r="A70" s="79" t="s">
        <v>16</v>
      </c>
      <c r="B70" s="79"/>
      <c r="C70" s="79"/>
      <c r="D70" s="19">
        <f>SUM(D65:D69)</f>
        <v>868.76120000000003</v>
      </c>
    </row>
    <row r="73" spans="1:5" x14ac:dyDescent="0.2">
      <c r="A73" s="92" t="s">
        <v>43</v>
      </c>
      <c r="B73" s="92"/>
      <c r="C73" s="92"/>
      <c r="D73" s="92"/>
    </row>
    <row r="75" spans="1:5" x14ac:dyDescent="0.2">
      <c r="A75" s="30">
        <v>2</v>
      </c>
      <c r="B75" s="91" t="s">
        <v>44</v>
      </c>
      <c r="C75" s="91"/>
      <c r="D75" s="30" t="s">
        <v>3</v>
      </c>
    </row>
    <row r="76" spans="1:5" x14ac:dyDescent="0.2">
      <c r="A76" s="32" t="s">
        <v>19</v>
      </c>
      <c r="B76" s="80" t="s">
        <v>20</v>
      </c>
      <c r="C76" s="80"/>
      <c r="D76" s="14">
        <f>D45</f>
        <v>377.6</v>
      </c>
    </row>
    <row r="77" spans="1:5" x14ac:dyDescent="0.2">
      <c r="A77" s="32" t="s">
        <v>24</v>
      </c>
      <c r="B77" s="80" t="s">
        <v>25</v>
      </c>
      <c r="C77" s="80"/>
      <c r="D77" s="14">
        <f>D59</f>
        <v>853.77</v>
      </c>
    </row>
    <row r="78" spans="1:5" x14ac:dyDescent="0.2">
      <c r="A78" s="32" t="s">
        <v>39</v>
      </c>
      <c r="B78" s="80" t="s">
        <v>40</v>
      </c>
      <c r="C78" s="80"/>
      <c r="D78" s="14">
        <f>D70</f>
        <v>868.76120000000003</v>
      </c>
    </row>
    <row r="79" spans="1:5" x14ac:dyDescent="0.2">
      <c r="A79" s="79" t="s">
        <v>16</v>
      </c>
      <c r="B79" s="79"/>
      <c r="C79" s="79"/>
      <c r="D79" s="19">
        <f>SUM(D76:D78)</f>
        <v>2100.1311999999998</v>
      </c>
    </row>
    <row r="80" spans="1:5" x14ac:dyDescent="0.2">
      <c r="A80" s="4"/>
      <c r="E80" s="18"/>
    </row>
    <row r="82" spans="1:5" x14ac:dyDescent="0.2">
      <c r="A82" s="82" t="s">
        <v>45</v>
      </c>
      <c r="B82" s="82"/>
      <c r="C82" s="82"/>
      <c r="D82" s="82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91" t="s">
        <v>46</v>
      </c>
      <c r="C84" s="91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TRUNC(((1/12)*0%),4)</f>
        <v>0</v>
      </c>
      <c r="D85" s="13">
        <f>TRUNC($D$35*C85,2)</f>
        <v>0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</v>
      </c>
    </row>
    <row r="87" spans="1:5" x14ac:dyDescent="0.2">
      <c r="A87" s="32" t="s">
        <v>8</v>
      </c>
      <c r="B87" s="10" t="s">
        <v>97</v>
      </c>
      <c r="C87" s="9">
        <f>TRUNC(8%*0%*40%,4)</f>
        <v>0</v>
      </c>
      <c r="D87" s="13">
        <f>TRUNC($D$35*C87,2)</f>
        <v>0</v>
      </c>
    </row>
    <row r="88" spans="1:5" x14ac:dyDescent="0.2">
      <c r="A88" s="32" t="s">
        <v>10</v>
      </c>
      <c r="B88" s="10" t="s">
        <v>49</v>
      </c>
      <c r="C88" s="9">
        <f>TRUNC(((7/30)/12)*0%,4)</f>
        <v>0</v>
      </c>
      <c r="D88" s="13">
        <f>TRUNC($D$35*C88,2)</f>
        <v>0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0</v>
      </c>
    </row>
    <row r="90" spans="1:5" x14ac:dyDescent="0.2">
      <c r="A90" s="32" t="s">
        <v>32</v>
      </c>
      <c r="B90" s="10" t="s">
        <v>98</v>
      </c>
      <c r="C90" s="9">
        <f>TRUNC(8%*0%*40%,4)</f>
        <v>0</v>
      </c>
      <c r="D90" s="13">
        <f t="shared" ref="D90" si="1">TRUNC($D$35*C90,2)</f>
        <v>0</v>
      </c>
    </row>
    <row r="91" spans="1:5" x14ac:dyDescent="0.2">
      <c r="A91" s="89" t="s">
        <v>16</v>
      </c>
      <c r="B91" s="90"/>
      <c r="C91" s="93"/>
      <c r="D91" s="19">
        <f>SUM(D85:D90)</f>
        <v>0</v>
      </c>
    </row>
    <row r="94" spans="1:5" x14ac:dyDescent="0.2">
      <c r="A94" s="82" t="s">
        <v>50</v>
      </c>
      <c r="B94" s="82"/>
      <c r="C94" s="82"/>
      <c r="D94" s="82"/>
    </row>
    <row r="97" spans="1:6" x14ac:dyDescent="0.2">
      <c r="A97" s="92" t="s">
        <v>76</v>
      </c>
      <c r="B97" s="92"/>
      <c r="C97" s="92"/>
      <c r="D97" s="92"/>
    </row>
    <row r="98" spans="1:6" x14ac:dyDescent="0.2">
      <c r="A98" s="3"/>
    </row>
    <row r="99" spans="1:6" x14ac:dyDescent="0.2">
      <c r="A99" s="30" t="s">
        <v>51</v>
      </c>
      <c r="B99" s="91" t="s">
        <v>77</v>
      </c>
      <c r="C99" s="91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TRUNC(((1+1/3)/12)/12,4)*0</f>
        <v>0</v>
      </c>
      <c r="D100" s="13">
        <f>TRUNC(($D$35+$D$79+$D$91)*C100,2)</f>
        <v>0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22.23</v>
      </c>
    </row>
    <row r="102" spans="1:6" x14ac:dyDescent="0.2">
      <c r="A102" s="32" t="s">
        <v>8</v>
      </c>
      <c r="B102" s="29" t="s">
        <v>80</v>
      </c>
      <c r="C102" s="9">
        <f>TRUNC(((5/30)/12)*2%,4)*0</f>
        <v>0</v>
      </c>
      <c r="D102" s="13">
        <f t="shared" si="2"/>
        <v>0</v>
      </c>
    </row>
    <row r="103" spans="1:6" x14ac:dyDescent="0.2">
      <c r="A103" s="32" t="s">
        <v>10</v>
      </c>
      <c r="B103" s="29" t="s">
        <v>81</v>
      </c>
      <c r="C103" s="9">
        <f>TRUNC(((15/30)/12)*8%,4)*0</f>
        <v>0</v>
      </c>
      <c r="D103" s="13">
        <f t="shared" si="2"/>
        <v>0</v>
      </c>
    </row>
    <row r="104" spans="1:6" x14ac:dyDescent="0.2">
      <c r="A104" s="32" t="s">
        <v>12</v>
      </c>
      <c r="B104" s="29" t="s">
        <v>82</v>
      </c>
      <c r="C104" s="9">
        <f>((1+1/3)/12)*3%*(4/12)*0</f>
        <v>0</v>
      </c>
      <c r="D104" s="13">
        <f t="shared" si="2"/>
        <v>0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79" t="s">
        <v>37</v>
      </c>
      <c r="B106" s="79"/>
      <c r="C106" s="79"/>
      <c r="D106" s="19">
        <f>SUM(D100:D105)</f>
        <v>22.23</v>
      </c>
      <c r="E106" s="17"/>
      <c r="F106" s="17"/>
    </row>
    <row r="109" spans="1:6" x14ac:dyDescent="0.2">
      <c r="A109" s="92" t="s">
        <v>84</v>
      </c>
      <c r="B109" s="92"/>
      <c r="C109" s="92"/>
      <c r="D109" s="92"/>
    </row>
    <row r="110" spans="1:6" x14ac:dyDescent="0.2">
      <c r="A110" s="3"/>
    </row>
    <row r="111" spans="1:6" x14ac:dyDescent="0.2">
      <c r="A111" s="30" t="s">
        <v>52</v>
      </c>
      <c r="B111" s="91" t="s">
        <v>85</v>
      </c>
      <c r="C111" s="91"/>
      <c r="D111" s="30" t="s">
        <v>3</v>
      </c>
    </row>
    <row r="112" spans="1:6" x14ac:dyDescent="0.2">
      <c r="A112" s="32" t="s">
        <v>4</v>
      </c>
      <c r="B112" s="86" t="s">
        <v>86</v>
      </c>
      <c r="C112" s="87"/>
      <c r="D112" s="13">
        <f>((D35+D79+D91)/220)*22*0</f>
        <v>0</v>
      </c>
    </row>
    <row r="113" spans="1:4" x14ac:dyDescent="0.2">
      <c r="A113" s="79" t="s">
        <v>16</v>
      </c>
      <c r="B113" s="79"/>
      <c r="C113" s="79"/>
      <c r="D113" s="19">
        <f>SUM(D112)</f>
        <v>0</v>
      </c>
    </row>
    <row r="116" spans="1:4" x14ac:dyDescent="0.2">
      <c r="A116" s="92" t="s">
        <v>53</v>
      </c>
      <c r="B116" s="92"/>
      <c r="C116" s="92"/>
      <c r="D116" s="92"/>
    </row>
    <row r="117" spans="1:4" x14ac:dyDescent="0.2">
      <c r="A117" s="3"/>
    </row>
    <row r="118" spans="1:4" x14ac:dyDescent="0.2">
      <c r="A118" s="30">
        <v>4</v>
      </c>
      <c r="B118" s="79" t="s">
        <v>54</v>
      </c>
      <c r="C118" s="79"/>
      <c r="D118" s="30" t="s">
        <v>3</v>
      </c>
    </row>
    <row r="119" spans="1:4" x14ac:dyDescent="0.2">
      <c r="A119" s="32" t="s">
        <v>51</v>
      </c>
      <c r="B119" s="80" t="s">
        <v>77</v>
      </c>
      <c r="C119" s="80"/>
      <c r="D119" s="14">
        <f>D106</f>
        <v>22.23</v>
      </c>
    </row>
    <row r="120" spans="1:4" x14ac:dyDescent="0.2">
      <c r="A120" s="32" t="s">
        <v>52</v>
      </c>
      <c r="B120" s="80" t="s">
        <v>85</v>
      </c>
      <c r="C120" s="80"/>
      <c r="D120" s="14">
        <f>D113</f>
        <v>0</v>
      </c>
    </row>
    <row r="121" spans="1:4" x14ac:dyDescent="0.2">
      <c r="A121" s="79" t="s">
        <v>16</v>
      </c>
      <c r="B121" s="79"/>
      <c r="C121" s="79"/>
      <c r="D121" s="19">
        <f>SUM(D119:D120)</f>
        <v>22.23</v>
      </c>
    </row>
    <row r="124" spans="1:4" x14ac:dyDescent="0.2">
      <c r="A124" s="82" t="s">
        <v>55</v>
      </c>
      <c r="B124" s="82"/>
      <c r="C124" s="82"/>
      <c r="D124" s="82"/>
    </row>
    <row r="126" spans="1:4" x14ac:dyDescent="0.2">
      <c r="A126" s="30">
        <v>5</v>
      </c>
      <c r="B126" s="88" t="s">
        <v>56</v>
      </c>
      <c r="C126" s="88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116.54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</v>
      </c>
    </row>
    <row r="130" spans="1:4" x14ac:dyDescent="0.2">
      <c r="A130" s="32" t="s">
        <v>10</v>
      </c>
      <c r="B130" s="29" t="s">
        <v>15</v>
      </c>
      <c r="C130" s="29"/>
      <c r="D130" s="13">
        <v>0</v>
      </c>
    </row>
    <row r="131" spans="1:4" x14ac:dyDescent="0.2">
      <c r="A131" s="79" t="s">
        <v>37</v>
      </c>
      <c r="B131" s="79"/>
      <c r="C131" s="79"/>
      <c r="D131" s="20">
        <f>SUM(D127:D130)</f>
        <v>116.54</v>
      </c>
    </row>
    <row r="134" spans="1:4" x14ac:dyDescent="0.2">
      <c r="A134" s="82" t="s">
        <v>60</v>
      </c>
      <c r="B134" s="82"/>
      <c r="C134" s="82"/>
      <c r="D134" s="82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209.06906000000001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263.42701559999995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440.67912899770113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94</v>
      </c>
      <c r="C141" s="9">
        <v>6.4999999999999997E-3</v>
      </c>
      <c r="D141" s="14">
        <f t="shared" ref="D141:D145" si="3">$D$159*C141</f>
        <v>33.114640000000001</v>
      </c>
    </row>
    <row r="142" spans="1:4" x14ac:dyDescent="0.2">
      <c r="A142" s="32"/>
      <c r="B142" s="29" t="s">
        <v>95</v>
      </c>
      <c r="C142" s="9">
        <v>0.03</v>
      </c>
      <c r="D142" s="14">
        <f t="shared" si="3"/>
        <v>152.83680000000001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96</v>
      </c>
      <c r="C145" s="9">
        <v>0.05</v>
      </c>
      <c r="D145" s="14">
        <f t="shared" si="3"/>
        <v>254.72800000000004</v>
      </c>
    </row>
    <row r="146" spans="1:4" ht="13.5" x14ac:dyDescent="0.2">
      <c r="A146" s="89" t="s">
        <v>37</v>
      </c>
      <c r="B146" s="90"/>
      <c r="C146" s="21">
        <f>(1+C138)*(1+C137)/(1-C139)-1</f>
        <v>0.21839080459770144</v>
      </c>
      <c r="D146" s="19">
        <f>SUM(D137:D139)</f>
        <v>913.17520459770105</v>
      </c>
    </row>
    <row r="149" spans="1:4" x14ac:dyDescent="0.2">
      <c r="A149" s="82" t="s">
        <v>104</v>
      </c>
      <c r="B149" s="82"/>
      <c r="C149" s="82"/>
      <c r="D149" s="82"/>
    </row>
    <row r="151" spans="1:4" x14ac:dyDescent="0.2">
      <c r="A151" s="30"/>
      <c r="B151" s="79" t="s">
        <v>68</v>
      </c>
      <c r="C151" s="79"/>
      <c r="D151" s="30" t="s">
        <v>3</v>
      </c>
    </row>
    <row r="152" spans="1:4" x14ac:dyDescent="0.2">
      <c r="A152" s="30" t="s">
        <v>4</v>
      </c>
      <c r="B152" s="80" t="s">
        <v>1</v>
      </c>
      <c r="C152" s="80"/>
      <c r="D152" s="22">
        <f>D35</f>
        <v>1942.48</v>
      </c>
    </row>
    <row r="153" spans="1:4" x14ac:dyDescent="0.2">
      <c r="A153" s="30" t="s">
        <v>6</v>
      </c>
      <c r="B153" s="80" t="s">
        <v>17</v>
      </c>
      <c r="C153" s="80"/>
      <c r="D153" s="22">
        <f>D79</f>
        <v>2100.1311999999998</v>
      </c>
    </row>
    <row r="154" spans="1:4" x14ac:dyDescent="0.2">
      <c r="A154" s="30" t="s">
        <v>8</v>
      </c>
      <c r="B154" s="80" t="s">
        <v>45</v>
      </c>
      <c r="C154" s="80"/>
      <c r="D154" s="22">
        <f>D91</f>
        <v>0</v>
      </c>
    </row>
    <row r="155" spans="1:4" x14ac:dyDescent="0.2">
      <c r="A155" s="30" t="s">
        <v>10</v>
      </c>
      <c r="B155" s="80" t="s">
        <v>50</v>
      </c>
      <c r="C155" s="80"/>
      <c r="D155" s="22">
        <f>D121</f>
        <v>22.23</v>
      </c>
    </row>
    <row r="156" spans="1:4" x14ac:dyDescent="0.2">
      <c r="A156" s="30" t="s">
        <v>12</v>
      </c>
      <c r="B156" s="80" t="s">
        <v>55</v>
      </c>
      <c r="C156" s="80"/>
      <c r="D156" s="22">
        <f>D131</f>
        <v>116.54</v>
      </c>
    </row>
    <row r="157" spans="1:4" x14ac:dyDescent="0.2">
      <c r="A157" s="79" t="s">
        <v>93</v>
      </c>
      <c r="B157" s="79"/>
      <c r="C157" s="79"/>
      <c r="D157" s="23">
        <f>SUM(D152:D156)</f>
        <v>4181.3811999999998</v>
      </c>
    </row>
    <row r="158" spans="1:4" x14ac:dyDescent="0.2">
      <c r="A158" s="30" t="s">
        <v>32</v>
      </c>
      <c r="B158" s="80" t="s">
        <v>69</v>
      </c>
      <c r="C158" s="80"/>
      <c r="D158" s="24">
        <f>D146</f>
        <v>913.17520459770105</v>
      </c>
    </row>
    <row r="159" spans="1:4" x14ac:dyDescent="0.2">
      <c r="A159" s="79" t="s">
        <v>70</v>
      </c>
      <c r="B159" s="79"/>
      <c r="C159" s="79"/>
      <c r="D159" s="23">
        <f>ROUND(SUM(D157:D158),2)</f>
        <v>5094.5600000000004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30" zoomScale="115" zoomScaleNormal="115" workbookViewId="0">
      <selection activeCell="D159" sqref="D15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2" t="s">
        <v>102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x14ac:dyDescent="0.2">
      <c r="A5" s="72" t="s">
        <v>103</v>
      </c>
      <c r="B5" s="73"/>
      <c r="C5" s="73"/>
      <c r="D5" s="74"/>
    </row>
    <row r="6" spans="1:4" x14ac:dyDescent="0.2">
      <c r="A6" s="33" t="s">
        <v>4</v>
      </c>
      <c r="B6" s="34" t="s">
        <v>99</v>
      </c>
      <c r="C6" s="35"/>
      <c r="D6" s="36" t="s">
        <v>105</v>
      </c>
    </row>
    <row r="7" spans="1:4" x14ac:dyDescent="0.2">
      <c r="A7" s="33" t="s">
        <v>6</v>
      </c>
      <c r="B7" s="34" t="s">
        <v>100</v>
      </c>
      <c r="C7" s="35"/>
      <c r="D7" s="38" t="s">
        <v>106</v>
      </c>
    </row>
    <row r="8" spans="1:4" x14ac:dyDescent="0.2">
      <c r="A8" s="33" t="s">
        <v>8</v>
      </c>
      <c r="B8" s="34" t="s">
        <v>101</v>
      </c>
      <c r="C8" s="35"/>
      <c r="D8" s="37">
        <v>45723</v>
      </c>
    </row>
    <row r="9" spans="1:4" x14ac:dyDescent="0.2">
      <c r="A9" s="33" t="s">
        <v>10</v>
      </c>
      <c r="B9" s="83" t="s">
        <v>108</v>
      </c>
      <c r="C9" s="84"/>
      <c r="D9" s="85"/>
    </row>
    <row r="10" spans="1:4" x14ac:dyDescent="0.2">
      <c r="A10" s="33" t="s">
        <v>12</v>
      </c>
      <c r="B10" s="83" t="s">
        <v>107</v>
      </c>
      <c r="C10" s="84"/>
      <c r="D10" s="85"/>
    </row>
    <row r="12" spans="1:4" x14ac:dyDescent="0.2">
      <c r="A12" s="82" t="s">
        <v>87</v>
      </c>
      <c r="B12" s="82"/>
      <c r="C12" s="82"/>
      <c r="D12" s="82"/>
    </row>
    <row r="13" spans="1:4" x14ac:dyDescent="0.2">
      <c r="A13" s="2"/>
      <c r="B13" s="2"/>
      <c r="C13" s="2"/>
      <c r="D13" s="2"/>
    </row>
    <row r="14" spans="1:4" ht="38.25" x14ac:dyDescent="0.2">
      <c r="A14" s="75" t="s">
        <v>88</v>
      </c>
      <c r="B14" s="75"/>
      <c r="C14" s="32" t="s">
        <v>89</v>
      </c>
      <c r="D14" s="27" t="s">
        <v>90</v>
      </c>
    </row>
    <row r="15" spans="1:4" x14ac:dyDescent="0.2">
      <c r="A15" s="76" t="s">
        <v>122</v>
      </c>
      <c r="B15" s="76"/>
      <c r="C15" s="39" t="s">
        <v>110</v>
      </c>
      <c r="D15" s="39">
        <v>2</v>
      </c>
    </row>
    <row r="17" spans="1:4" x14ac:dyDescent="0.2">
      <c r="A17" s="82" t="s">
        <v>71</v>
      </c>
      <c r="B17" s="82"/>
      <c r="C17" s="82"/>
      <c r="D17" s="8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77" t="s">
        <v>115</v>
      </c>
      <c r="D19" s="78"/>
    </row>
    <row r="20" spans="1:4" x14ac:dyDescent="0.2">
      <c r="A20" s="5">
        <v>2</v>
      </c>
      <c r="B20" s="5" t="s">
        <v>91</v>
      </c>
      <c r="C20" s="77" t="s">
        <v>111</v>
      </c>
      <c r="D20" s="78"/>
    </row>
    <row r="21" spans="1:4" x14ac:dyDescent="0.2">
      <c r="A21" s="5">
        <v>3</v>
      </c>
      <c r="B21" s="5" t="s">
        <v>73</v>
      </c>
      <c r="C21" s="81">
        <v>2305.6</v>
      </c>
      <c r="D21" s="78"/>
    </row>
    <row r="22" spans="1:4" x14ac:dyDescent="0.2">
      <c r="A22" s="5">
        <v>4</v>
      </c>
      <c r="B22" s="5" t="s">
        <v>74</v>
      </c>
      <c r="C22" s="77"/>
      <c r="D22" s="78"/>
    </row>
    <row r="23" spans="1:4" x14ac:dyDescent="0.2">
      <c r="A23" s="5">
        <v>5</v>
      </c>
      <c r="B23" s="5" t="s">
        <v>75</v>
      </c>
      <c r="C23" s="77"/>
      <c r="D23" s="78"/>
    </row>
    <row r="25" spans="1:4" x14ac:dyDescent="0.2">
      <c r="A25" s="82" t="s">
        <v>1</v>
      </c>
      <c r="B25" s="82"/>
      <c r="C25" s="82"/>
      <c r="D25" s="82"/>
    </row>
    <row r="27" spans="1:4" x14ac:dyDescent="0.2">
      <c r="A27" s="30">
        <v>1</v>
      </c>
      <c r="B27" s="79" t="s">
        <v>2</v>
      </c>
      <c r="C27" s="79"/>
      <c r="D27" s="30" t="s">
        <v>3</v>
      </c>
    </row>
    <row r="28" spans="1:4" x14ac:dyDescent="0.2">
      <c r="A28" s="32" t="s">
        <v>4</v>
      </c>
      <c r="B28" s="80" t="s">
        <v>5</v>
      </c>
      <c r="C28" s="80"/>
      <c r="D28" s="13">
        <v>2305.6</v>
      </c>
    </row>
    <row r="29" spans="1:4" x14ac:dyDescent="0.2">
      <c r="A29" s="32" t="s">
        <v>6</v>
      </c>
      <c r="B29" s="80" t="s">
        <v>7</v>
      </c>
      <c r="C29" s="80"/>
      <c r="D29" s="13"/>
    </row>
    <row r="30" spans="1:4" x14ac:dyDescent="0.2">
      <c r="A30" s="32" t="s">
        <v>8</v>
      </c>
      <c r="B30" s="80" t="s">
        <v>9</v>
      </c>
      <c r="C30" s="80"/>
      <c r="D30" s="13"/>
    </row>
    <row r="31" spans="1:4" x14ac:dyDescent="0.2">
      <c r="A31" s="32" t="s">
        <v>10</v>
      </c>
      <c r="B31" s="80" t="s">
        <v>11</v>
      </c>
      <c r="C31" s="80"/>
      <c r="D31" s="13"/>
    </row>
    <row r="32" spans="1:4" x14ac:dyDescent="0.2">
      <c r="A32" s="32" t="s">
        <v>12</v>
      </c>
      <c r="B32" s="80" t="s">
        <v>13</v>
      </c>
      <c r="C32" s="80"/>
      <c r="D32" s="13"/>
    </row>
    <row r="33" spans="1:4" x14ac:dyDescent="0.2">
      <c r="A33" s="32"/>
      <c r="B33" s="80"/>
      <c r="C33" s="80"/>
      <c r="D33" s="13"/>
    </row>
    <row r="34" spans="1:4" x14ac:dyDescent="0.2">
      <c r="A34" s="32" t="s">
        <v>14</v>
      </c>
      <c r="B34" s="80" t="s">
        <v>15</v>
      </c>
      <c r="C34" s="80"/>
      <c r="D34" s="13"/>
    </row>
    <row r="35" spans="1:4" x14ac:dyDescent="0.2">
      <c r="A35" s="79" t="s">
        <v>16</v>
      </c>
      <c r="B35" s="79"/>
      <c r="C35" s="79"/>
      <c r="D35" s="20">
        <f>SUM(D28:D34)</f>
        <v>2305.6</v>
      </c>
    </row>
    <row r="38" spans="1:4" x14ac:dyDescent="0.2">
      <c r="A38" s="82" t="s">
        <v>17</v>
      </c>
      <c r="B38" s="82"/>
      <c r="C38" s="82"/>
      <c r="D38" s="82"/>
    </row>
    <row r="39" spans="1:4" x14ac:dyDescent="0.2">
      <c r="A39" s="3"/>
    </row>
    <row r="40" spans="1:4" x14ac:dyDescent="0.2">
      <c r="A40" s="92" t="s">
        <v>18</v>
      </c>
      <c r="B40" s="92"/>
      <c r="C40" s="92"/>
      <c r="D40" s="92"/>
    </row>
    <row r="42" spans="1:4" x14ac:dyDescent="0.2">
      <c r="A42" s="30" t="s">
        <v>19</v>
      </c>
      <c r="B42" s="79" t="s">
        <v>20</v>
      </c>
      <c r="C42" s="7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192.05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256.14999999999998</v>
      </c>
    </row>
    <row r="45" spans="1:4" x14ac:dyDescent="0.2">
      <c r="A45" s="79" t="s">
        <v>16</v>
      </c>
      <c r="B45" s="79"/>
      <c r="C45" s="28">
        <f>SUM(C43:C44)</f>
        <v>0.19440000000000002</v>
      </c>
      <c r="D45" s="19">
        <f>SUM(D43:D44)</f>
        <v>448.2</v>
      </c>
    </row>
    <row r="48" spans="1:4" x14ac:dyDescent="0.2">
      <c r="A48" s="95" t="s">
        <v>23</v>
      </c>
      <c r="B48" s="95"/>
      <c r="C48" s="95"/>
      <c r="D48" s="95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550.76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68.84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82.61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41.3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27.53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16.52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5.5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220.3</v>
      </c>
    </row>
    <row r="59" spans="1:4" x14ac:dyDescent="0.2">
      <c r="A59" s="79" t="s">
        <v>37</v>
      </c>
      <c r="B59" s="79"/>
      <c r="C59" s="15">
        <f>SUM(C51:C58)</f>
        <v>0.36800000000000005</v>
      </c>
      <c r="D59" s="19">
        <f>SUM(D51:D58)</f>
        <v>1013.3599999999999</v>
      </c>
    </row>
    <row r="62" spans="1:4" x14ac:dyDescent="0.2">
      <c r="A62" s="92" t="s">
        <v>38</v>
      </c>
      <c r="B62" s="92"/>
      <c r="C62" s="92"/>
      <c r="D62" s="92"/>
    </row>
    <row r="64" spans="1:4" x14ac:dyDescent="0.2">
      <c r="A64" s="30" t="s">
        <v>39</v>
      </c>
      <c r="B64" s="91" t="s">
        <v>40</v>
      </c>
      <c r="C64" s="91"/>
      <c r="D64" s="30" t="s">
        <v>3</v>
      </c>
    </row>
    <row r="65" spans="1:5" x14ac:dyDescent="0.2">
      <c r="A65" s="32" t="s">
        <v>4</v>
      </c>
      <c r="B65" s="80" t="s">
        <v>41</v>
      </c>
      <c r="C65" s="80"/>
      <c r="D65" s="13">
        <f>IF((22*2*5.6)-(D28*0.06)&gt;0,(22*2*5.6)-(D28*0.06),0)</f>
        <v>108.06399999999999</v>
      </c>
    </row>
    <row r="66" spans="1:5" x14ac:dyDescent="0.2">
      <c r="A66" s="32" t="s">
        <v>6</v>
      </c>
      <c r="B66" s="80" t="s">
        <v>42</v>
      </c>
      <c r="C66" s="80"/>
      <c r="D66" s="13">
        <f>22*0.8*22</f>
        <v>387.20000000000005</v>
      </c>
    </row>
    <row r="67" spans="1:5" x14ac:dyDescent="0.2">
      <c r="A67" s="32" t="s">
        <v>8</v>
      </c>
      <c r="B67" s="80" t="s">
        <v>112</v>
      </c>
      <c r="C67" s="80"/>
      <c r="D67" s="13">
        <v>320</v>
      </c>
    </row>
    <row r="68" spans="1:5" x14ac:dyDescent="0.2">
      <c r="A68" s="32" t="s">
        <v>10</v>
      </c>
      <c r="B68" s="80" t="s">
        <v>113</v>
      </c>
      <c r="C68" s="80"/>
      <c r="D68" s="13">
        <v>26.5</v>
      </c>
    </row>
    <row r="69" spans="1:5" x14ac:dyDescent="0.2">
      <c r="A69" s="32" t="s">
        <v>10</v>
      </c>
      <c r="B69" s="80" t="s">
        <v>114</v>
      </c>
      <c r="C69" s="80"/>
      <c r="D69" s="13">
        <v>5.21</v>
      </c>
    </row>
    <row r="70" spans="1:5" x14ac:dyDescent="0.2">
      <c r="A70" s="79" t="s">
        <v>16</v>
      </c>
      <c r="B70" s="79"/>
      <c r="C70" s="79"/>
      <c r="D70" s="19">
        <f>SUM(D65:D69)</f>
        <v>846.97400000000005</v>
      </c>
    </row>
    <row r="73" spans="1:5" x14ac:dyDescent="0.2">
      <c r="A73" s="92" t="s">
        <v>43</v>
      </c>
      <c r="B73" s="92"/>
      <c r="C73" s="92"/>
      <c r="D73" s="92"/>
    </row>
    <row r="75" spans="1:5" x14ac:dyDescent="0.2">
      <c r="A75" s="30">
        <v>2</v>
      </c>
      <c r="B75" s="91" t="s">
        <v>44</v>
      </c>
      <c r="C75" s="91"/>
      <c r="D75" s="30" t="s">
        <v>3</v>
      </c>
    </row>
    <row r="76" spans="1:5" x14ac:dyDescent="0.2">
      <c r="A76" s="32" t="s">
        <v>19</v>
      </c>
      <c r="B76" s="80" t="s">
        <v>20</v>
      </c>
      <c r="C76" s="80"/>
      <c r="D76" s="14">
        <f>D45</f>
        <v>448.2</v>
      </c>
    </row>
    <row r="77" spans="1:5" x14ac:dyDescent="0.2">
      <c r="A77" s="32" t="s">
        <v>24</v>
      </c>
      <c r="B77" s="80" t="s">
        <v>25</v>
      </c>
      <c r="C77" s="80"/>
      <c r="D77" s="14">
        <f>D59</f>
        <v>1013.3599999999999</v>
      </c>
    </row>
    <row r="78" spans="1:5" x14ac:dyDescent="0.2">
      <c r="A78" s="32" t="s">
        <v>39</v>
      </c>
      <c r="B78" s="80" t="s">
        <v>40</v>
      </c>
      <c r="C78" s="80"/>
      <c r="D78" s="14">
        <f>D70</f>
        <v>846.97400000000005</v>
      </c>
    </row>
    <row r="79" spans="1:5" x14ac:dyDescent="0.2">
      <c r="A79" s="79" t="s">
        <v>16</v>
      </c>
      <c r="B79" s="79"/>
      <c r="C79" s="79"/>
      <c r="D79" s="19">
        <f>SUM(D76:D78)</f>
        <v>2308.5340000000001</v>
      </c>
    </row>
    <row r="80" spans="1:5" x14ac:dyDescent="0.2">
      <c r="A80" s="4"/>
      <c r="E80" s="18"/>
    </row>
    <row r="82" spans="1:5" x14ac:dyDescent="0.2">
      <c r="A82" s="82" t="s">
        <v>45</v>
      </c>
      <c r="B82" s="82"/>
      <c r="C82" s="82"/>
      <c r="D82" s="82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91" t="s">
        <v>46</v>
      </c>
      <c r="C84" s="91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TRUNC(((1/12)*0%),4)</f>
        <v>0</v>
      </c>
      <c r="D85" s="13">
        <f>TRUNC($D$35*C85,2)</f>
        <v>0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</v>
      </c>
    </row>
    <row r="87" spans="1:5" x14ac:dyDescent="0.2">
      <c r="A87" s="32" t="s">
        <v>8</v>
      </c>
      <c r="B87" s="10" t="s">
        <v>97</v>
      </c>
      <c r="C87" s="9">
        <f>TRUNC(8%*0%*40%,4)</f>
        <v>0</v>
      </c>
      <c r="D87" s="13">
        <f>TRUNC($D$35*C87,2)</f>
        <v>0</v>
      </c>
    </row>
    <row r="88" spans="1:5" x14ac:dyDescent="0.2">
      <c r="A88" s="32" t="s">
        <v>10</v>
      </c>
      <c r="B88" s="10" t="s">
        <v>49</v>
      </c>
      <c r="C88" s="9">
        <f>TRUNC(((7/30)/12)*0%,4)</f>
        <v>0</v>
      </c>
      <c r="D88" s="13">
        <f>TRUNC($D$35*C88,2)</f>
        <v>0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0</v>
      </c>
    </row>
    <row r="90" spans="1:5" x14ac:dyDescent="0.2">
      <c r="A90" s="32" t="s">
        <v>32</v>
      </c>
      <c r="B90" s="10" t="s">
        <v>98</v>
      </c>
      <c r="C90" s="9">
        <f>TRUNC(8%*0%*40%,4)</f>
        <v>0</v>
      </c>
      <c r="D90" s="13">
        <f t="shared" ref="D90" si="1">TRUNC($D$35*C90,2)</f>
        <v>0</v>
      </c>
    </row>
    <row r="91" spans="1:5" x14ac:dyDescent="0.2">
      <c r="A91" s="89" t="s">
        <v>16</v>
      </c>
      <c r="B91" s="90"/>
      <c r="C91" s="93"/>
      <c r="D91" s="19">
        <f>SUM(D85:D90)</f>
        <v>0</v>
      </c>
    </row>
    <row r="94" spans="1:5" x14ac:dyDescent="0.2">
      <c r="A94" s="82" t="s">
        <v>50</v>
      </c>
      <c r="B94" s="82"/>
      <c r="C94" s="82"/>
      <c r="D94" s="82"/>
    </row>
    <row r="97" spans="1:6" x14ac:dyDescent="0.2">
      <c r="A97" s="92" t="s">
        <v>76</v>
      </c>
      <c r="B97" s="92"/>
      <c r="C97" s="92"/>
      <c r="D97" s="92"/>
    </row>
    <row r="98" spans="1:6" x14ac:dyDescent="0.2">
      <c r="A98" s="3"/>
    </row>
    <row r="99" spans="1:6" x14ac:dyDescent="0.2">
      <c r="A99" s="30" t="s">
        <v>51</v>
      </c>
      <c r="B99" s="91" t="s">
        <v>77</v>
      </c>
      <c r="C99" s="91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TRUNC(((1+1/3)/12)/12,4)*0</f>
        <v>0</v>
      </c>
      <c r="D100" s="13">
        <f>TRUNC(($D$35+$D$79+$D$91)*C100,2)</f>
        <v>0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25.37</v>
      </c>
    </row>
    <row r="102" spans="1:6" x14ac:dyDescent="0.2">
      <c r="A102" s="32" t="s">
        <v>8</v>
      </c>
      <c r="B102" s="29" t="s">
        <v>80</v>
      </c>
      <c r="C102" s="9">
        <f>TRUNC(((5/30)/12)*2%,4)*0</f>
        <v>0</v>
      </c>
      <c r="D102" s="13">
        <f t="shared" si="2"/>
        <v>0</v>
      </c>
    </row>
    <row r="103" spans="1:6" x14ac:dyDescent="0.2">
      <c r="A103" s="32" t="s">
        <v>10</v>
      </c>
      <c r="B103" s="29" t="s">
        <v>81</v>
      </c>
      <c r="C103" s="9">
        <f>TRUNC(((15/30)/12)*8%,4)*0</f>
        <v>0</v>
      </c>
      <c r="D103" s="13">
        <f t="shared" si="2"/>
        <v>0</v>
      </c>
    </row>
    <row r="104" spans="1:6" x14ac:dyDescent="0.2">
      <c r="A104" s="32" t="s">
        <v>12</v>
      </c>
      <c r="B104" s="29" t="s">
        <v>82</v>
      </c>
      <c r="C104" s="9">
        <f>((1+1/3)/12)*3%*(4/12)*0</f>
        <v>0</v>
      </c>
      <c r="D104" s="13">
        <f t="shared" si="2"/>
        <v>0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79" t="s">
        <v>37</v>
      </c>
      <c r="B106" s="79"/>
      <c r="C106" s="79"/>
      <c r="D106" s="19">
        <f>SUM(D100:D105)</f>
        <v>25.37</v>
      </c>
      <c r="E106" s="17"/>
      <c r="F106" s="17"/>
    </row>
    <row r="109" spans="1:6" x14ac:dyDescent="0.2">
      <c r="A109" s="92" t="s">
        <v>84</v>
      </c>
      <c r="B109" s="92"/>
      <c r="C109" s="92"/>
      <c r="D109" s="92"/>
    </row>
    <row r="110" spans="1:6" x14ac:dyDescent="0.2">
      <c r="A110" s="3"/>
    </row>
    <row r="111" spans="1:6" x14ac:dyDescent="0.2">
      <c r="A111" s="30" t="s">
        <v>52</v>
      </c>
      <c r="B111" s="91" t="s">
        <v>85</v>
      </c>
      <c r="C111" s="91"/>
      <c r="D111" s="30" t="s">
        <v>3</v>
      </c>
    </row>
    <row r="112" spans="1:6" x14ac:dyDescent="0.2">
      <c r="A112" s="32" t="s">
        <v>4</v>
      </c>
      <c r="B112" s="86" t="s">
        <v>86</v>
      </c>
      <c r="C112" s="87"/>
      <c r="D112" s="13">
        <f>((D35+D79+D91)/220)*22*0</f>
        <v>0</v>
      </c>
    </row>
    <row r="113" spans="1:4" x14ac:dyDescent="0.2">
      <c r="A113" s="79" t="s">
        <v>16</v>
      </c>
      <c r="B113" s="79"/>
      <c r="C113" s="79"/>
      <c r="D113" s="19">
        <f>SUM(D112)</f>
        <v>0</v>
      </c>
    </row>
    <row r="116" spans="1:4" x14ac:dyDescent="0.2">
      <c r="A116" s="92" t="s">
        <v>53</v>
      </c>
      <c r="B116" s="92"/>
      <c r="C116" s="92"/>
      <c r="D116" s="92"/>
    </row>
    <row r="117" spans="1:4" x14ac:dyDescent="0.2">
      <c r="A117" s="3"/>
    </row>
    <row r="118" spans="1:4" x14ac:dyDescent="0.2">
      <c r="A118" s="30">
        <v>4</v>
      </c>
      <c r="B118" s="79" t="s">
        <v>54</v>
      </c>
      <c r="C118" s="79"/>
      <c r="D118" s="30" t="s">
        <v>3</v>
      </c>
    </row>
    <row r="119" spans="1:4" x14ac:dyDescent="0.2">
      <c r="A119" s="32" t="s">
        <v>51</v>
      </c>
      <c r="B119" s="80" t="s">
        <v>77</v>
      </c>
      <c r="C119" s="80"/>
      <c r="D119" s="14">
        <f>D106</f>
        <v>25.37</v>
      </c>
    </row>
    <row r="120" spans="1:4" x14ac:dyDescent="0.2">
      <c r="A120" s="32" t="s">
        <v>52</v>
      </c>
      <c r="B120" s="80" t="s">
        <v>85</v>
      </c>
      <c r="C120" s="80"/>
      <c r="D120" s="14">
        <f>D113</f>
        <v>0</v>
      </c>
    </row>
    <row r="121" spans="1:4" x14ac:dyDescent="0.2">
      <c r="A121" s="79" t="s">
        <v>16</v>
      </c>
      <c r="B121" s="79"/>
      <c r="C121" s="79"/>
      <c r="D121" s="19">
        <f>SUM(D119:D120)</f>
        <v>25.37</v>
      </c>
    </row>
    <row r="124" spans="1:4" x14ac:dyDescent="0.2">
      <c r="A124" s="82" t="s">
        <v>55</v>
      </c>
      <c r="B124" s="82"/>
      <c r="C124" s="82"/>
      <c r="D124" s="82"/>
    </row>
    <row r="126" spans="1:4" x14ac:dyDescent="0.2">
      <c r="A126" s="30">
        <v>5</v>
      </c>
      <c r="B126" s="88" t="s">
        <v>56</v>
      </c>
      <c r="C126" s="88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116.54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</v>
      </c>
    </row>
    <row r="130" spans="1:4" x14ac:dyDescent="0.2">
      <c r="A130" s="32" t="s">
        <v>10</v>
      </c>
      <c r="B130" s="29" t="s">
        <v>15</v>
      </c>
      <c r="C130" s="29"/>
      <c r="D130" s="13">
        <v>0</v>
      </c>
    </row>
    <row r="131" spans="1:4" x14ac:dyDescent="0.2">
      <c r="A131" s="79" t="s">
        <v>37</v>
      </c>
      <c r="B131" s="79"/>
      <c r="C131" s="79"/>
      <c r="D131" s="20">
        <f>SUM(D127:D130)</f>
        <v>116.54</v>
      </c>
    </row>
    <row r="134" spans="1:4" x14ac:dyDescent="0.2">
      <c r="A134" s="82" t="s">
        <v>60</v>
      </c>
      <c r="B134" s="82"/>
      <c r="C134" s="82"/>
      <c r="D134" s="82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237.8022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299.63077199999998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501.24330386206896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94</v>
      </c>
      <c r="C141" s="9">
        <v>6.4999999999999997E-3</v>
      </c>
      <c r="D141" s="14">
        <f t="shared" ref="D141:D145" si="3">$D$159*C141</f>
        <v>37.665680000000002</v>
      </c>
    </row>
    <row r="142" spans="1:4" x14ac:dyDescent="0.2">
      <c r="A142" s="32"/>
      <c r="B142" s="29" t="s">
        <v>95</v>
      </c>
      <c r="C142" s="9">
        <v>0.03</v>
      </c>
      <c r="D142" s="14">
        <f t="shared" si="3"/>
        <v>173.8416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96</v>
      </c>
      <c r="C145" s="9">
        <v>0.05</v>
      </c>
      <c r="D145" s="14">
        <f t="shared" si="3"/>
        <v>289.73600000000005</v>
      </c>
    </row>
    <row r="146" spans="1:4" ht="13.5" x14ac:dyDescent="0.2">
      <c r="A146" s="89" t="s">
        <v>37</v>
      </c>
      <c r="B146" s="90"/>
      <c r="C146" s="21">
        <f>(1+C138)*(1+C137)/(1-C139)-1</f>
        <v>0.21839080459770144</v>
      </c>
      <c r="D146" s="19">
        <f>SUM(D137:D139)</f>
        <v>1038.6762758620689</v>
      </c>
    </row>
    <row r="149" spans="1:4" x14ac:dyDescent="0.2">
      <c r="A149" s="82" t="s">
        <v>104</v>
      </c>
      <c r="B149" s="82"/>
      <c r="C149" s="82"/>
      <c r="D149" s="82"/>
    </row>
    <row r="151" spans="1:4" x14ac:dyDescent="0.2">
      <c r="A151" s="30"/>
      <c r="B151" s="79" t="s">
        <v>68</v>
      </c>
      <c r="C151" s="79"/>
      <c r="D151" s="30" t="s">
        <v>3</v>
      </c>
    </row>
    <row r="152" spans="1:4" x14ac:dyDescent="0.2">
      <c r="A152" s="30" t="s">
        <v>4</v>
      </c>
      <c r="B152" s="80" t="s">
        <v>1</v>
      </c>
      <c r="C152" s="80"/>
      <c r="D152" s="22">
        <f>D35</f>
        <v>2305.6</v>
      </c>
    </row>
    <row r="153" spans="1:4" x14ac:dyDescent="0.2">
      <c r="A153" s="30" t="s">
        <v>6</v>
      </c>
      <c r="B153" s="80" t="s">
        <v>17</v>
      </c>
      <c r="C153" s="80"/>
      <c r="D153" s="22">
        <f>D79</f>
        <v>2308.5340000000001</v>
      </c>
    </row>
    <row r="154" spans="1:4" x14ac:dyDescent="0.2">
      <c r="A154" s="30" t="s">
        <v>8</v>
      </c>
      <c r="B154" s="80" t="s">
        <v>45</v>
      </c>
      <c r="C154" s="80"/>
      <c r="D154" s="22">
        <f>D91</f>
        <v>0</v>
      </c>
    </row>
    <row r="155" spans="1:4" x14ac:dyDescent="0.2">
      <c r="A155" s="30" t="s">
        <v>10</v>
      </c>
      <c r="B155" s="80" t="s">
        <v>50</v>
      </c>
      <c r="C155" s="80"/>
      <c r="D155" s="22">
        <f>D121</f>
        <v>25.37</v>
      </c>
    </row>
    <row r="156" spans="1:4" x14ac:dyDescent="0.2">
      <c r="A156" s="30" t="s">
        <v>12</v>
      </c>
      <c r="B156" s="80" t="s">
        <v>55</v>
      </c>
      <c r="C156" s="80"/>
      <c r="D156" s="22">
        <f>D131</f>
        <v>116.54</v>
      </c>
    </row>
    <row r="157" spans="1:4" x14ac:dyDescent="0.2">
      <c r="A157" s="79" t="s">
        <v>93</v>
      </c>
      <c r="B157" s="79"/>
      <c r="C157" s="79"/>
      <c r="D157" s="23">
        <f>SUM(D152:D156)</f>
        <v>4756.0439999999999</v>
      </c>
    </row>
    <row r="158" spans="1:4" x14ac:dyDescent="0.2">
      <c r="A158" s="30" t="s">
        <v>32</v>
      </c>
      <c r="B158" s="80" t="s">
        <v>69</v>
      </c>
      <c r="C158" s="80"/>
      <c r="D158" s="24">
        <f>D146</f>
        <v>1038.6762758620689</v>
      </c>
    </row>
    <row r="159" spans="1:4" x14ac:dyDescent="0.2">
      <c r="A159" s="79" t="s">
        <v>70</v>
      </c>
      <c r="B159" s="79"/>
      <c r="C159" s="79"/>
      <c r="D159" s="23">
        <f>ROUND(SUM(D157:D158),2)</f>
        <v>5794.72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81" zoomScale="115" zoomScaleNormal="115" workbookViewId="0">
      <selection activeCell="D159" sqref="D15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2" t="s">
        <v>102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x14ac:dyDescent="0.2">
      <c r="A5" s="72" t="s">
        <v>103</v>
      </c>
      <c r="B5" s="73"/>
      <c r="C5" s="73"/>
      <c r="D5" s="74"/>
    </row>
    <row r="6" spans="1:4" x14ac:dyDescent="0.2">
      <c r="A6" s="33" t="s">
        <v>4</v>
      </c>
      <c r="B6" s="34" t="s">
        <v>99</v>
      </c>
      <c r="C6" s="35"/>
      <c r="D6" s="36" t="s">
        <v>105</v>
      </c>
    </row>
    <row r="7" spans="1:4" x14ac:dyDescent="0.2">
      <c r="A7" s="33" t="s">
        <v>6</v>
      </c>
      <c r="B7" s="34" t="s">
        <v>100</v>
      </c>
      <c r="C7" s="35"/>
      <c r="D7" s="38" t="s">
        <v>106</v>
      </c>
    </row>
    <row r="8" spans="1:4" x14ac:dyDescent="0.2">
      <c r="A8" s="33" t="s">
        <v>8</v>
      </c>
      <c r="B8" s="34" t="s">
        <v>101</v>
      </c>
      <c r="C8" s="35"/>
      <c r="D8" s="37">
        <v>45723</v>
      </c>
    </row>
    <row r="9" spans="1:4" x14ac:dyDescent="0.2">
      <c r="A9" s="33" t="s">
        <v>10</v>
      </c>
      <c r="B9" s="83" t="s">
        <v>108</v>
      </c>
      <c r="C9" s="84"/>
      <c r="D9" s="85"/>
    </row>
    <row r="10" spans="1:4" x14ac:dyDescent="0.2">
      <c r="A10" s="33" t="s">
        <v>12</v>
      </c>
      <c r="B10" s="83" t="s">
        <v>107</v>
      </c>
      <c r="C10" s="84"/>
      <c r="D10" s="85"/>
    </row>
    <row r="12" spans="1:4" x14ac:dyDescent="0.2">
      <c r="A12" s="82" t="s">
        <v>87</v>
      </c>
      <c r="B12" s="82"/>
      <c r="C12" s="82"/>
      <c r="D12" s="82"/>
    </row>
    <row r="13" spans="1:4" x14ac:dyDescent="0.2">
      <c r="A13" s="2"/>
      <c r="B13" s="2"/>
      <c r="C13" s="2"/>
      <c r="D13" s="2"/>
    </row>
    <row r="14" spans="1:4" ht="38.25" x14ac:dyDescent="0.2">
      <c r="A14" s="75" t="s">
        <v>88</v>
      </c>
      <c r="B14" s="75"/>
      <c r="C14" s="32" t="s">
        <v>89</v>
      </c>
      <c r="D14" s="27" t="s">
        <v>90</v>
      </c>
    </row>
    <row r="15" spans="1:4" x14ac:dyDescent="0.2">
      <c r="A15" s="76" t="s">
        <v>124</v>
      </c>
      <c r="B15" s="76"/>
      <c r="C15" s="39" t="s">
        <v>110</v>
      </c>
      <c r="D15" s="39">
        <v>11</v>
      </c>
    </row>
    <row r="17" spans="1:4" x14ac:dyDescent="0.2">
      <c r="A17" s="82" t="s">
        <v>71</v>
      </c>
      <c r="B17" s="82"/>
      <c r="C17" s="82"/>
      <c r="D17" s="8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77" t="s">
        <v>116</v>
      </c>
      <c r="D19" s="78"/>
    </row>
    <row r="20" spans="1:4" x14ac:dyDescent="0.2">
      <c r="A20" s="5">
        <v>2</v>
      </c>
      <c r="B20" s="5" t="s">
        <v>91</v>
      </c>
      <c r="C20" s="77" t="s">
        <v>117</v>
      </c>
      <c r="D20" s="78"/>
    </row>
    <row r="21" spans="1:4" x14ac:dyDescent="0.2">
      <c r="A21" s="5">
        <v>3</v>
      </c>
      <c r="B21" s="5" t="s">
        <v>73</v>
      </c>
      <c r="C21" s="81">
        <v>1756.91</v>
      </c>
      <c r="D21" s="78"/>
    </row>
    <row r="22" spans="1:4" x14ac:dyDescent="0.2">
      <c r="A22" s="5">
        <v>4</v>
      </c>
      <c r="B22" s="5" t="s">
        <v>74</v>
      </c>
      <c r="C22" s="77"/>
      <c r="D22" s="78"/>
    </row>
    <row r="23" spans="1:4" x14ac:dyDescent="0.2">
      <c r="A23" s="5">
        <v>5</v>
      </c>
      <c r="B23" s="5" t="s">
        <v>75</v>
      </c>
      <c r="C23" s="77"/>
      <c r="D23" s="78"/>
    </row>
    <row r="25" spans="1:4" x14ac:dyDescent="0.2">
      <c r="A25" s="82" t="s">
        <v>1</v>
      </c>
      <c r="B25" s="82"/>
      <c r="C25" s="82"/>
      <c r="D25" s="82"/>
    </row>
    <row r="27" spans="1:4" x14ac:dyDescent="0.2">
      <c r="A27" s="30">
        <v>1</v>
      </c>
      <c r="B27" s="79" t="s">
        <v>2</v>
      </c>
      <c r="C27" s="79"/>
      <c r="D27" s="30" t="s">
        <v>3</v>
      </c>
    </row>
    <row r="28" spans="1:4" x14ac:dyDescent="0.2">
      <c r="A28" s="32" t="s">
        <v>4</v>
      </c>
      <c r="B28" s="80" t="s">
        <v>5</v>
      </c>
      <c r="C28" s="80"/>
      <c r="D28" s="13">
        <v>1756.91</v>
      </c>
    </row>
    <row r="29" spans="1:4" x14ac:dyDescent="0.2">
      <c r="A29" s="32" t="s">
        <v>6</v>
      </c>
      <c r="B29" s="80" t="s">
        <v>7</v>
      </c>
      <c r="C29" s="80"/>
      <c r="D29" s="13"/>
    </row>
    <row r="30" spans="1:4" x14ac:dyDescent="0.2">
      <c r="A30" s="32" t="s">
        <v>8</v>
      </c>
      <c r="B30" s="80" t="s">
        <v>9</v>
      </c>
      <c r="C30" s="80"/>
      <c r="D30" s="13"/>
    </row>
    <row r="31" spans="1:4" x14ac:dyDescent="0.2">
      <c r="A31" s="32" t="s">
        <v>10</v>
      </c>
      <c r="B31" s="80" t="s">
        <v>11</v>
      </c>
      <c r="C31" s="80"/>
      <c r="D31" s="13"/>
    </row>
    <row r="32" spans="1:4" x14ac:dyDescent="0.2">
      <c r="A32" s="32" t="s">
        <v>12</v>
      </c>
      <c r="B32" s="80" t="s">
        <v>13</v>
      </c>
      <c r="C32" s="80"/>
      <c r="D32" s="13"/>
    </row>
    <row r="33" spans="1:4" x14ac:dyDescent="0.2">
      <c r="A33" s="32"/>
      <c r="B33" s="80"/>
      <c r="C33" s="80"/>
      <c r="D33" s="13"/>
    </row>
    <row r="34" spans="1:4" x14ac:dyDescent="0.2">
      <c r="A34" s="32" t="s">
        <v>14</v>
      </c>
      <c r="B34" s="80" t="s">
        <v>15</v>
      </c>
      <c r="C34" s="80"/>
      <c r="D34" s="13"/>
    </row>
    <row r="35" spans="1:4" x14ac:dyDescent="0.2">
      <c r="A35" s="79" t="s">
        <v>16</v>
      </c>
      <c r="B35" s="79"/>
      <c r="C35" s="79"/>
      <c r="D35" s="20">
        <f>SUM(D28:D34)</f>
        <v>1756.91</v>
      </c>
    </row>
    <row r="38" spans="1:4" x14ac:dyDescent="0.2">
      <c r="A38" s="82" t="s">
        <v>17</v>
      </c>
      <c r="B38" s="82"/>
      <c r="C38" s="82"/>
      <c r="D38" s="82"/>
    </row>
    <row r="39" spans="1:4" x14ac:dyDescent="0.2">
      <c r="A39" s="3"/>
    </row>
    <row r="40" spans="1:4" x14ac:dyDescent="0.2">
      <c r="A40" s="92" t="s">
        <v>18</v>
      </c>
      <c r="B40" s="92"/>
      <c r="C40" s="92"/>
      <c r="D40" s="92"/>
    </row>
    <row r="42" spans="1:4" x14ac:dyDescent="0.2">
      <c r="A42" s="30" t="s">
        <v>19</v>
      </c>
      <c r="B42" s="79" t="s">
        <v>20</v>
      </c>
      <c r="C42" s="7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146.35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195.19</v>
      </c>
    </row>
    <row r="45" spans="1:4" x14ac:dyDescent="0.2">
      <c r="A45" s="79" t="s">
        <v>16</v>
      </c>
      <c r="B45" s="79"/>
      <c r="C45" s="28">
        <f>SUM(C43:C44)</f>
        <v>0.19440000000000002</v>
      </c>
      <c r="D45" s="19">
        <f>SUM(D43:D44)</f>
        <v>341.53999999999996</v>
      </c>
    </row>
    <row r="48" spans="1:4" x14ac:dyDescent="0.2">
      <c r="A48" s="95" t="s">
        <v>23</v>
      </c>
      <c r="B48" s="95"/>
      <c r="C48" s="95"/>
      <c r="D48" s="95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419.69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52.46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62.95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31.47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20.98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12.59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4.1900000000000004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167.87</v>
      </c>
    </row>
    <row r="59" spans="1:4" x14ac:dyDescent="0.2">
      <c r="A59" s="79" t="s">
        <v>37</v>
      </c>
      <c r="B59" s="79"/>
      <c r="C59" s="15">
        <f>SUM(C51:C58)</f>
        <v>0.36800000000000005</v>
      </c>
      <c r="D59" s="19">
        <f>SUM(D51:D58)</f>
        <v>772.20000000000016</v>
      </c>
    </row>
    <row r="62" spans="1:4" x14ac:dyDescent="0.2">
      <c r="A62" s="92" t="s">
        <v>38</v>
      </c>
      <c r="B62" s="92"/>
      <c r="C62" s="92"/>
      <c r="D62" s="92"/>
    </row>
    <row r="64" spans="1:4" x14ac:dyDescent="0.2">
      <c r="A64" s="30" t="s">
        <v>39</v>
      </c>
      <c r="B64" s="91" t="s">
        <v>40</v>
      </c>
      <c r="C64" s="91"/>
      <c r="D64" s="30" t="s">
        <v>3</v>
      </c>
    </row>
    <row r="65" spans="1:5" x14ac:dyDescent="0.2">
      <c r="A65" s="32" t="s">
        <v>4</v>
      </c>
      <c r="B65" s="80" t="s">
        <v>41</v>
      </c>
      <c r="C65" s="80"/>
      <c r="D65" s="13">
        <f>IF((22*2*5.6)-(D28*0.06)&gt;0,(22*2*5.6)-(D28*0.06),0)</f>
        <v>140.98539999999997</v>
      </c>
    </row>
    <row r="66" spans="1:5" x14ac:dyDescent="0.2">
      <c r="A66" s="32" t="s">
        <v>6</v>
      </c>
      <c r="B66" s="80" t="s">
        <v>42</v>
      </c>
      <c r="C66" s="80"/>
      <c r="D66" s="13">
        <v>0</v>
      </c>
    </row>
    <row r="67" spans="1:5" x14ac:dyDescent="0.2">
      <c r="A67" s="32" t="s">
        <v>8</v>
      </c>
      <c r="B67" s="80" t="s">
        <v>112</v>
      </c>
      <c r="C67" s="80"/>
      <c r="D67" s="13">
        <v>320</v>
      </c>
    </row>
    <row r="68" spans="1:5" x14ac:dyDescent="0.2">
      <c r="A68" s="32" t="s">
        <v>10</v>
      </c>
      <c r="B68" s="80" t="s">
        <v>113</v>
      </c>
      <c r="C68" s="80"/>
      <c r="D68" s="13">
        <v>26.5</v>
      </c>
    </row>
    <row r="69" spans="1:5" x14ac:dyDescent="0.2">
      <c r="A69" s="32" t="s">
        <v>10</v>
      </c>
      <c r="B69" s="80" t="s">
        <v>114</v>
      </c>
      <c r="C69" s="80"/>
      <c r="D69" s="13">
        <v>5.21</v>
      </c>
    </row>
    <row r="70" spans="1:5" x14ac:dyDescent="0.2">
      <c r="A70" s="79" t="s">
        <v>16</v>
      </c>
      <c r="B70" s="79"/>
      <c r="C70" s="79"/>
      <c r="D70" s="19">
        <f>SUM(D65:D69)</f>
        <v>492.69539999999995</v>
      </c>
    </row>
    <row r="73" spans="1:5" x14ac:dyDescent="0.2">
      <c r="A73" s="92" t="s">
        <v>43</v>
      </c>
      <c r="B73" s="92"/>
      <c r="C73" s="92"/>
      <c r="D73" s="92"/>
    </row>
    <row r="75" spans="1:5" x14ac:dyDescent="0.2">
      <c r="A75" s="30">
        <v>2</v>
      </c>
      <c r="B75" s="91" t="s">
        <v>44</v>
      </c>
      <c r="C75" s="91"/>
      <c r="D75" s="30" t="s">
        <v>3</v>
      </c>
    </row>
    <row r="76" spans="1:5" x14ac:dyDescent="0.2">
      <c r="A76" s="32" t="s">
        <v>19</v>
      </c>
      <c r="B76" s="80" t="s">
        <v>20</v>
      </c>
      <c r="C76" s="80"/>
      <c r="D76" s="14">
        <f>D45</f>
        <v>341.53999999999996</v>
      </c>
    </row>
    <row r="77" spans="1:5" x14ac:dyDescent="0.2">
      <c r="A77" s="32" t="s">
        <v>24</v>
      </c>
      <c r="B77" s="80" t="s">
        <v>25</v>
      </c>
      <c r="C77" s="80"/>
      <c r="D77" s="14">
        <f>D59</f>
        <v>772.20000000000016</v>
      </c>
    </row>
    <row r="78" spans="1:5" x14ac:dyDescent="0.2">
      <c r="A78" s="32" t="s">
        <v>39</v>
      </c>
      <c r="B78" s="80" t="s">
        <v>40</v>
      </c>
      <c r="C78" s="80"/>
      <c r="D78" s="14">
        <f>D70</f>
        <v>492.69539999999995</v>
      </c>
    </row>
    <row r="79" spans="1:5" x14ac:dyDescent="0.2">
      <c r="A79" s="79" t="s">
        <v>16</v>
      </c>
      <c r="B79" s="79"/>
      <c r="C79" s="79"/>
      <c r="D79" s="19">
        <f>SUM(D76:D78)</f>
        <v>1606.4354000000003</v>
      </c>
    </row>
    <row r="80" spans="1:5" x14ac:dyDescent="0.2">
      <c r="A80" s="4"/>
      <c r="E80" s="18"/>
    </row>
    <row r="82" spans="1:5" x14ac:dyDescent="0.2">
      <c r="A82" s="82" t="s">
        <v>45</v>
      </c>
      <c r="B82" s="82"/>
      <c r="C82" s="82"/>
      <c r="D82" s="82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91" t="s">
        <v>46</v>
      </c>
      <c r="C84" s="91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TRUNC(((1/12)*0%),4)</f>
        <v>0</v>
      </c>
      <c r="D85" s="13">
        <f>TRUNC($D$35*C85,2)</f>
        <v>0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</v>
      </c>
    </row>
    <row r="87" spans="1:5" x14ac:dyDescent="0.2">
      <c r="A87" s="32" t="s">
        <v>8</v>
      </c>
      <c r="B87" s="10" t="s">
        <v>97</v>
      </c>
      <c r="C87" s="9">
        <f>TRUNC(8%*0%*40%,4)</f>
        <v>0</v>
      </c>
      <c r="D87" s="13">
        <f>TRUNC($D$35*C87,2)</f>
        <v>0</v>
      </c>
    </row>
    <row r="88" spans="1:5" x14ac:dyDescent="0.2">
      <c r="A88" s="32" t="s">
        <v>10</v>
      </c>
      <c r="B88" s="10" t="s">
        <v>49</v>
      </c>
      <c r="C88" s="9">
        <f>TRUNC(((7/30)/12)*0%,4)</f>
        <v>0</v>
      </c>
      <c r="D88" s="13">
        <f>TRUNC($D$35*C88,2)</f>
        <v>0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0</v>
      </c>
    </row>
    <row r="90" spans="1:5" x14ac:dyDescent="0.2">
      <c r="A90" s="32" t="s">
        <v>32</v>
      </c>
      <c r="B90" s="10" t="s">
        <v>98</v>
      </c>
      <c r="C90" s="9">
        <f>TRUNC(8%*0%*40%,4)</f>
        <v>0</v>
      </c>
      <c r="D90" s="13">
        <f t="shared" ref="D90" si="1">TRUNC($D$35*C90,2)</f>
        <v>0</v>
      </c>
    </row>
    <row r="91" spans="1:5" x14ac:dyDescent="0.2">
      <c r="A91" s="89" t="s">
        <v>16</v>
      </c>
      <c r="B91" s="90"/>
      <c r="C91" s="93"/>
      <c r="D91" s="19">
        <f>SUM(D85:D90)</f>
        <v>0</v>
      </c>
    </row>
    <row r="94" spans="1:5" x14ac:dyDescent="0.2">
      <c r="A94" s="82" t="s">
        <v>50</v>
      </c>
      <c r="B94" s="82"/>
      <c r="C94" s="82"/>
      <c r="D94" s="82"/>
    </row>
    <row r="97" spans="1:6" x14ac:dyDescent="0.2">
      <c r="A97" s="92" t="s">
        <v>76</v>
      </c>
      <c r="B97" s="92"/>
      <c r="C97" s="92"/>
      <c r="D97" s="92"/>
    </row>
    <row r="98" spans="1:6" x14ac:dyDescent="0.2">
      <c r="A98" s="3"/>
    </row>
    <row r="99" spans="1:6" x14ac:dyDescent="0.2">
      <c r="A99" s="30" t="s">
        <v>51</v>
      </c>
      <c r="B99" s="91" t="s">
        <v>77</v>
      </c>
      <c r="C99" s="91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TRUNC(((1+1/3)/12)/12,4)*0</f>
        <v>0</v>
      </c>
      <c r="D100" s="13">
        <f>TRUNC(($D$35+$D$79+$D$91)*C100,2)</f>
        <v>0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18.489999999999998</v>
      </c>
    </row>
    <row r="102" spans="1:6" x14ac:dyDescent="0.2">
      <c r="A102" s="32" t="s">
        <v>8</v>
      </c>
      <c r="B102" s="29" t="s">
        <v>80</v>
      </c>
      <c r="C102" s="9">
        <f>TRUNC(((5/30)/12)*2%,4)*0</f>
        <v>0</v>
      </c>
      <c r="D102" s="13">
        <f t="shared" si="2"/>
        <v>0</v>
      </c>
    </row>
    <row r="103" spans="1:6" x14ac:dyDescent="0.2">
      <c r="A103" s="32" t="s">
        <v>10</v>
      </c>
      <c r="B103" s="29" t="s">
        <v>81</v>
      </c>
      <c r="C103" s="9">
        <f>TRUNC(((15/30)/12)*8%,4)*0</f>
        <v>0</v>
      </c>
      <c r="D103" s="13">
        <f t="shared" si="2"/>
        <v>0</v>
      </c>
    </row>
    <row r="104" spans="1:6" x14ac:dyDescent="0.2">
      <c r="A104" s="32" t="s">
        <v>12</v>
      </c>
      <c r="B104" s="29" t="s">
        <v>82</v>
      </c>
      <c r="C104" s="9">
        <f>((1+1/3)/12)*3%*(4/12)*0</f>
        <v>0</v>
      </c>
      <c r="D104" s="13">
        <f t="shared" si="2"/>
        <v>0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79" t="s">
        <v>37</v>
      </c>
      <c r="B106" s="79"/>
      <c r="C106" s="79"/>
      <c r="D106" s="19">
        <f>SUM(D100:D105)</f>
        <v>18.489999999999998</v>
      </c>
      <c r="E106" s="17"/>
      <c r="F106" s="17"/>
    </row>
    <row r="109" spans="1:6" x14ac:dyDescent="0.2">
      <c r="A109" s="92" t="s">
        <v>84</v>
      </c>
      <c r="B109" s="92"/>
      <c r="C109" s="92"/>
      <c r="D109" s="92"/>
    </row>
    <row r="110" spans="1:6" x14ac:dyDescent="0.2">
      <c r="A110" s="3"/>
    </row>
    <row r="111" spans="1:6" x14ac:dyDescent="0.2">
      <c r="A111" s="30" t="s">
        <v>52</v>
      </c>
      <c r="B111" s="91" t="s">
        <v>85</v>
      </c>
      <c r="C111" s="91"/>
      <c r="D111" s="30" t="s">
        <v>3</v>
      </c>
    </row>
    <row r="112" spans="1:6" x14ac:dyDescent="0.2">
      <c r="A112" s="32" t="s">
        <v>4</v>
      </c>
      <c r="B112" s="86" t="s">
        <v>86</v>
      </c>
      <c r="C112" s="87"/>
      <c r="D112" s="13">
        <f>((D35+D79+D91)/220)*22*0</f>
        <v>0</v>
      </c>
    </row>
    <row r="113" spans="1:4" x14ac:dyDescent="0.2">
      <c r="A113" s="79" t="s">
        <v>16</v>
      </c>
      <c r="B113" s="79"/>
      <c r="C113" s="79"/>
      <c r="D113" s="19">
        <f>SUM(D112)</f>
        <v>0</v>
      </c>
    </row>
    <row r="116" spans="1:4" x14ac:dyDescent="0.2">
      <c r="A116" s="92" t="s">
        <v>53</v>
      </c>
      <c r="B116" s="92"/>
      <c r="C116" s="92"/>
      <c r="D116" s="92"/>
    </row>
    <row r="117" spans="1:4" x14ac:dyDescent="0.2">
      <c r="A117" s="3"/>
    </row>
    <row r="118" spans="1:4" x14ac:dyDescent="0.2">
      <c r="A118" s="30">
        <v>4</v>
      </c>
      <c r="B118" s="79" t="s">
        <v>54</v>
      </c>
      <c r="C118" s="79"/>
      <c r="D118" s="30" t="s">
        <v>3</v>
      </c>
    </row>
    <row r="119" spans="1:4" x14ac:dyDescent="0.2">
      <c r="A119" s="32" t="s">
        <v>51</v>
      </c>
      <c r="B119" s="80" t="s">
        <v>77</v>
      </c>
      <c r="C119" s="80"/>
      <c r="D119" s="14">
        <f>D106</f>
        <v>18.489999999999998</v>
      </c>
    </row>
    <row r="120" spans="1:4" x14ac:dyDescent="0.2">
      <c r="A120" s="32" t="s">
        <v>52</v>
      </c>
      <c r="B120" s="80" t="s">
        <v>85</v>
      </c>
      <c r="C120" s="80"/>
      <c r="D120" s="14">
        <f>D113</f>
        <v>0</v>
      </c>
    </row>
    <row r="121" spans="1:4" x14ac:dyDescent="0.2">
      <c r="A121" s="79" t="s">
        <v>16</v>
      </c>
      <c r="B121" s="79"/>
      <c r="C121" s="79"/>
      <c r="D121" s="19">
        <f>SUM(D119:D120)</f>
        <v>18.489999999999998</v>
      </c>
    </row>
    <row r="124" spans="1:4" x14ac:dyDescent="0.2">
      <c r="A124" s="82" t="s">
        <v>55</v>
      </c>
      <c r="B124" s="82"/>
      <c r="C124" s="82"/>
      <c r="D124" s="82"/>
    </row>
    <row r="126" spans="1:4" x14ac:dyDescent="0.2">
      <c r="A126" s="30">
        <v>5</v>
      </c>
      <c r="B126" s="88" t="s">
        <v>56</v>
      </c>
      <c r="C126" s="88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116.54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2.11</v>
      </c>
    </row>
    <row r="130" spans="1:4" x14ac:dyDescent="0.2">
      <c r="A130" s="32" t="s">
        <v>10</v>
      </c>
      <c r="B130" s="29" t="s">
        <v>15</v>
      </c>
      <c r="C130" s="29"/>
      <c r="D130" s="13">
        <v>0</v>
      </c>
    </row>
    <row r="131" spans="1:4" x14ac:dyDescent="0.2">
      <c r="A131" s="79" t="s">
        <v>37</v>
      </c>
      <c r="B131" s="79"/>
      <c r="C131" s="79"/>
      <c r="D131" s="20">
        <f>SUM(D127:D130)</f>
        <v>118.65</v>
      </c>
    </row>
    <row r="134" spans="1:4" x14ac:dyDescent="0.2">
      <c r="A134" s="82" t="s">
        <v>60</v>
      </c>
      <c r="B134" s="82"/>
      <c r="C134" s="82"/>
      <c r="D134" s="82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175.02427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220.53058019999997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368.91897278850576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94</v>
      </c>
      <c r="C141" s="9">
        <v>6.4999999999999997E-3</v>
      </c>
      <c r="D141" s="14">
        <f t="shared" ref="D141:D145" si="3">$D$159*C141</f>
        <v>27.722239999999999</v>
      </c>
    </row>
    <row r="142" spans="1:4" x14ac:dyDescent="0.2">
      <c r="A142" s="32"/>
      <c r="B142" s="29" t="s">
        <v>95</v>
      </c>
      <c r="C142" s="9">
        <v>0.03</v>
      </c>
      <c r="D142" s="14">
        <f t="shared" si="3"/>
        <v>127.94879999999999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96</v>
      </c>
      <c r="C145" s="9">
        <v>0.05</v>
      </c>
      <c r="D145" s="14">
        <f t="shared" si="3"/>
        <v>213.24800000000002</v>
      </c>
    </row>
    <row r="146" spans="1:4" ht="13.5" x14ac:dyDescent="0.2">
      <c r="A146" s="89" t="s">
        <v>37</v>
      </c>
      <c r="B146" s="90"/>
      <c r="C146" s="21">
        <f>(1+C138)*(1+C137)/(1-C139)-1</f>
        <v>0.21839080459770144</v>
      </c>
      <c r="D146" s="19">
        <f>SUM(D137:D139)</f>
        <v>764.47382298850573</v>
      </c>
    </row>
    <row r="149" spans="1:4" x14ac:dyDescent="0.2">
      <c r="A149" s="82" t="s">
        <v>104</v>
      </c>
      <c r="B149" s="82"/>
      <c r="C149" s="82"/>
      <c r="D149" s="82"/>
    </row>
    <row r="151" spans="1:4" x14ac:dyDescent="0.2">
      <c r="A151" s="30"/>
      <c r="B151" s="79" t="s">
        <v>68</v>
      </c>
      <c r="C151" s="79"/>
      <c r="D151" s="30" t="s">
        <v>3</v>
      </c>
    </row>
    <row r="152" spans="1:4" x14ac:dyDescent="0.2">
      <c r="A152" s="30" t="s">
        <v>4</v>
      </c>
      <c r="B152" s="80" t="s">
        <v>1</v>
      </c>
      <c r="C152" s="80"/>
      <c r="D152" s="22">
        <f>D35</f>
        <v>1756.91</v>
      </c>
    </row>
    <row r="153" spans="1:4" x14ac:dyDescent="0.2">
      <c r="A153" s="30" t="s">
        <v>6</v>
      </c>
      <c r="B153" s="80" t="s">
        <v>17</v>
      </c>
      <c r="C153" s="80"/>
      <c r="D153" s="22">
        <f>D79</f>
        <v>1606.4354000000003</v>
      </c>
    </row>
    <row r="154" spans="1:4" x14ac:dyDescent="0.2">
      <c r="A154" s="30" t="s">
        <v>8</v>
      </c>
      <c r="B154" s="80" t="s">
        <v>45</v>
      </c>
      <c r="C154" s="80"/>
      <c r="D154" s="22">
        <f>D91</f>
        <v>0</v>
      </c>
    </row>
    <row r="155" spans="1:4" x14ac:dyDescent="0.2">
      <c r="A155" s="30" t="s">
        <v>10</v>
      </c>
      <c r="B155" s="80" t="s">
        <v>50</v>
      </c>
      <c r="C155" s="80"/>
      <c r="D155" s="22">
        <f>D121</f>
        <v>18.489999999999998</v>
      </c>
    </row>
    <row r="156" spans="1:4" x14ac:dyDescent="0.2">
      <c r="A156" s="30" t="s">
        <v>12</v>
      </c>
      <c r="B156" s="80" t="s">
        <v>55</v>
      </c>
      <c r="C156" s="80"/>
      <c r="D156" s="22">
        <f>D131</f>
        <v>118.65</v>
      </c>
    </row>
    <row r="157" spans="1:4" x14ac:dyDescent="0.2">
      <c r="A157" s="79" t="s">
        <v>93</v>
      </c>
      <c r="B157" s="79"/>
      <c r="C157" s="79"/>
      <c r="D157" s="23">
        <f>SUM(D152:D156)</f>
        <v>3500.4854</v>
      </c>
    </row>
    <row r="158" spans="1:4" x14ac:dyDescent="0.2">
      <c r="A158" s="30" t="s">
        <v>32</v>
      </c>
      <c r="B158" s="80" t="s">
        <v>69</v>
      </c>
      <c r="C158" s="80"/>
      <c r="D158" s="24">
        <f>D146</f>
        <v>764.47382298850573</v>
      </c>
    </row>
    <row r="159" spans="1:4" x14ac:dyDescent="0.2">
      <c r="A159" s="79" t="s">
        <v>70</v>
      </c>
      <c r="B159" s="79"/>
      <c r="C159" s="79"/>
      <c r="D159" s="23">
        <f>ROUND(SUM(D157:D158),2)</f>
        <v>4264.96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</vt:i4>
      </vt:variant>
    </vt:vector>
  </HeadingPairs>
  <TitlesOfParts>
    <vt:vector size="14" baseType="lpstr">
      <vt:lpstr>atendIII</vt:lpstr>
      <vt:lpstr>atendIV</vt:lpstr>
      <vt:lpstr>telef</vt:lpstr>
      <vt:lpstr>telefb</vt:lpstr>
      <vt:lpstr>super</vt:lpstr>
      <vt:lpstr>auxsuper</vt:lpstr>
      <vt:lpstr>atendIIIad</vt:lpstr>
      <vt:lpstr>atendIVad</vt:lpstr>
      <vt:lpstr>telefad</vt:lpstr>
      <vt:lpstr>telefbad</vt:lpstr>
      <vt:lpstr>auxsuperad</vt:lpstr>
      <vt:lpstr>horaextra</vt:lpstr>
      <vt:lpstr>total</vt:lpstr>
      <vt:lpstr>horaextra!Titulos_de_impressao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2025-12-10T18:43:54Z</cp:lastPrinted>
  <dcterms:created xsi:type="dcterms:W3CDTF">2019-01-29T18:54:26Z</dcterms:created>
  <dcterms:modified xsi:type="dcterms:W3CDTF">2025-12-11T18:10:26Z</dcterms:modified>
</cp:coreProperties>
</file>