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4" activeTab="26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4" sheetId="27" r:id="rId24"/>
    <sheet name="Item26" sheetId="29" state="hidden" r:id="rId25"/>
    <sheet name="Item27" sheetId="30" state="hidden" r:id="rId26"/>
    <sheet name="total" sheetId="23" r:id="rId27"/>
  </sheets>
  <definedNames>
    <definedName name="_xlnm.Print_Area" localSheetId="26">total!$A$1:$F$39</definedName>
    <definedName name="_xlnm.Print_Titles" localSheetId="26">total!$1:$2</definedName>
  </definedNames>
  <calcPr calcId="145621"/>
</workbook>
</file>

<file path=xl/calcChain.xml><?xml version="1.0" encoding="utf-8"?>
<calcChain xmlns="http://schemas.openxmlformats.org/spreadsheetml/2006/main">
  <c r="I4" i="11" l="1"/>
  <c r="I5" i="11"/>
  <c r="I6" i="11"/>
  <c r="I7" i="11"/>
  <c r="I5" i="4"/>
  <c r="B23" i="23" l="1"/>
  <c r="C23" i="23"/>
  <c r="D23" i="23"/>
  <c r="B24" i="23"/>
  <c r="C24" i="23"/>
  <c r="D24" i="23"/>
  <c r="B25" i="23"/>
  <c r="C25" i="23"/>
  <c r="D25" i="23"/>
  <c r="B26" i="23"/>
  <c r="C26" i="23"/>
  <c r="D26" i="23"/>
  <c r="A26" i="23"/>
  <c r="A25" i="23"/>
  <c r="A24" i="23"/>
  <c r="A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6" l="1"/>
  <c r="I3" i="26" s="1"/>
  <c r="C20" i="24"/>
  <c r="I8" i="24" s="1"/>
  <c r="I15" i="24"/>
  <c r="I14" i="24"/>
  <c r="I13" i="24"/>
  <c r="I16" i="24"/>
  <c r="I17" i="24"/>
  <c r="I15" i="26"/>
  <c r="I9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B4" i="23"/>
  <c r="C4" i="23"/>
  <c r="D4" i="23"/>
  <c r="B5" i="23"/>
  <c r="C5" i="23"/>
  <c r="D5" i="23"/>
  <c r="B6" i="23"/>
  <c r="C6" i="23"/>
  <c r="D6" i="23"/>
  <c r="B7" i="23"/>
  <c r="C7" i="23"/>
  <c r="D7" i="23"/>
  <c r="B8" i="23"/>
  <c r="C8" i="23"/>
  <c r="D8" i="23"/>
  <c r="B9" i="23"/>
  <c r="C9" i="23"/>
  <c r="D9" i="23"/>
  <c r="B10" i="23"/>
  <c r="C10" i="23"/>
  <c r="D10" i="23"/>
  <c r="B11" i="23"/>
  <c r="C11" i="23"/>
  <c r="D11" i="23"/>
  <c r="B12" i="23"/>
  <c r="C12" i="23"/>
  <c r="D12" i="23"/>
  <c r="B13" i="23"/>
  <c r="C13" i="23"/>
  <c r="D13" i="23"/>
  <c r="B14" i="23"/>
  <c r="C14" i="23"/>
  <c r="D14" i="23"/>
  <c r="B15" i="23"/>
  <c r="C15" i="23"/>
  <c r="D15" i="23"/>
  <c r="B16" i="23"/>
  <c r="C16" i="23"/>
  <c r="D16" i="23"/>
  <c r="B17" i="23"/>
  <c r="C17" i="23"/>
  <c r="D17" i="23"/>
  <c r="B18" i="23"/>
  <c r="C18" i="23"/>
  <c r="D18" i="23"/>
  <c r="B19" i="23"/>
  <c r="C19" i="23"/>
  <c r="D19" i="23"/>
  <c r="B20" i="23"/>
  <c r="C20" i="23"/>
  <c r="D20" i="23"/>
  <c r="B21" i="23"/>
  <c r="C21" i="23"/>
  <c r="D21" i="23"/>
  <c r="B22" i="23"/>
  <c r="C22" i="23"/>
  <c r="D22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8" i="23"/>
  <c r="A7" i="23"/>
  <c r="A6" i="23"/>
  <c r="A5" i="23"/>
  <c r="A4" i="23"/>
  <c r="B3" i="23"/>
  <c r="C3" i="23"/>
  <c r="D3" i="23"/>
  <c r="A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I8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C20" i="14" l="1"/>
  <c r="I3" i="14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12" i="9" s="1"/>
  <c r="C20" i="6"/>
  <c r="I8" i="6" s="1"/>
  <c r="A20" i="7"/>
  <c r="C20" i="7" s="1"/>
  <c r="I16" i="7" s="1"/>
  <c r="A20" i="8"/>
  <c r="C20" i="8" s="1"/>
  <c r="I4" i="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13" i="16"/>
  <c r="I12" i="16"/>
  <c r="I17" i="16"/>
  <c r="I11" i="16"/>
  <c r="I10" i="16"/>
  <c r="I15" i="14"/>
  <c r="I9" i="14"/>
  <c r="I16" i="14"/>
  <c r="I14" i="14"/>
  <c r="I8" i="14"/>
  <c r="I10" i="14"/>
  <c r="I13" i="14"/>
  <c r="I7" i="14"/>
  <c r="I12" i="14"/>
  <c r="I6" i="14"/>
  <c r="I17" i="14"/>
  <c r="I11" i="14"/>
  <c r="I5" i="14"/>
  <c r="I15" i="18"/>
  <c r="I9" i="18"/>
  <c r="I3" i="18"/>
  <c r="I14" i="18"/>
  <c r="I8" i="18"/>
  <c r="I10" i="18"/>
  <c r="I13" i="18"/>
  <c r="I16" i="18"/>
  <c r="I12" i="18"/>
  <c r="I17" i="18"/>
  <c r="I11" i="18"/>
  <c r="C20" i="11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7" i="9"/>
  <c r="I13" i="9"/>
  <c r="I9" i="9"/>
  <c r="I15" i="9"/>
  <c r="I15" i="7"/>
  <c r="I10" i="9"/>
  <c r="I17" i="7"/>
  <c r="I5" i="9"/>
  <c r="I11" i="9"/>
  <c r="I17" i="9"/>
  <c r="I6" i="9"/>
  <c r="I15" i="6"/>
  <c r="I14" i="6"/>
  <c r="I7" i="6"/>
  <c r="I17" i="6"/>
  <c r="I16" i="6"/>
  <c r="I12" i="6"/>
  <c r="I12" i="5"/>
  <c r="I17" i="5"/>
  <c r="I11" i="5"/>
  <c r="I16" i="5"/>
  <c r="I8" i="5"/>
  <c r="I13" i="5"/>
  <c r="I15" i="5"/>
  <c r="I14" i="5"/>
  <c r="A20" i="4"/>
  <c r="C20" i="4" s="1"/>
  <c r="C20" i="1"/>
  <c r="I8" i="16" l="1"/>
  <c r="I6" i="16"/>
  <c r="I6" i="6"/>
  <c r="I3" i="9"/>
  <c r="E20" i="9" s="1"/>
  <c r="H22" i="9" s="1"/>
  <c r="H23" i="9" s="1"/>
  <c r="E20" i="27"/>
  <c r="E3" i="27" s="1"/>
  <c r="E26" i="23" s="1"/>
  <c r="F26" i="23" s="1"/>
  <c r="I7" i="18"/>
  <c r="I5" i="18"/>
  <c r="I4" i="14"/>
  <c r="E20" i="14" s="1"/>
  <c r="I5" i="6"/>
  <c r="I3" i="6"/>
  <c r="E20" i="24"/>
  <c r="E3" i="24" s="1"/>
  <c r="E23" i="23" s="1"/>
  <c r="F23" i="23" s="1"/>
  <c r="I8" i="20"/>
  <c r="I3" i="20"/>
  <c r="I7" i="20"/>
  <c r="I6" i="20"/>
  <c r="I4" i="20"/>
  <c r="I10" i="20"/>
  <c r="I9" i="20"/>
  <c r="I4" i="18"/>
  <c r="I4" i="16"/>
  <c r="I3" i="16"/>
  <c r="I5" i="16"/>
  <c r="I7" i="16"/>
  <c r="I10" i="12"/>
  <c r="I12" i="12"/>
  <c r="I4" i="12"/>
  <c r="I8" i="12"/>
  <c r="I6" i="12"/>
  <c r="I7" i="12"/>
  <c r="I3" i="12"/>
  <c r="E20" i="12" s="1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5" i="23" s="1"/>
  <c r="F25" i="23" s="1"/>
  <c r="E20" i="25"/>
  <c r="H22" i="25" s="1"/>
  <c r="H23" i="25" s="1"/>
  <c r="I11" i="22"/>
  <c r="I12" i="22"/>
  <c r="I9" i="22"/>
  <c r="I6" i="22"/>
  <c r="I5" i="22"/>
  <c r="I8" i="22"/>
  <c r="I4" i="22"/>
  <c r="I7" i="22"/>
  <c r="E20" i="18"/>
  <c r="H22" i="18" s="1"/>
  <c r="H23" i="18" s="1"/>
  <c r="I4" i="9"/>
  <c r="I10" i="7"/>
  <c r="I14" i="7"/>
  <c r="I8" i="7"/>
  <c r="I6" i="7"/>
  <c r="I4" i="7"/>
  <c r="I12" i="7"/>
  <c r="I9" i="7"/>
  <c r="I3" i="7"/>
  <c r="I13" i="7"/>
  <c r="I7" i="7"/>
  <c r="I5" i="7"/>
  <c r="I11" i="7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E3" i="14"/>
  <c r="E14" i="23" s="1"/>
  <c r="F14" i="23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17" i="11"/>
  <c r="I11" i="11"/>
  <c r="I16" i="11"/>
  <c r="I10" i="11"/>
  <c r="I15" i="11"/>
  <c r="I3" i="11"/>
  <c r="I13" i="11"/>
  <c r="I14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6" l="1"/>
  <c r="H22" i="16" s="1"/>
  <c r="H23" i="16" s="1"/>
  <c r="E20" i="8"/>
  <c r="H22" i="8" s="1"/>
  <c r="H23" i="8" s="1"/>
  <c r="H22" i="27"/>
  <c r="H23" i="27" s="1"/>
  <c r="E20" i="22"/>
  <c r="H22" i="22" s="1"/>
  <c r="H23" i="22" s="1"/>
  <c r="E20" i="6"/>
  <c r="H22" i="6" s="1"/>
  <c r="H23" i="6" s="1"/>
  <c r="H22" i="24"/>
  <c r="H23" i="24" s="1"/>
  <c r="E20" i="20"/>
  <c r="H22" i="20" s="1"/>
  <c r="H23" i="20" s="1"/>
  <c r="E3" i="20"/>
  <c r="E20" i="23" s="1"/>
  <c r="F20" i="23" s="1"/>
  <c r="H22" i="12"/>
  <c r="H23" i="12" s="1"/>
  <c r="E3" i="12"/>
  <c r="E12" i="23" s="1"/>
  <c r="F12" i="23" s="1"/>
  <c r="E20" i="5"/>
  <c r="E3" i="5" s="1"/>
  <c r="E5" i="23" s="1"/>
  <c r="F5" i="23" s="1"/>
  <c r="H22" i="30"/>
  <c r="H23" i="30" s="1"/>
  <c r="E3" i="29"/>
  <c r="E3" i="25"/>
  <c r="E24" i="23" s="1"/>
  <c r="F24" i="23" s="1"/>
  <c r="E20" i="21"/>
  <c r="H22" i="21" s="1"/>
  <c r="H23" i="21" s="1"/>
  <c r="E20" i="19"/>
  <c r="H22" i="19" s="1"/>
  <c r="H23" i="19" s="1"/>
  <c r="E3" i="18"/>
  <c r="E18" i="23" s="1"/>
  <c r="F18" i="23" s="1"/>
  <c r="E20" i="15"/>
  <c r="H22" i="15" s="1"/>
  <c r="H23" i="15" s="1"/>
  <c r="E20" i="13"/>
  <c r="E3" i="13" s="1"/>
  <c r="E13" i="23" s="1"/>
  <c r="F13" i="23" s="1"/>
  <c r="E20" i="11"/>
  <c r="H22" i="11" s="1"/>
  <c r="H23" i="11" s="1"/>
  <c r="E20" i="10"/>
  <c r="H22" i="10" s="1"/>
  <c r="H23" i="10" s="1"/>
  <c r="E3" i="9"/>
  <c r="E9" i="23" s="1"/>
  <c r="F9" i="23" s="1"/>
  <c r="E20" i="7"/>
  <c r="E20" i="4"/>
  <c r="E3" i="4" s="1"/>
  <c r="E4" i="23" s="1"/>
  <c r="F4" i="23" s="1"/>
  <c r="E20" i="17"/>
  <c r="E20" i="1"/>
  <c r="E3" i="16" l="1"/>
  <c r="E16" i="23" s="1"/>
  <c r="F16" i="23" s="1"/>
  <c r="E3" i="8"/>
  <c r="E8" i="23" s="1"/>
  <c r="F8" i="23" s="1"/>
  <c r="E3" i="22"/>
  <c r="E22" i="23" s="1"/>
  <c r="F22" i="23" s="1"/>
  <c r="E3" i="6"/>
  <c r="E6" i="23" s="1"/>
  <c r="F6" i="23" s="1"/>
  <c r="E3" i="21"/>
  <c r="E21" i="23" s="1"/>
  <c r="F21" i="23" s="1"/>
  <c r="E3" i="19"/>
  <c r="E19" i="23" s="1"/>
  <c r="F19" i="23" s="1"/>
  <c r="E3" i="15"/>
  <c r="E15" i="23" s="1"/>
  <c r="F15" i="23" s="1"/>
  <c r="H22" i="13"/>
  <c r="H23" i="13" s="1"/>
  <c r="E3" i="10"/>
  <c r="E10" i="23" s="1"/>
  <c r="F10" i="23" s="1"/>
  <c r="H22" i="5"/>
  <c r="H23" i="5" s="1"/>
  <c r="H22" i="4"/>
  <c r="H23" i="4" s="1"/>
  <c r="E3" i="11"/>
  <c r="E11" i="23" s="1"/>
  <c r="F11" i="23" s="1"/>
  <c r="H22" i="7"/>
  <c r="H23" i="7" s="1"/>
  <c r="E3" i="7"/>
  <c r="E7" i="23" s="1"/>
  <c r="F7" i="23" s="1"/>
  <c r="H22" i="17"/>
  <c r="H23" i="17" s="1"/>
  <c r="E3" i="17"/>
  <c r="E17" i="23" s="1"/>
  <c r="F17" i="23" s="1"/>
  <c r="E3" i="1"/>
  <c r="E3" i="23" s="1"/>
  <c r="F3" i="23" s="1"/>
  <c r="H22" i="1"/>
  <c r="H23" i="1" s="1"/>
  <c r="E29" i="23" l="1"/>
</calcChain>
</file>

<file path=xl/sharedStrings.xml><?xml version="1.0" encoding="utf-8"?>
<sst xmlns="http://schemas.openxmlformats.org/spreadsheetml/2006/main" count="859" uniqueCount="171">
  <si>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</si>
  <si>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</si>
  <si>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</si>
  <si>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</si>
  <si>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</si>
  <si>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</si>
  <si>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</si>
  <si>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</si>
  <si>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</si>
  <si>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</si>
  <si>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</si>
  <si>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</si>
  <si>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</si>
  <si>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</si>
  <si>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</si>
  <si>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</si>
  <si>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</si>
  <si>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</si>
  <si>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</si>
  <si>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</si>
  <si>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</si>
  <si>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</si>
  <si>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</si>
  <si>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</si>
  <si>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</si>
  <si>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</si>
  <si>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</si>
  <si>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</si>
  <si>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valor total do item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</si>
  <si>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</si>
  <si>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</si>
  <si>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</si>
  <si>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</si>
  <si>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</si>
  <si>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</si>
  <si>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</si>
  <si>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</si>
  <si>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</si>
  <si>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</si>
  <si>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</si>
  <si>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</si>
  <si>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</si>
  <si>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</si>
  <si>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</si>
  <si>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</si>
  <si>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</si>
  <si>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</si>
  <si>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</si>
  <si>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</si>
  <si>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</si>
  <si>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</si>
  <si>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Cabo de rede UTP - Categoria 6
Especificações técnicas:
• Cabo de 4 pares trançados compostos por condutores sólidos de cobre, 23AWG, isolados em polietileno de alta densidade;
• Capa externa em PVC não propagante a chama;
• Cor azul;
• Acondicionado em caixa de papelão tipo fastbox (305 metros), com nome do fabricante e sistema de rastreamento que permita identificar a data de fabricação dos cabos;
• O cabo deve ser fabricado com material LSZH (Low Smoke, Zero Halogen);
• Marcação sequencial métrica decrescente;
NORMAS:
• ANSI/TIA - 568;
• ISO/IEC DIS 11801
NBR 14703 e 14705
UL 444;
Garantia do Fabricante: 12 meses.
Referência: Furukawa Cabo Gigalan CAT 6;</t>
  </si>
  <si>
    <t>cx</t>
  </si>
  <si>
    <t>Cabo em cobre, tipo PP, 4 x 4,00 mm² (quatro vias com bitola de 4,00 mm²). Cabo do tipo flexível e capa de PVC. Rolo com 100m; NBR NM 247-3 – Cabos isolados com policloreto de vinila (PVC) para tensões nominais até 450/750V.</t>
  </si>
  <si>
    <t>Cabo em cobre, tipo PP, 4 x 6,00 mm² (quatro vias com bitola de 6,00 mm²). Cabo do tipo flexível e capa de PVC. Rolo com 100m, NBR NM 247-3 – Cabos isolados com policloreto de vinila (PVC) para tensões nominais até 450/750V.</t>
  </si>
  <si>
    <t>Cabo flexível em cobre com bitola de 2,50 mm², classe de isolamento 0,75kV, isolamento em PVC, fornecido em embalagens fechadas lacradas pelo fabricante, na cor branca. Rolo com 100m; NBR NM 247-3 – Cabos isolados com policloreto de vinila (PVC) para tensões nominais até 450/750V.</t>
  </si>
  <si>
    <t>Cabo flexível em cobre com bitola de 2,50 mm², classe de isolamento 0,75kV, isolamento em PVC, fornecido em embalagens fechadas lacradas pelo fabricante, na cor verde. Rolo com 100m; NBR NM 247-3 – Cabos isolados com policloreto de vinila (PVC) para tensões nominais até 450/750V.</t>
  </si>
  <si>
    <t>Cabo flexível em cobre com bitola de 2,50 mm², classe de isolamento 0,75kV, isolamento em PVC, fornecido em embalagens fechadas lacradas pelo fabricante, na cor azul. Rolo com 100m; NBR NM 247-3 – Cabos isolados com policloreto de vinila (PVC) para tensões nominais até 450/750V.</t>
  </si>
  <si>
    <t>Cabo flexível em cobre com bitola de 2,50 mm², classe de isolamento 0,75kV, isolamento em PVC, fornecido em embalagens fechadas lacradas pelo fabricante, na cor vermelho. Rolo com 100m; NBR NM 247-3 – Cabos isolados com policloreto de vinila (PVC) para tensões nominais até 450/750V.</t>
  </si>
  <si>
    <t>Conector Fêmea RJ-45 CAT 6
Especificações técnicas:
• Conector fêmea Categoria 6 para cabo UTP sólido ou flexível;
• Tipo de conector RJ-45;
• Fabricado em termoplástico não propagante a chama UL 94V-0;
• Diâmetro do Condutor: 26 a 22 AWG;
• Cor: transparente;
Normas:
• ANSI/TIA-568-2-D;
• ISO/IEC DIS 11801;
• NBR 14565;
Garantia do Fabricante:12 meses.
Referências: Furukawa Conector Fêmea RJ-45 GigaLan CAT6;
Panduit plug RJ-45 CAT 6</t>
  </si>
  <si>
    <t>Conector Macho RJ-45 CAT6
Especificações técnicas:
• Conector macho Categoria 6 para cabo UTP sólido ou flexível;
• Tipo de conector RJ-45;
• Fabricado em termoplástico não propagante a chama UL 94V-0;
• Diâmetro do Condutor: 26 a 22 AWG;
• Cor: transparente;
Normas:
• ANSI/TIA-568;
• ISO/IEC DIS 11801;
• NBR 14565;
Garantia do Fabricante:
12 meses.
Referências
Furukawa plug RJ-45 GigaLan CAT6;
Panduit plug RJ-45 CAT 6</t>
  </si>
  <si>
    <t>Filtro de linha com plug 2P+T e 5 tomadas 2P+T; Plugues e tomadas conforme NBR 60884 e NBR 14136, e cabo de força conforme NBR 247-5 da ABNT</t>
  </si>
  <si>
    <t>Fita adesiva Silver Tape (preta) 48mm x 50m
Obs.: É obrigação da Contratada, entregar materiais com intervalo de tempo decorrido entre a data de entrega e a data final de validade, equivalente a no mínimo 75% do total do prazo de validade</t>
  </si>
  <si>
    <t>Gás refrigerante R410 A, garrafa com 11,350 kg</t>
  </si>
  <si>
    <t>Lâmpada LED de 9W, , Luz branca, Base E27, marcas Osram, Eurolux, Starlux ou similar técnico</t>
  </si>
  <si>
    <t>Lâmpada LED Tubular Tipo T8, 120 cm, base G13, 127/220V, fluxo luminoso mínimo de 1.800lm, potência máxima de 18W, luz branca (temperatura de cor 6000-6500K), vida útil estimada igual ou maior que 25.000 horas, compatível com a certificação do Inmetro.
Marca: Osram, Phillips ou similar.</t>
  </si>
  <si>
    <t>Luminária quadrada 22x22cm, de embutir, led cor branca temperatura da cor 6500k, 127V/220V.
Marca: Lumicenter, Phillips ou similar.</t>
  </si>
  <si>
    <t>Massa corrida PVA comum.</t>
  </si>
  <si>
    <t>Massa POLIÉSTER, ¼ lata (massa automotiva).</t>
  </si>
  <si>
    <t>Patch Panel Categoria 6
Especificações técnicas:
· O produto deve atender os requisitos estabelecidos nas normas para Categoria 6/ Classe E;
· 24 posições RJ-45;
· Corpo fabricado em termoplástico de alto impacto não propagante a chama (UL 94 V-0);
· Painel frontal em plástico com porta etiquetas para identificação;
· Possibilidade de crimpagem T568A ou T568B;
Deve possuir uma guia traseira feita em termoplástico para organizar os cabos;
Instalação em rack 19";
· Normas:
· EIA/TIA-569;
· ISO/IEC 11801;
· NBR 14565;
· ANSI/TIA-606.
Garantia do Fabricante:12 meses.
Modelo de referência: Furukawa Patch Panel Gigalan CAT6 24P</t>
  </si>
  <si>
    <t>Plug 2P+T fêmea, padrão brasileiro, 10A; Conforme NBR 60884 e NBR 14136</t>
  </si>
  <si>
    <t>Plug 2P+T fêmea, padrão brasileiro, 20 A; Conforme NBR 60884 e NBR 14136</t>
  </si>
  <si>
    <t>Primer universal branco</t>
  </si>
  <si>
    <t>18L</t>
  </si>
  <si>
    <t>Tinta epox a base d’água premium, antimofo, cor branco, exterior/interior, galão de 3,6 litros secagem rápida.</t>
  </si>
  <si>
    <t>GL</t>
  </si>
  <si>
    <t>UN</t>
  </si>
  <si>
    <t>Solvente para limpeza 05 LITROS</t>
  </si>
  <si>
    <t>L</t>
  </si>
  <si>
    <t>Tinta acrílica fosca, cor branco neve, sem cheiro, 18 LITROS</t>
  </si>
  <si>
    <t>LUZ INDÚSTRIA E COMÉRCIO</t>
  </si>
  <si>
    <t>Z COMERCIO DE AÇO (ATUALIZ)</t>
  </si>
  <si>
    <t>SILVA DISTRIBUIDORA  (ATUAL)</t>
  </si>
  <si>
    <t>EGA COMERCIO E
REPRESENTACAO  (ATUALIZADA)
LTDA</t>
  </si>
  <si>
    <t xml:space="preserve">PONTALTI ENERGY
LTDA ( (ATUALIZADA)
</t>
  </si>
  <si>
    <t>MAX QUALITY
COMERCIO LTDA</t>
  </si>
  <si>
    <t>BAHAM COMERCIO DE INF ( ATUALIZ)</t>
  </si>
  <si>
    <t>VITOR MARGARITA ( ATUALIZ)</t>
  </si>
  <si>
    <t>LRF DISTRIBUIDORA ( ATUALIZ)</t>
  </si>
  <si>
    <t>IVANETE APARECIDA( ATUALIZ)</t>
  </si>
  <si>
    <t xml:space="preserve"> CELSO LUIZ MOREIRA  (ATUALIZ)</t>
  </si>
  <si>
    <t>DANNIEL PINTO DE M. ( ATUALIZ)</t>
  </si>
  <si>
    <t>JOALIPA COMERCIAL ( ATUALIZ)</t>
  </si>
  <si>
    <t>A FORTALEZA REFRIGERACAO( ATUALIZ)</t>
  </si>
  <si>
    <t>RRA COMERCIO ELETRO-FONIA 
LTDA (ATUALIZADO)</t>
  </si>
  <si>
    <t>ONE COMERCIAL LTDA (ATUALIZADO)</t>
  </si>
  <si>
    <t>MACROMMERCE LTDA</t>
  </si>
  <si>
    <t>T. DE CARVALHO COUTINHO
ILUMINACAO</t>
  </si>
  <si>
    <t>MAGALHAES DISTRIBUIDORA DE 
CONSTRUCAO LTDA</t>
  </si>
  <si>
    <t>GLOBO STAR COMERCIO (ATUAL)</t>
  </si>
  <si>
    <t>CS MOTORES LTDA (ATUALIZ)</t>
  </si>
  <si>
    <t>C. AUGUSTO DOS SANTOS (ATUALIZ)</t>
  </si>
  <si>
    <t>SSP COMERCIAL DIAMANTE LTDA</t>
  </si>
  <si>
    <t xml:space="preserve">HPA COMERCIAL  LTDA </t>
  </si>
  <si>
    <t>GERHARDT DISTRIBUIDOR DE
TINTAS LTDA</t>
  </si>
  <si>
    <t xml:space="preserve">KYNSAN COMERCIO IMPORTACAO EXPORTACAO LTDA </t>
  </si>
  <si>
    <t>DELTA COMERCIO DE TINTAS LTDA</t>
  </si>
  <si>
    <t>CASA BELO MATERIAIS DE
CONSTRUCAO</t>
  </si>
  <si>
    <t>JTA ASSESSORIA E MATERIAIS LTDA</t>
  </si>
  <si>
    <t>A RODRIGUES COM E SERVICOS LTDA</t>
  </si>
  <si>
    <t>GATHUS COMERCIAL LTDA</t>
  </si>
  <si>
    <t>DIONAL DISTRIBUIDORA DE
PRODUTOS LTDA</t>
  </si>
  <si>
    <t xml:space="preserve">ENGEMAQ COMPONENTES
</t>
  </si>
  <si>
    <t xml:space="preserve">I.R. COMERCIO E MATERIAIS (atua)
</t>
  </si>
  <si>
    <t>CONTROLLTEC BRASIL LTDA (atual)</t>
  </si>
  <si>
    <t>COMPUSET INFORMATICA( atual)</t>
  </si>
  <si>
    <t>ALLUME SERVICOS E COMERCIO  (ATUALIZ)</t>
  </si>
  <si>
    <t>COMERCIAL SPONCHIADO LTDA(ATUALIZ)</t>
  </si>
  <si>
    <t>CJC COMERCIO VAREJISTA  (ATUALIZ)</t>
  </si>
  <si>
    <t>SUL.COM ATACADO E VAREJO (ATUALIZ)</t>
  </si>
  <si>
    <t>VOLT MATERIAIS ELETRICOS (ATUALIZ)</t>
  </si>
  <si>
    <t>VIDA DE SILICIO (ATUALIZ)</t>
  </si>
  <si>
    <t>ZENITE COMERCIO E IMPORTACAO LTDA</t>
  </si>
  <si>
    <t>INTEGRA TECH SOLUCOES LTDA</t>
  </si>
  <si>
    <t>JJB COMERCIO VAREJISTA DE TINTAS (Atualiz)</t>
  </si>
  <si>
    <t>FB COMERCIO DE TINTAS (Atualiz)</t>
  </si>
  <si>
    <t>PAUMAR S.A - INDUSTRIA E(Atualiz)</t>
  </si>
  <si>
    <t>ALESSANDRA MEIRA DA SILVA(Atualiz)</t>
  </si>
  <si>
    <t>GATHUS COMERCIAL LTDA(Atualiz)</t>
  </si>
  <si>
    <t>MOREIRA E GONCALVES LTDA</t>
  </si>
  <si>
    <t>ATENASDISTRIBUIDORA DE
PNEUMATICOS</t>
  </si>
  <si>
    <t>AUTOLUK - COMERCIO DE
PNEUMATICOS E</t>
  </si>
  <si>
    <t>F. A. COMERCIAL LTDA</t>
  </si>
  <si>
    <t>PONTO X COMERCIAL &amp;
REPRESENTACOES</t>
  </si>
  <si>
    <t>NGREDY BRUNELE ALBUQUERQUE</t>
  </si>
  <si>
    <t xml:space="preserve">L.F.S. GONCALVES REDE COLOR </t>
  </si>
  <si>
    <t xml:space="preserve">ATENAS DISTRIBUIDORA DE </t>
  </si>
  <si>
    <t>IRENILSON SILVA DE SOUZA</t>
  </si>
  <si>
    <t xml:space="preserve">FORT INDÚSTRIA E COMÉRCIO </t>
  </si>
  <si>
    <t>LAPTOP COMERCIO DE PRO (atualiz)</t>
  </si>
  <si>
    <t>SLLIMA COMERCIO E SERV (atualiz)</t>
  </si>
  <si>
    <t>I.R. COMERCIO E MATERIAIS (atualiz)7,29</t>
  </si>
  <si>
    <t>MULTIREDE DISTRIBUIDORa (atualiz</t>
  </si>
  <si>
    <t>MULTI LITE COMERCIAL</t>
  </si>
  <si>
    <t xml:space="preserve">ALLUME SERVICOS E COMERCIO </t>
  </si>
  <si>
    <t>D S EMPREENDIMENTOS</t>
  </si>
  <si>
    <t xml:space="preserve"> LUCAS PONTALTI LIMA</t>
  </si>
  <si>
    <t>R3 COMERCIO E
SERVICOS LTDA</t>
  </si>
  <si>
    <t>R3 COMERCIO E SERVICOS  (ATUALIZ)</t>
  </si>
  <si>
    <t>DB DE ARAUJO ELETRICA(ATUALIZ)</t>
  </si>
  <si>
    <t>COMERCIAL SPONCHIADO (ATUALIZ)</t>
  </si>
  <si>
    <t>ELETROQUIP COMERCIO</t>
  </si>
  <si>
    <t>OLIVEIRA &amp; ALMEIDA INFORMATICA</t>
  </si>
  <si>
    <t>ELABOREAL SISTEMAS ELETRICO</t>
  </si>
  <si>
    <t>J R ARAUJO NORDESTE COMERCIAL</t>
  </si>
  <si>
    <t xml:space="preserve">KALUNGA </t>
  </si>
  <si>
    <t xml:space="preserve">FRIGELAR </t>
  </si>
  <si>
    <t xml:space="preserve">LEROMELIN </t>
  </si>
  <si>
    <t>FERREIRA COSTA</t>
  </si>
  <si>
    <t>LEBISCUIT</t>
  </si>
  <si>
    <t xml:space="preserve">SUSTENTA LED </t>
  </si>
  <si>
    <t>BAHIATEC</t>
  </si>
  <si>
    <t>ILUMISHOP</t>
  </si>
  <si>
    <t>MERCOVIA - SINALIZACAO</t>
  </si>
  <si>
    <t xml:space="preserve">MAGAZINE </t>
  </si>
  <si>
    <t xml:space="preserve">AMAZON </t>
  </si>
  <si>
    <t>LERO MERLIN</t>
  </si>
  <si>
    <t xml:space="preserve">CASA PROVEDOR </t>
  </si>
  <si>
    <t>OMICRON SISTEMAS, DISTRIBUICAO E
SERVICOS LTDA</t>
  </si>
  <si>
    <t>ELETROCENTER LONDRINA</t>
  </si>
  <si>
    <t>NET COMPUTADORES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</si>
</sst>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4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topLeftCell="B10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1</v>
      </c>
      <c r="B3" s="35" t="s">
        <v>51</v>
      </c>
      <c r="C3" s="37" t="s">
        <v>52</v>
      </c>
      <c r="D3" s="37">
        <v>40</v>
      </c>
      <c r="E3" s="38">
        <f>IF(C20&lt;=25%,D20,MIN(E20:F20))</f>
        <v>1602.05</v>
      </c>
      <c r="F3" s="38">
        <f>MIN(H3:H17)</f>
        <v>1189.5</v>
      </c>
      <c r="G3" s="5" t="s">
        <v>167</v>
      </c>
      <c r="H3" s="16">
        <v>1997</v>
      </c>
      <c r="I3" s="17">
        <f>IF(H3="","",(IF($C$20&lt;25%,"n/a",IF(H3&lt;=($D$20+$A$20),H3,"Descartado"))))</f>
        <v>1997</v>
      </c>
    </row>
    <row r="4" spans="1:9" x14ac:dyDescent="0.25">
      <c r="A4" s="39"/>
      <c r="B4" s="36"/>
      <c r="C4" s="37"/>
      <c r="D4" s="37"/>
      <c r="E4" s="38"/>
      <c r="F4" s="38"/>
      <c r="G4" s="5" t="s">
        <v>142</v>
      </c>
      <c r="H4" s="16">
        <v>1746.29</v>
      </c>
      <c r="I4" s="17">
        <f t="shared" ref="I4:I17" si="0">IF(H4="","",(IF($C$20&lt;25%,"n/a",IF(H4&lt;=($D$20+$A$20),H4,"Descartado"))))</f>
        <v>1746.29</v>
      </c>
    </row>
    <row r="5" spans="1:9" x14ac:dyDescent="0.25">
      <c r="A5" s="39"/>
      <c r="B5" s="36"/>
      <c r="C5" s="37"/>
      <c r="D5" s="37"/>
      <c r="E5" s="38"/>
      <c r="F5" s="38"/>
      <c r="G5" s="5" t="s">
        <v>169</v>
      </c>
      <c r="H5" s="16">
        <v>1475.41</v>
      </c>
      <c r="I5" s="17">
        <f t="shared" si="0"/>
        <v>1475.41</v>
      </c>
    </row>
    <row r="6" spans="1:9" x14ac:dyDescent="0.25">
      <c r="A6" s="39"/>
      <c r="B6" s="36"/>
      <c r="C6" s="37"/>
      <c r="D6" s="37"/>
      <c r="E6" s="38"/>
      <c r="F6" s="38"/>
      <c r="G6" s="5" t="s">
        <v>170</v>
      </c>
      <c r="H6" s="16">
        <v>2950.5</v>
      </c>
      <c r="I6" s="17" t="str">
        <f t="shared" si="0"/>
        <v>Descartado</v>
      </c>
    </row>
    <row r="7" spans="1:9" ht="45" x14ac:dyDescent="0.25">
      <c r="A7" s="39"/>
      <c r="B7" s="36"/>
      <c r="C7" s="37"/>
      <c r="D7" s="37"/>
      <c r="E7" s="38"/>
      <c r="F7" s="38"/>
      <c r="G7" s="4" t="s">
        <v>168</v>
      </c>
      <c r="H7" s="16">
        <v>1189.5</v>
      </c>
      <c r="I7" s="17">
        <f t="shared" si="0"/>
        <v>1189.5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674.1067782999952</v>
      </c>
      <c r="B20" s="8">
        <f>COUNT(H3:H17)</f>
        <v>5</v>
      </c>
      <c r="C20" s="9">
        <f>IF(B20&lt;2,"n/a",(A20/D20))</f>
        <v>0.36014979553783921</v>
      </c>
      <c r="D20" s="10">
        <f>IFERROR(ROUND(AVERAGE(H3:H17),2),"")</f>
        <v>1871.74</v>
      </c>
      <c r="E20" s="15">
        <f>IFERROR(ROUND(IF(B20&lt;2,"n/a",(IF(C20&lt;=25%,"n/a",AVERAGE(I3:I17)))),2),"n/a")</f>
        <v>1602.05</v>
      </c>
      <c r="F20" s="10">
        <f>IFERROR(ROUND(MEDIAN(H3:H17),2),"")</f>
        <v>1746.29</v>
      </c>
      <c r="G20" s="11" t="str">
        <f>IFERROR(INDEX(G3:G17,MATCH(H20,H3:H17,0)),"")</f>
        <v>OMICRON SISTEMAS, DISTRIBUICAO E
SERVICOS LTDA</v>
      </c>
      <c r="H20" s="12">
        <f>F3</f>
        <v>1189.5</v>
      </c>
    </row>
    <row r="22" spans="1:9" x14ac:dyDescent="0.25">
      <c r="G22" s="13" t="s">
        <v>19</v>
      </c>
      <c r="H22" s="14">
        <f>IF(C20&lt;=25%,D20,MIN(E20:F20))</f>
        <v>1602.05</v>
      </c>
    </row>
    <row r="23" spans="1:9" x14ac:dyDescent="0.25">
      <c r="G23" s="13" t="s">
        <v>5</v>
      </c>
      <c r="H23" s="14">
        <f>ROUND(H22,2)*D3</f>
        <v>64082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10</v>
      </c>
      <c r="B3" s="35" t="s">
        <v>61</v>
      </c>
      <c r="C3" s="37" t="s">
        <v>6</v>
      </c>
      <c r="D3" s="37">
        <v>30</v>
      </c>
      <c r="E3" s="38">
        <f>IF(C20&lt;=25%,D20,MIN(E20:F20))</f>
        <v>26.58</v>
      </c>
      <c r="F3" s="38">
        <f>MIN(H3:H17)</f>
        <v>22.73</v>
      </c>
      <c r="G3" s="5" t="s">
        <v>86</v>
      </c>
      <c r="H3" s="16">
        <v>22.73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5" t="s">
        <v>87</v>
      </c>
      <c r="H4" s="16">
        <v>23.85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9"/>
      <c r="B5" s="36"/>
      <c r="C5" s="37"/>
      <c r="D5" s="37"/>
      <c r="E5" s="38"/>
      <c r="F5" s="38"/>
      <c r="G5" s="5" t="s">
        <v>88</v>
      </c>
      <c r="H5" s="16">
        <v>28.53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5" t="s">
        <v>89</v>
      </c>
      <c r="H6" s="16">
        <v>31.2</v>
      </c>
      <c r="I6" s="17" t="str">
        <f t="shared" si="0"/>
        <v>n/a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3.9758552539045127</v>
      </c>
      <c r="B20" s="8">
        <f>COUNT(H3:H17)</f>
        <v>4</v>
      </c>
      <c r="C20" s="9">
        <f>IF(B20&lt;2,"n/a",(A20/D20))</f>
        <v>0.14958070932673112</v>
      </c>
      <c r="D20" s="10">
        <f>IFERROR(ROUND(AVERAGE(H3:H17),2),"")</f>
        <v>26.58</v>
      </c>
      <c r="E20" s="15" t="str">
        <f>IFERROR(ROUND(IF(B20&lt;2,"n/a",(IF(C20&lt;=25%,"n/a",AVERAGE(I3:I17)))),2),"n/a")</f>
        <v>n/a</v>
      </c>
      <c r="F20" s="10">
        <f>IFERROR(ROUND(MEDIAN(H3:H17),2),"")</f>
        <v>26.19</v>
      </c>
      <c r="G20" s="11" t="str">
        <f>IFERROR(INDEX(G3:G17,MATCH(H20,H3:H17,0)),"")</f>
        <v>BAHAM COMERCIO DE INF ( ATUALIZ)</v>
      </c>
      <c r="H20" s="12">
        <f>F3</f>
        <v>22.73</v>
      </c>
    </row>
    <row r="22" spans="1:9" x14ac:dyDescent="0.25">
      <c r="G22" s="13" t="s">
        <v>19</v>
      </c>
      <c r="H22" s="14">
        <f>IF(C20&lt;=25%,D20,MIN(E20:F20))</f>
        <v>26.58</v>
      </c>
    </row>
    <row r="23" spans="1:9" x14ac:dyDescent="0.25">
      <c r="G23" s="13" t="s">
        <v>5</v>
      </c>
      <c r="H23" s="14">
        <f>ROUND(H22,2)*D3</f>
        <v>797.4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11</v>
      </c>
      <c r="B3" s="35" t="s">
        <v>62</v>
      </c>
      <c r="C3" s="37" t="s">
        <v>6</v>
      </c>
      <c r="D3" s="37">
        <v>60</v>
      </c>
      <c r="E3" s="38">
        <f>IF(C20&lt;=25%,D20,MIN(E20:F20))</f>
        <v>39.090000000000003</v>
      </c>
      <c r="F3" s="38">
        <f>MIN(H3:H17)</f>
        <v>33.97</v>
      </c>
      <c r="G3" s="5" t="s">
        <v>90</v>
      </c>
      <c r="H3" s="16">
        <v>33.97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5" t="s">
        <v>156</v>
      </c>
      <c r="H4" s="16">
        <v>37.799999999999997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9"/>
      <c r="B5" s="36"/>
      <c r="C5" s="37"/>
      <c r="D5" s="37"/>
      <c r="E5" s="38"/>
      <c r="F5" s="38"/>
      <c r="G5" s="5" t="s">
        <v>155</v>
      </c>
      <c r="H5" s="16">
        <v>45.5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5.8722482917533272</v>
      </c>
      <c r="B20" s="8">
        <f>COUNT(H3:H17)</f>
        <v>3</v>
      </c>
      <c r="C20" s="9">
        <f>IF(B20&lt;2,"n/a",(A20/D20))</f>
        <v>0.1502237987145901</v>
      </c>
      <c r="D20" s="10">
        <f>IFERROR(ROUND(AVERAGE(H3:H17),2),"")</f>
        <v>39.090000000000003</v>
      </c>
      <c r="E20" s="15" t="str">
        <f>IFERROR(ROUND(IF(B20&lt;2,"n/a",(IF(C20&lt;=25%,"n/a",AVERAGE(I3:I17)))),2),"n/a")</f>
        <v>n/a</v>
      </c>
      <c r="F20" s="10">
        <f>IFERROR(ROUND(MEDIAN(H3:H17),2),"")</f>
        <v>37.799999999999997</v>
      </c>
      <c r="G20" s="11" t="str">
        <f>IFERROR(INDEX(G3:G17,MATCH(H20,H3:H17,0)),"")</f>
        <v xml:space="preserve"> CELSO LUIZ MOREIRA  (ATUALIZ)</v>
      </c>
      <c r="H20" s="12">
        <f>F3</f>
        <v>33.97</v>
      </c>
    </row>
    <row r="22" spans="1:9" x14ac:dyDescent="0.25">
      <c r="G22" s="13" t="s">
        <v>19</v>
      </c>
      <c r="H22" s="14">
        <f>IF(C20&lt;=25%,D20,MIN(E20:F20))</f>
        <v>39.090000000000003</v>
      </c>
    </row>
    <row r="23" spans="1:9" x14ac:dyDescent="0.25">
      <c r="G23" s="13" t="s">
        <v>5</v>
      </c>
      <c r="H23" s="14">
        <f>ROUND(H22,2)*D3</f>
        <v>2345.4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12</v>
      </c>
      <c r="B3" s="35" t="s">
        <v>63</v>
      </c>
      <c r="C3" s="37" t="s">
        <v>6</v>
      </c>
      <c r="D3" s="37">
        <v>30</v>
      </c>
      <c r="E3" s="38">
        <f>IF(C20&lt;=25%,D20,MIN(E20:F20))</f>
        <v>544.91</v>
      </c>
      <c r="F3" s="38">
        <f>MIN(H3:H17)</f>
        <v>470.4</v>
      </c>
      <c r="G3" s="5" t="s">
        <v>91</v>
      </c>
      <c r="H3" s="16">
        <v>470.4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5" t="s">
        <v>92</v>
      </c>
      <c r="H4" s="16">
        <v>579.11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9"/>
      <c r="B5" s="36"/>
      <c r="C5" s="37"/>
      <c r="D5" s="37"/>
      <c r="E5" s="38"/>
      <c r="F5" s="38"/>
      <c r="G5" s="5" t="s">
        <v>93</v>
      </c>
      <c r="H5" s="16">
        <v>585.21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64.596710700571563</v>
      </c>
      <c r="B20" s="8">
        <f>COUNT(H3:H17)</f>
        <v>3</v>
      </c>
      <c r="C20" s="9">
        <f>IF(B20&lt;2,"n/a",(A20/D20))</f>
        <v>0.11854565102598882</v>
      </c>
      <c r="D20" s="10">
        <f>IFERROR(ROUND(AVERAGE(H3:H17),2),"")</f>
        <v>544.91</v>
      </c>
      <c r="E20" s="15" t="str">
        <f>IFERROR(ROUND(IF(B20&lt;2,"n/a",(IF(C20&lt;=25%,"n/a",AVERAGE(I3:I17)))),2),"n/a")</f>
        <v>n/a</v>
      </c>
      <c r="F20" s="10">
        <f>IFERROR(ROUND(MEDIAN(H3:H17),2),"")</f>
        <v>579.11</v>
      </c>
      <c r="G20" s="11" t="str">
        <f>IFERROR(INDEX(G3:G17,MATCH(H20,H3:H17,0)),"")</f>
        <v>DANNIEL PINTO DE M. ( ATUALIZ)</v>
      </c>
      <c r="H20" s="12">
        <f>F3</f>
        <v>470.4</v>
      </c>
    </row>
    <row r="22" spans="1:9" x14ac:dyDescent="0.25">
      <c r="G22" s="13" t="s">
        <v>19</v>
      </c>
      <c r="H22" s="14">
        <f>IF(C20&lt;=25%,D20,MIN(E20:F20))</f>
        <v>544.91</v>
      </c>
    </row>
    <row r="23" spans="1:9" x14ac:dyDescent="0.25">
      <c r="G23" s="13" t="s">
        <v>5</v>
      </c>
      <c r="H23" s="14">
        <f>ROUND(H22,2)*D3</f>
        <v>16347.3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ht="26.25" x14ac:dyDescent="0.25">
      <c r="A3" s="39">
        <v>13</v>
      </c>
      <c r="B3" s="35" t="s">
        <v>64</v>
      </c>
      <c r="C3" s="37" t="s">
        <v>6</v>
      </c>
      <c r="D3" s="37">
        <v>400</v>
      </c>
      <c r="E3" s="38">
        <f>IF(C20&lt;=25%,D20,MIN(E20:F20))</f>
        <v>5.24</v>
      </c>
      <c r="F3" s="38">
        <f>MIN(H3:H17)</f>
        <v>2.56</v>
      </c>
      <c r="G3" s="32" t="s">
        <v>94</v>
      </c>
      <c r="H3" s="16">
        <v>2.56</v>
      </c>
      <c r="I3" s="17">
        <f>IF(H3="","",(IF($C$20&lt;25%,"n/a",IF(H3&lt;=($D$20+$A$20),H3,"Descartado"))))</f>
        <v>2.56</v>
      </c>
    </row>
    <row r="4" spans="1:9" ht="26.25" x14ac:dyDescent="0.25">
      <c r="A4" s="39"/>
      <c r="B4" s="36"/>
      <c r="C4" s="37"/>
      <c r="D4" s="37"/>
      <c r="E4" s="38"/>
      <c r="F4" s="38"/>
      <c r="G4" s="32" t="s">
        <v>95</v>
      </c>
      <c r="H4" s="16">
        <v>3.85</v>
      </c>
      <c r="I4" s="17">
        <f t="shared" ref="I4:I17" si="0">IF(H4="","",(IF($C$20&lt;25%,"n/a",IF(H4&lt;=($D$20+$A$20),H4,"Descartado"))))</f>
        <v>3.85</v>
      </c>
    </row>
    <row r="5" spans="1:9" x14ac:dyDescent="0.25">
      <c r="A5" s="39"/>
      <c r="B5" s="36"/>
      <c r="C5" s="37"/>
      <c r="D5" s="37"/>
      <c r="E5" s="38"/>
      <c r="F5" s="38"/>
      <c r="G5" s="5" t="s">
        <v>157</v>
      </c>
      <c r="H5" s="16">
        <v>6.99</v>
      </c>
      <c r="I5" s="17">
        <f t="shared" si="0"/>
        <v>6.99</v>
      </c>
    </row>
    <row r="6" spans="1:9" x14ac:dyDescent="0.25">
      <c r="A6" s="39"/>
      <c r="B6" s="36"/>
      <c r="C6" s="37"/>
      <c r="D6" s="37"/>
      <c r="E6" s="38"/>
      <c r="F6" s="38"/>
      <c r="G6" s="5" t="s">
        <v>158</v>
      </c>
      <c r="H6" s="16">
        <v>6.2</v>
      </c>
      <c r="I6" s="17">
        <f t="shared" si="0"/>
        <v>6.2</v>
      </c>
    </row>
    <row r="7" spans="1:9" x14ac:dyDescent="0.25">
      <c r="A7" s="39"/>
      <c r="B7" s="36"/>
      <c r="C7" s="37"/>
      <c r="D7" s="37"/>
      <c r="E7" s="38"/>
      <c r="F7" s="38"/>
      <c r="G7" s="5" t="s">
        <v>159</v>
      </c>
      <c r="H7" s="16">
        <v>6.59</v>
      </c>
      <c r="I7" s="17">
        <f t="shared" si="0"/>
        <v>6.59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1.9313906906682545</v>
      </c>
      <c r="B20" s="8">
        <f>COUNT(H3:H17)</f>
        <v>5</v>
      </c>
      <c r="C20" s="9">
        <f>IF(B20&lt;2,"n/a",(A20/D20))</f>
        <v>0.36858600966951421</v>
      </c>
      <c r="D20" s="10">
        <f>IFERROR(ROUND(AVERAGE(H3:H17),2),"")</f>
        <v>5.24</v>
      </c>
      <c r="E20" s="15">
        <f>IFERROR(ROUND(IF(B20&lt;2,"n/a",(IF(C20&lt;=25%,"n/a",AVERAGE(I3:I17)))),2),"n/a")</f>
        <v>5.24</v>
      </c>
      <c r="F20" s="10">
        <f>IFERROR(ROUND(MEDIAN(H3:H17),2),"")</f>
        <v>6.2</v>
      </c>
      <c r="G20" s="11" t="str">
        <f>IFERROR(INDEX(G3:G17,MATCH(H20,H3:H17,0)),"")</f>
        <v>RRA COMERCIO ELETRO-FONIA 
LTDA (ATUALIZADO)</v>
      </c>
      <c r="H20" s="12">
        <f>F3</f>
        <v>2.56</v>
      </c>
    </row>
    <row r="22" spans="1:9" x14ac:dyDescent="0.25">
      <c r="G22" s="13" t="s">
        <v>19</v>
      </c>
      <c r="H22" s="14">
        <f>IF(C20&lt;=25%,D20,MIN(E20:F20))</f>
        <v>5.24</v>
      </c>
    </row>
    <row r="23" spans="1:9" x14ac:dyDescent="0.25">
      <c r="G23" s="13" t="s">
        <v>5</v>
      </c>
      <c r="H23" s="14">
        <f>ROUND(H22,2)*D3</f>
        <v>2096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14</v>
      </c>
      <c r="B3" s="35" t="s">
        <v>65</v>
      </c>
      <c r="C3" s="37" t="s">
        <v>6</v>
      </c>
      <c r="D3" s="37">
        <v>1000</v>
      </c>
      <c r="E3" s="38">
        <f>IF(C20&lt;=25%,D20,MIN(E20:F20))</f>
        <v>11.08</v>
      </c>
      <c r="F3" s="38">
        <f>MIN(H3:H17)</f>
        <v>5.3</v>
      </c>
      <c r="G3" s="5" t="s">
        <v>96</v>
      </c>
      <c r="H3" s="16">
        <v>5.3</v>
      </c>
      <c r="I3" s="17">
        <f t="shared" ref="I3:I9" si="0">IF(H3="","",(IF($C$20&lt;25%,"n/a",IF(H3&lt;=($D$20+$A$20),H3,"Descartado"))))</f>
        <v>5.3</v>
      </c>
    </row>
    <row r="4" spans="1:9" ht="26.25" x14ac:dyDescent="0.25">
      <c r="A4" s="39"/>
      <c r="B4" s="36"/>
      <c r="C4" s="37"/>
      <c r="D4" s="37"/>
      <c r="E4" s="38"/>
      <c r="F4" s="38"/>
      <c r="G4" s="32" t="s">
        <v>97</v>
      </c>
      <c r="H4" s="16">
        <v>7.99</v>
      </c>
      <c r="I4" s="17">
        <f t="shared" si="0"/>
        <v>7.99</v>
      </c>
    </row>
    <row r="5" spans="1:9" ht="26.25" x14ac:dyDescent="0.25">
      <c r="A5" s="39"/>
      <c r="B5" s="36"/>
      <c r="C5" s="37"/>
      <c r="D5" s="37"/>
      <c r="E5" s="38"/>
      <c r="F5" s="38"/>
      <c r="G5" s="32" t="s">
        <v>98</v>
      </c>
      <c r="H5" s="16">
        <v>12.99</v>
      </c>
      <c r="I5" s="17">
        <f t="shared" si="0"/>
        <v>12.99</v>
      </c>
    </row>
    <row r="6" spans="1:9" x14ac:dyDescent="0.25">
      <c r="A6" s="39"/>
      <c r="B6" s="36"/>
      <c r="C6" s="37"/>
      <c r="D6" s="37"/>
      <c r="E6" s="38"/>
      <c r="F6" s="38"/>
      <c r="G6" s="5" t="s">
        <v>160</v>
      </c>
      <c r="H6" s="16">
        <v>19.100000000000001</v>
      </c>
      <c r="I6" s="17">
        <f t="shared" si="0"/>
        <v>19.100000000000001</v>
      </c>
    </row>
    <row r="7" spans="1:9" x14ac:dyDescent="0.25">
      <c r="A7" s="39"/>
      <c r="B7" s="36"/>
      <c r="C7" s="37"/>
      <c r="D7" s="37"/>
      <c r="E7" s="38"/>
      <c r="F7" s="38"/>
      <c r="G7" s="5" t="s">
        <v>161</v>
      </c>
      <c r="H7" s="16">
        <v>10.039999999999999</v>
      </c>
      <c r="I7" s="17">
        <f t="shared" si="0"/>
        <v>10.039999999999999</v>
      </c>
    </row>
    <row r="8" spans="1:9" x14ac:dyDescent="0.25">
      <c r="A8" s="39"/>
      <c r="B8" s="36"/>
      <c r="C8" s="37"/>
      <c r="D8" s="37"/>
      <c r="E8" s="38"/>
      <c r="F8" s="38"/>
      <c r="G8" s="5" t="s">
        <v>162</v>
      </c>
      <c r="H8" s="16">
        <v>26.5</v>
      </c>
      <c r="I8" s="17" t="str">
        <f t="shared" si="0"/>
        <v>Descartado</v>
      </c>
    </row>
    <row r="9" spans="1:9" x14ac:dyDescent="0.25">
      <c r="A9" s="39"/>
      <c r="B9" s="36"/>
      <c r="C9" s="37"/>
      <c r="D9" s="37"/>
      <c r="E9" s="38"/>
      <c r="F9" s="38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ref="I10:I17" si="1">IF(H10="","",(IF($C$20&lt;25%,"n/a",IF(H10&lt;=($D$20+$A$20),H10,"Descartado"))))</f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1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1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1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1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1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1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1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7.874652161630169</v>
      </c>
      <c r="B20" s="8">
        <f>COUNT(H3:H17)</f>
        <v>6</v>
      </c>
      <c r="C20" s="9">
        <f>IF(B20&lt;2,"n/a",(A20/D20))</f>
        <v>0.57689759425862042</v>
      </c>
      <c r="D20" s="10">
        <f>IFERROR(ROUND(AVERAGE(H3:H17),2),"")</f>
        <v>13.65</v>
      </c>
      <c r="E20" s="15">
        <f>IFERROR(ROUND(IF(B20&lt;2,"n/a",(IF(C20&lt;=25%,"n/a",AVERAGE(I3:I17)))),2),"n/a")</f>
        <v>11.08</v>
      </c>
      <c r="F20" s="10">
        <f>IFERROR(ROUND(MEDIAN(H3:H17),2),"")</f>
        <v>11.52</v>
      </c>
      <c r="G20" s="11" t="str">
        <f>IFERROR(INDEX(G3:G17,MATCH(H20,H3:H17,0)),"")</f>
        <v>MACROMMERCE LTDA</v>
      </c>
      <c r="H20" s="12">
        <f>F3</f>
        <v>5.3</v>
      </c>
    </row>
    <row r="22" spans="1:9" x14ac:dyDescent="0.25">
      <c r="G22" s="13" t="s">
        <v>19</v>
      </c>
      <c r="H22" s="14">
        <f>IF(C20&lt;=25%,D20,MIN(E20:F20))</f>
        <v>11.08</v>
      </c>
    </row>
    <row r="23" spans="1:9" x14ac:dyDescent="0.25">
      <c r="G23" s="13" t="s">
        <v>5</v>
      </c>
      <c r="H23" s="14">
        <f>ROUND(H22,2)*D3</f>
        <v>11080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15</v>
      </c>
      <c r="B3" s="35" t="s">
        <v>66</v>
      </c>
      <c r="C3" s="37" t="s">
        <v>6</v>
      </c>
      <c r="D3" s="37">
        <v>50</v>
      </c>
      <c r="E3" s="38">
        <f>IF(C20&lt;=25%,D20,MIN(E20:F20))</f>
        <v>24.92</v>
      </c>
      <c r="F3" s="38">
        <f>MIN(H3:H17)</f>
        <v>10.39</v>
      </c>
      <c r="G3" s="5" t="s">
        <v>100</v>
      </c>
      <c r="H3" s="16">
        <v>10.39</v>
      </c>
      <c r="I3" s="17">
        <f>IF(H3="","",(IF($C$20&lt;25%,"n/a",IF(H3&lt;=($D$20+$A$20),H3,"Descartado"))))</f>
        <v>10.39</v>
      </c>
    </row>
    <row r="4" spans="1:9" x14ac:dyDescent="0.25">
      <c r="A4" s="39"/>
      <c r="B4" s="36"/>
      <c r="C4" s="37"/>
      <c r="D4" s="37"/>
      <c r="E4" s="38"/>
      <c r="F4" s="38"/>
      <c r="G4" s="5" t="s">
        <v>99</v>
      </c>
      <c r="H4" s="16">
        <v>29.27</v>
      </c>
      <c r="I4" s="17">
        <f t="shared" ref="I4:I17" si="0">IF(H4="","",(IF($C$20&lt;25%,"n/a",IF(H4&lt;=($D$20+$A$20),H4,"Descartado"))))</f>
        <v>29.27</v>
      </c>
    </row>
    <row r="5" spans="1:9" x14ac:dyDescent="0.25">
      <c r="A5" s="39"/>
      <c r="B5" s="36"/>
      <c r="C5" s="37"/>
      <c r="D5" s="37"/>
      <c r="E5" s="38"/>
      <c r="F5" s="38"/>
      <c r="G5" s="5" t="s">
        <v>101</v>
      </c>
      <c r="H5" s="16">
        <v>35.1</v>
      </c>
      <c r="I5" s="17">
        <f t="shared" si="0"/>
        <v>35.1</v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12.916574623327971</v>
      </c>
      <c r="B20" s="8">
        <f>COUNT(H3:H17)</f>
        <v>3</v>
      </c>
      <c r="C20" s="9">
        <f>IF(B20&lt;2,"n/a",(A20/D20))</f>
        <v>0.51832161409823319</v>
      </c>
      <c r="D20" s="10">
        <f>IFERROR(ROUND(AVERAGE(H3:H17),2),"")</f>
        <v>24.92</v>
      </c>
      <c r="E20" s="15">
        <f>IFERROR(ROUND(IF(B20&lt;2,"n/a",(IF(C20&lt;=25%,"n/a",AVERAGE(I3:I17)))),2),"n/a")</f>
        <v>24.92</v>
      </c>
      <c r="F20" s="10">
        <f>IFERROR(ROUND(MEDIAN(H3:H17),2),"")</f>
        <v>29.27</v>
      </c>
      <c r="G20" s="11" t="str">
        <f>IFERROR(INDEX(G3:G17,MATCH(H20,H3:H17,0)),"")</f>
        <v>CS MOTORES LTDA (ATUALIZ)</v>
      </c>
      <c r="H20" s="12">
        <f>F3</f>
        <v>10.39</v>
      </c>
    </row>
    <row r="22" spans="1:9" x14ac:dyDescent="0.25">
      <c r="G22" s="13" t="s">
        <v>19</v>
      </c>
      <c r="H22" s="14">
        <f>IF(C20&lt;=25%,D20,MIN(E20:F20))</f>
        <v>24.92</v>
      </c>
    </row>
    <row r="23" spans="1:9" x14ac:dyDescent="0.25">
      <c r="G23" s="13" t="s">
        <v>5</v>
      </c>
      <c r="H23" s="14">
        <f>ROUND(H22,2)*D3</f>
        <v>1246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ht="26.25" x14ac:dyDescent="0.25">
      <c r="A3" s="39">
        <v>16</v>
      </c>
      <c r="B3" s="35" t="s">
        <v>67</v>
      </c>
      <c r="C3" s="37" t="s">
        <v>73</v>
      </c>
      <c r="D3" s="37">
        <v>40</v>
      </c>
      <c r="E3" s="38">
        <f>IF(C20&lt;=25%,D20,MIN(E20:F20))</f>
        <v>56.91</v>
      </c>
      <c r="F3" s="38">
        <f>MIN(H3:H17)</f>
        <v>39</v>
      </c>
      <c r="G3" s="32" t="s">
        <v>102</v>
      </c>
      <c r="H3" s="16">
        <v>39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32" t="s">
        <v>103</v>
      </c>
      <c r="H4" s="16">
        <v>48</v>
      </c>
      <c r="I4" s="17" t="str">
        <f t="shared" ref="I4:I17" si="0">IF(H4="","",(IF($C$20&lt;25%,"n/a",IF(H4&lt;=($D$20+$A$20),H4,"Descartado"))))</f>
        <v>n/a</v>
      </c>
    </row>
    <row r="5" spans="1:9" ht="26.25" x14ac:dyDescent="0.25">
      <c r="A5" s="39"/>
      <c r="B5" s="36"/>
      <c r="C5" s="37"/>
      <c r="D5" s="37"/>
      <c r="E5" s="38"/>
      <c r="F5" s="38"/>
      <c r="G5" s="32" t="s">
        <v>104</v>
      </c>
      <c r="H5" s="16">
        <v>59.9</v>
      </c>
      <c r="I5" s="17" t="str">
        <f t="shared" si="0"/>
        <v>n/a</v>
      </c>
    </row>
    <row r="6" spans="1:9" ht="39" x14ac:dyDescent="0.25">
      <c r="A6" s="39"/>
      <c r="B6" s="36"/>
      <c r="C6" s="37"/>
      <c r="D6" s="37"/>
      <c r="E6" s="38"/>
      <c r="F6" s="38"/>
      <c r="G6" s="32" t="s">
        <v>105</v>
      </c>
      <c r="H6" s="16">
        <v>64.17</v>
      </c>
      <c r="I6" s="17" t="str">
        <f t="shared" si="0"/>
        <v>n/a</v>
      </c>
    </row>
    <row r="7" spans="1:9" ht="26.25" x14ac:dyDescent="0.25">
      <c r="A7" s="39"/>
      <c r="B7" s="36"/>
      <c r="C7" s="37"/>
      <c r="D7" s="37"/>
      <c r="E7" s="38"/>
      <c r="F7" s="38"/>
      <c r="G7" s="32" t="s">
        <v>106</v>
      </c>
      <c r="H7" s="16">
        <v>73.5</v>
      </c>
      <c r="I7" s="17" t="str">
        <f t="shared" si="0"/>
        <v>n/a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13.574165904393547</v>
      </c>
      <c r="B20" s="8">
        <f>COUNT(H3:H17)</f>
        <v>5</v>
      </c>
      <c r="C20" s="9">
        <f>IF(B20&lt;2,"n/a",(A20/D20))</f>
        <v>0.23851987180449039</v>
      </c>
      <c r="D20" s="10">
        <f>IFERROR(ROUND(AVERAGE(H3:H17),2),"")</f>
        <v>56.91</v>
      </c>
      <c r="E20" s="15" t="str">
        <f>IFERROR(ROUND(IF(B20&lt;2,"n/a",(IF(C20&lt;=25%,"n/a",AVERAGE(I3:I17)))),2),"n/a")</f>
        <v>n/a</v>
      </c>
      <c r="F20" s="10">
        <f>IFERROR(ROUND(MEDIAN(H3:H17),2),"")</f>
        <v>59.9</v>
      </c>
      <c r="G20" s="11" t="str">
        <f>IFERROR(INDEX(G3:G17,MATCH(H20,H3:H17,0)),"")</f>
        <v>SSP COMERCIAL DIAMANTE LTDA</v>
      </c>
      <c r="H20" s="12">
        <f>F3</f>
        <v>39</v>
      </c>
    </row>
    <row r="22" spans="1:9" x14ac:dyDescent="0.25">
      <c r="G22" s="13" t="s">
        <v>19</v>
      </c>
      <c r="H22" s="14">
        <f>IF(C20&lt;=25%,D20,MIN(E20:F20))</f>
        <v>56.91</v>
      </c>
    </row>
    <row r="23" spans="1:9" x14ac:dyDescent="0.25">
      <c r="G23" s="13" t="s">
        <v>5</v>
      </c>
      <c r="H23" s="14">
        <f>ROUND(H22,2)*D3</f>
        <v>2276.3999999999996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ht="26.25" x14ac:dyDescent="0.25">
      <c r="A3" s="39">
        <v>17</v>
      </c>
      <c r="B3" s="35" t="s">
        <v>68</v>
      </c>
      <c r="C3" s="37" t="s">
        <v>6</v>
      </c>
      <c r="D3" s="37">
        <v>30</v>
      </c>
      <c r="E3" s="38">
        <f>IF(C20&lt;=25%,D20,MIN(E20:F20))</f>
        <v>26.06</v>
      </c>
      <c r="F3" s="38">
        <f>MIN(H3:H17)</f>
        <v>20</v>
      </c>
      <c r="G3" s="32" t="s">
        <v>107</v>
      </c>
      <c r="H3" s="16">
        <v>20</v>
      </c>
      <c r="I3" s="17">
        <f>IF(H3="","",(IF($C$20&lt;25%,"n/a",IF(H3&lt;=($D$20+$A$20),H3,"Descartado"))))</f>
        <v>20</v>
      </c>
    </row>
    <row r="4" spans="1:9" ht="26.25" x14ac:dyDescent="0.25">
      <c r="A4" s="39"/>
      <c r="B4" s="36"/>
      <c r="C4" s="37"/>
      <c r="D4" s="37"/>
      <c r="E4" s="38"/>
      <c r="F4" s="38"/>
      <c r="G4" s="32" t="s">
        <v>108</v>
      </c>
      <c r="H4" s="16">
        <v>25.07</v>
      </c>
      <c r="I4" s="17">
        <f t="shared" ref="I4:I17" si="0">IF(H4="","",(IF($C$20&lt;25%,"n/a",IF(H4&lt;=($D$20+$A$20),H4,"Descartado"))))</f>
        <v>25.07</v>
      </c>
    </row>
    <row r="5" spans="1:9" ht="26.25" x14ac:dyDescent="0.25">
      <c r="A5" s="39"/>
      <c r="B5" s="36"/>
      <c r="C5" s="37"/>
      <c r="D5" s="37"/>
      <c r="E5" s="38"/>
      <c r="F5" s="38"/>
      <c r="G5" s="32" t="s">
        <v>109</v>
      </c>
      <c r="H5" s="16">
        <v>26.9</v>
      </c>
      <c r="I5" s="17">
        <f t="shared" si="0"/>
        <v>26.9</v>
      </c>
    </row>
    <row r="6" spans="1:9" x14ac:dyDescent="0.25">
      <c r="A6" s="39"/>
      <c r="B6" s="36"/>
      <c r="C6" s="37"/>
      <c r="D6" s="37"/>
      <c r="E6" s="38"/>
      <c r="F6" s="38"/>
      <c r="G6" s="32" t="s">
        <v>110</v>
      </c>
      <c r="H6" s="16">
        <v>32.26</v>
      </c>
      <c r="I6" s="17">
        <f t="shared" si="0"/>
        <v>32.26</v>
      </c>
    </row>
    <row r="7" spans="1:9" ht="26.25" x14ac:dyDescent="0.25">
      <c r="A7" s="39"/>
      <c r="B7" s="36"/>
      <c r="C7" s="37"/>
      <c r="D7" s="37"/>
      <c r="E7" s="38"/>
      <c r="F7" s="38"/>
      <c r="G7" s="32" t="s">
        <v>111</v>
      </c>
      <c r="H7" s="16">
        <v>38.950000000000003</v>
      </c>
      <c r="I7" s="17" t="str">
        <f t="shared" si="0"/>
        <v>Descartado</v>
      </c>
    </row>
    <row r="8" spans="1:9" ht="26.25" x14ac:dyDescent="0.25">
      <c r="A8" s="39"/>
      <c r="B8" s="36"/>
      <c r="C8" s="37"/>
      <c r="D8" s="37"/>
      <c r="E8" s="38"/>
      <c r="F8" s="38"/>
      <c r="G8" s="32" t="s">
        <v>112</v>
      </c>
      <c r="H8" s="16">
        <v>39</v>
      </c>
      <c r="I8" s="17" t="str">
        <f t="shared" si="0"/>
        <v>Descartado</v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7.7373501062486909</v>
      </c>
      <c r="B20" s="8">
        <f>COUNT(H3:H17)</f>
        <v>6</v>
      </c>
      <c r="C20" s="9">
        <f>IF(B20&lt;2,"n/a",(A20/D20))</f>
        <v>0.25485342905957481</v>
      </c>
      <c r="D20" s="10">
        <f>IFERROR(ROUND(AVERAGE(H3:H17),2),"")</f>
        <v>30.36</v>
      </c>
      <c r="E20" s="15">
        <f>IFERROR(ROUND(IF(B20&lt;2,"n/a",(IF(C20&lt;=25%,"n/a",AVERAGE(I3:I17)))),2),"n/a")</f>
        <v>26.06</v>
      </c>
      <c r="F20" s="10">
        <f>IFERROR(ROUND(MEDIAN(H3:H17),2),"")</f>
        <v>29.58</v>
      </c>
      <c r="G20" s="11" t="str">
        <f>IFERROR(INDEX(G3:G17,MATCH(H20,H3:H17,0)),"")</f>
        <v>CASA BELO MATERIAIS DE
CONSTRUCAO</v>
      </c>
      <c r="H20" s="12">
        <f>F3</f>
        <v>20</v>
      </c>
    </row>
    <row r="22" spans="1:9" x14ac:dyDescent="0.25">
      <c r="G22" s="13" t="s">
        <v>19</v>
      </c>
      <c r="H22" s="14">
        <f>IF(C20&lt;=25%,D20,MIN(E20:F20))</f>
        <v>26.06</v>
      </c>
    </row>
    <row r="23" spans="1:9" x14ac:dyDescent="0.25">
      <c r="G23" s="13" t="s">
        <v>5</v>
      </c>
      <c r="H23" s="14">
        <f>ROUND(H22,2)*D3</f>
        <v>781.8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18</v>
      </c>
      <c r="B3" s="35" t="s">
        <v>69</v>
      </c>
      <c r="C3" s="37" t="s">
        <v>6</v>
      </c>
      <c r="D3" s="37">
        <v>20</v>
      </c>
      <c r="E3" s="38">
        <f>IF(C20&lt;=25%,D20,MIN(E20:F20))</f>
        <v>175.78</v>
      </c>
      <c r="F3" s="38">
        <f>MIN(H3:H17)</f>
        <v>162.22</v>
      </c>
      <c r="G3" s="32" t="s">
        <v>115</v>
      </c>
      <c r="H3" s="16">
        <v>162.22</v>
      </c>
      <c r="I3" s="17" t="str">
        <f>IF(H3="","",(IF($C$20&lt;25%,"n/a",IF(H3&lt;=($D$20+$A$20),H3,"Descartado"))))</f>
        <v>n/a</v>
      </c>
    </row>
    <row r="4" spans="1:9" ht="26.25" x14ac:dyDescent="0.25">
      <c r="A4" s="39"/>
      <c r="B4" s="36"/>
      <c r="C4" s="37"/>
      <c r="D4" s="37"/>
      <c r="E4" s="38"/>
      <c r="F4" s="38"/>
      <c r="G4" s="32" t="s">
        <v>114</v>
      </c>
      <c r="H4" s="16">
        <v>165.98</v>
      </c>
      <c r="I4" s="17" t="str">
        <f t="shared" ref="I4:I17" si="0">IF(H4="","",(IF($C$20&lt;25%,"n/a",IF(H4&lt;=($D$20+$A$20),H4,"Descartado"))))</f>
        <v>n/a</v>
      </c>
    </row>
    <row r="5" spans="1:9" ht="26.25" x14ac:dyDescent="0.25">
      <c r="A5" s="39"/>
      <c r="B5" s="36"/>
      <c r="C5" s="37"/>
      <c r="D5" s="37"/>
      <c r="E5" s="38"/>
      <c r="F5" s="38"/>
      <c r="G5" s="32" t="s">
        <v>113</v>
      </c>
      <c r="H5" s="16">
        <v>195.9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5" t="s">
        <v>163</v>
      </c>
      <c r="H6" s="16">
        <v>179</v>
      </c>
      <c r="I6" s="17" t="str">
        <f t="shared" si="0"/>
        <v>n/a</v>
      </c>
    </row>
    <row r="7" spans="1:9" x14ac:dyDescent="0.25">
      <c r="A7" s="39"/>
      <c r="B7" s="36"/>
      <c r="C7" s="37"/>
      <c r="D7" s="37"/>
      <c r="E7" s="38"/>
      <c r="F7" s="38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15.221654531182438</v>
      </c>
      <c r="B20" s="8">
        <f>COUNT(H3:H17)</f>
        <v>4</v>
      </c>
      <c r="C20" s="9">
        <f>IF(B20&lt;2,"n/a",(A20/D20))</f>
        <v>8.6594917119026268E-2</v>
      </c>
      <c r="D20" s="10">
        <f>IFERROR(ROUND(AVERAGE(H3:H17),2),"")</f>
        <v>175.78</v>
      </c>
      <c r="E20" s="15" t="str">
        <f>IFERROR(ROUND(IF(B20&lt;2,"n/a",(IF(C20&lt;=25%,"n/a",AVERAGE(I3:I17)))),2),"n/a")</f>
        <v>n/a</v>
      </c>
      <c r="F20" s="10">
        <f>IFERROR(ROUND(MEDIAN(H3:H17),2),"")</f>
        <v>172.49</v>
      </c>
      <c r="G20" s="11" t="str">
        <f>IFERROR(INDEX(G3:G17,MATCH(H20,H3:H17,0)),"")</f>
        <v>COMPUSET INFORMATICA( atual)</v>
      </c>
      <c r="H20" s="12">
        <f>F3</f>
        <v>162.22</v>
      </c>
    </row>
    <row r="22" spans="1:9" x14ac:dyDescent="0.25">
      <c r="G22" s="13" t="s">
        <v>19</v>
      </c>
      <c r="H22" s="14">
        <f>IF(C20&lt;=25%,D20,MIN(E20:F20))</f>
        <v>175.78</v>
      </c>
    </row>
    <row r="23" spans="1:9" x14ac:dyDescent="0.25">
      <c r="G23" s="13" t="s">
        <v>5</v>
      </c>
      <c r="H23" s="14">
        <f>ROUND(H22,2)*D3</f>
        <v>3515.6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topLeftCell="A7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ht="26.25" x14ac:dyDescent="0.25">
      <c r="A3" s="39">
        <v>19</v>
      </c>
      <c r="B3" s="35" t="s">
        <v>70</v>
      </c>
      <c r="C3" s="37" t="s">
        <v>6</v>
      </c>
      <c r="D3" s="37">
        <v>300</v>
      </c>
      <c r="E3" s="38">
        <f>IF(C20&lt;=25%,D20,MIN(E20:F20))</f>
        <v>3.57</v>
      </c>
      <c r="F3" s="38">
        <f>MIN(H3:H17)</f>
        <v>2.54</v>
      </c>
      <c r="G3" s="32" t="s">
        <v>116</v>
      </c>
      <c r="H3" s="16">
        <v>2.54</v>
      </c>
      <c r="I3" s="17">
        <f>IF(H3="","",(IF($C$20&lt;25%,"n/a",IF(H3&lt;=($D$20+$A$20),H3,"Descartado"))))</f>
        <v>2.54</v>
      </c>
    </row>
    <row r="4" spans="1:9" ht="26.25" x14ac:dyDescent="0.25">
      <c r="A4" s="39"/>
      <c r="B4" s="36"/>
      <c r="C4" s="37"/>
      <c r="D4" s="37"/>
      <c r="E4" s="38"/>
      <c r="F4" s="38"/>
      <c r="G4" s="32" t="s">
        <v>117</v>
      </c>
      <c r="H4" s="16">
        <v>2.98</v>
      </c>
      <c r="I4" s="17">
        <f t="shared" ref="I4:I17" si="0">IF(H4="","",(IF($C$20&lt;25%,"n/a",IF(H4&lt;=($D$20+$A$20),H4,"Descartado"))))</f>
        <v>2.98</v>
      </c>
    </row>
    <row r="5" spans="1:9" ht="26.25" x14ac:dyDescent="0.25">
      <c r="A5" s="39"/>
      <c r="B5" s="36"/>
      <c r="C5" s="37"/>
      <c r="D5" s="37"/>
      <c r="E5" s="38"/>
      <c r="F5" s="38"/>
      <c r="G5" s="32" t="s">
        <v>118</v>
      </c>
      <c r="H5" s="16">
        <v>3.19</v>
      </c>
      <c r="I5" s="17">
        <f t="shared" si="0"/>
        <v>3.19</v>
      </c>
    </row>
    <row r="6" spans="1:9" ht="26.25" x14ac:dyDescent="0.25">
      <c r="A6" s="39"/>
      <c r="B6" s="36"/>
      <c r="C6" s="37"/>
      <c r="D6" s="37"/>
      <c r="E6" s="38"/>
      <c r="F6" s="38"/>
      <c r="G6" s="32" t="s">
        <v>119</v>
      </c>
      <c r="H6" s="16">
        <v>3.95</v>
      </c>
      <c r="I6" s="17">
        <f t="shared" si="0"/>
        <v>3.95</v>
      </c>
    </row>
    <row r="7" spans="1:9" x14ac:dyDescent="0.25">
      <c r="A7" s="39"/>
      <c r="B7" s="36"/>
      <c r="C7" s="37"/>
      <c r="D7" s="37"/>
      <c r="E7" s="38"/>
      <c r="F7" s="38"/>
      <c r="G7" s="32" t="s">
        <v>121</v>
      </c>
      <c r="H7" s="16">
        <v>7.2</v>
      </c>
      <c r="I7" s="17">
        <f t="shared" si="0"/>
        <v>7.2</v>
      </c>
    </row>
    <row r="8" spans="1:9" ht="26.25" x14ac:dyDescent="0.25">
      <c r="A8" s="39"/>
      <c r="B8" s="36"/>
      <c r="C8" s="37"/>
      <c r="D8" s="37"/>
      <c r="E8" s="38"/>
      <c r="F8" s="38"/>
      <c r="G8" s="32" t="s">
        <v>120</v>
      </c>
      <c r="H8" s="16">
        <v>8.61</v>
      </c>
      <c r="I8" s="17" t="str">
        <f t="shared" si="0"/>
        <v>Descartado</v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2.5295276238855346</v>
      </c>
      <c r="B20" s="8">
        <f>COUNT(H3:H17)</f>
        <v>6</v>
      </c>
      <c r="C20" s="9">
        <f>IF(B20&lt;2,"n/a",(A20/D20))</f>
        <v>0.53253213134432309</v>
      </c>
      <c r="D20" s="10">
        <f>IFERROR(ROUND(AVERAGE(H3:H17),2),"")</f>
        <v>4.75</v>
      </c>
      <c r="E20" s="15">
        <f>IFERROR(ROUND(IF(B20&lt;2,"n/a",(IF(C20&lt;=25%,"n/a",AVERAGE(I3:I17)))),2),"n/a")</f>
        <v>3.97</v>
      </c>
      <c r="F20" s="10">
        <f>IFERROR(ROUND(MEDIAN(H3:H17),2),"")</f>
        <v>3.57</v>
      </c>
      <c r="G20" s="11" t="str">
        <f>IFERROR(INDEX(G3:G17,MATCH(H20,H3:H17,0)),"")</f>
        <v>ALLUME SERVICOS E COMERCIO  (ATUALIZ)</v>
      </c>
      <c r="H20" s="12">
        <f>F3</f>
        <v>2.54</v>
      </c>
    </row>
    <row r="22" spans="1:9" x14ac:dyDescent="0.25">
      <c r="G22" s="13" t="s">
        <v>19</v>
      </c>
      <c r="H22" s="14">
        <f>IF(C20&lt;=25%,D20,MIN(E20:F20))</f>
        <v>3.57</v>
      </c>
    </row>
    <row r="23" spans="1:9" x14ac:dyDescent="0.25">
      <c r="G23" s="13" t="s">
        <v>5</v>
      </c>
      <c r="H23" s="14">
        <f>ROUND(H22,2)*D3</f>
        <v>1071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2</v>
      </c>
      <c r="B3" s="35" t="s">
        <v>53</v>
      </c>
      <c r="C3" s="37" t="s">
        <v>6</v>
      </c>
      <c r="D3" s="37">
        <v>20</v>
      </c>
      <c r="E3" s="38">
        <f>IF(C20&lt;=25%,D20,MIN(E20:F20))</f>
        <v>963.23</v>
      </c>
      <c r="F3" s="38">
        <f>MIN(H3:H17)</f>
        <v>712.76</v>
      </c>
      <c r="G3" s="5" t="s">
        <v>80</v>
      </c>
      <c r="H3" s="16">
        <v>1000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5" t="s">
        <v>82</v>
      </c>
      <c r="H4" s="16">
        <v>712.76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9"/>
      <c r="B5" s="36"/>
      <c r="C5" s="37"/>
      <c r="D5" s="37"/>
      <c r="E5" s="38"/>
      <c r="F5" s="38"/>
      <c r="G5" s="5" t="s">
        <v>81</v>
      </c>
      <c r="H5" s="16">
        <v>1176.94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234.2639727600758</v>
      </c>
      <c r="B20" s="8">
        <f>COUNT(H3:H17)</f>
        <v>3</v>
      </c>
      <c r="C20" s="9">
        <f>IF(B20&lt;2,"n/a",(A20/D20))</f>
        <v>0.24320668247466939</v>
      </c>
      <c r="D20" s="10">
        <f>IFERROR(ROUND(AVERAGE(H3:H17),2),"")</f>
        <v>963.23</v>
      </c>
      <c r="E20" s="15" t="str">
        <f>IFERROR(ROUND(IF(B20&lt;2,"n/a",(IF(C20&lt;=25%,"n/a",AVERAGE(I3:I17)))),2),"n/a")</f>
        <v>n/a</v>
      </c>
      <c r="F20" s="10">
        <f>IFERROR(ROUND(MEDIAN(H3:H17),2),"")</f>
        <v>1000</v>
      </c>
      <c r="G20" s="11" t="str">
        <f>IFERROR(INDEX(G3:G17,MATCH(H20,H3:H17,0)),"")</f>
        <v>SILVA DISTRIBUIDORA  (ATUAL)</v>
      </c>
      <c r="H20" s="12">
        <f>F3</f>
        <v>712.76</v>
      </c>
    </row>
    <row r="22" spans="1:9" x14ac:dyDescent="0.25">
      <c r="G22" s="13" t="s">
        <v>19</v>
      </c>
      <c r="H22" s="14">
        <f>IF(C20&lt;=25%,D20,MIN(E20:F20))</f>
        <v>963.23</v>
      </c>
    </row>
    <row r="23" spans="1:9" x14ac:dyDescent="0.25">
      <c r="G23" s="13" t="s">
        <v>5</v>
      </c>
      <c r="H23" s="14">
        <f>ROUND(H22,2)*D3</f>
        <v>19264.599999999999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ht="26.25" x14ac:dyDescent="0.25">
      <c r="A3" s="39">
        <v>20</v>
      </c>
      <c r="B3" s="35" t="s">
        <v>71</v>
      </c>
      <c r="C3" s="37" t="s">
        <v>6</v>
      </c>
      <c r="D3" s="37">
        <v>200</v>
      </c>
      <c r="E3" s="38">
        <f>IF(C20&lt;=25%,D20,MIN(E20:F20))</f>
        <v>4.82</v>
      </c>
      <c r="F3" s="38">
        <f>MIN(H3:H17)</f>
        <v>4.1900000000000004</v>
      </c>
      <c r="G3" s="32" t="s">
        <v>122</v>
      </c>
      <c r="H3" s="16">
        <v>4.1900000000000004</v>
      </c>
      <c r="I3" s="17">
        <f>IF(H3="","",(IF($C$20&lt;25%,"n/a",IF(H3&lt;=($D$20+$A$20),H3,"Descartado"))))</f>
        <v>4.1900000000000004</v>
      </c>
    </row>
    <row r="4" spans="1:9" x14ac:dyDescent="0.25">
      <c r="A4" s="39"/>
      <c r="B4" s="36"/>
      <c r="C4" s="37"/>
      <c r="D4" s="37"/>
      <c r="E4" s="38"/>
      <c r="F4" s="38"/>
      <c r="G4" s="32" t="s">
        <v>143</v>
      </c>
      <c r="H4" s="16">
        <v>4.45</v>
      </c>
      <c r="I4" s="17">
        <f t="shared" ref="I4:I17" si="0">IF(H4="","",(IF($C$20&lt;25%,"n/a",IF(H4&lt;=($D$20+$A$20),H4,"Descartado"))))</f>
        <v>4.45</v>
      </c>
    </row>
    <row r="5" spans="1:9" x14ac:dyDescent="0.25">
      <c r="A5" s="39"/>
      <c r="B5" s="36"/>
      <c r="C5" s="37"/>
      <c r="D5" s="37"/>
      <c r="E5" s="38"/>
      <c r="F5" s="38"/>
      <c r="G5" s="32" t="s">
        <v>123</v>
      </c>
      <c r="H5" s="16">
        <v>4.82</v>
      </c>
      <c r="I5" s="17">
        <f t="shared" si="0"/>
        <v>4.82</v>
      </c>
    </row>
    <row r="6" spans="1:9" x14ac:dyDescent="0.25">
      <c r="A6" s="39"/>
      <c r="B6" s="36"/>
      <c r="C6" s="37"/>
      <c r="D6" s="37"/>
      <c r="E6" s="38"/>
      <c r="F6" s="38"/>
      <c r="G6" s="32" t="s">
        <v>144</v>
      </c>
      <c r="H6" s="16">
        <v>8.2200000000000006</v>
      </c>
      <c r="I6" s="17">
        <f t="shared" si="0"/>
        <v>8.2200000000000006</v>
      </c>
    </row>
    <row r="7" spans="1:9" x14ac:dyDescent="0.25">
      <c r="A7" s="39"/>
      <c r="B7" s="36"/>
      <c r="C7" s="37"/>
      <c r="D7" s="37"/>
      <c r="E7" s="38"/>
      <c r="F7" s="38"/>
      <c r="G7" s="5" t="s">
        <v>145</v>
      </c>
      <c r="H7" s="16">
        <v>9.8000000000000007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2.5495744742995852</v>
      </c>
      <c r="B20" s="8">
        <f>COUNT(H3:H17)</f>
        <v>5</v>
      </c>
      <c r="C20" s="9">
        <f>IF(B20&lt;2,"n/a",(A20/D20))</f>
        <v>0.40469436099993417</v>
      </c>
      <c r="D20" s="10">
        <f>IFERROR(ROUND(AVERAGE(H3:H17),2),"")</f>
        <v>6.3</v>
      </c>
      <c r="E20" s="15">
        <f>IFERROR(ROUND(IF(B20&lt;2,"n/a",(IF(C20&lt;=25%,"n/a",AVERAGE(I3:I17)))),2),"n/a")</f>
        <v>5.42</v>
      </c>
      <c r="F20" s="10">
        <f>IFERROR(ROUND(MEDIAN(H3:H17),2),"")</f>
        <v>4.82</v>
      </c>
      <c r="G20" s="11" t="str">
        <f>IFERROR(INDEX(G3:G17,MATCH(H20,H3:H17,0)),"")</f>
        <v>ZENITE COMERCIO E IMPORTACAO LTDA</v>
      </c>
      <c r="H20" s="12">
        <f>F3</f>
        <v>4.1900000000000004</v>
      </c>
    </row>
    <row r="22" spans="1:9" x14ac:dyDescent="0.25">
      <c r="G22" s="13" t="s">
        <v>19</v>
      </c>
      <c r="H22" s="14">
        <f>IF(C20&lt;=25%,D20,MIN(E20:F20))</f>
        <v>4.82</v>
      </c>
    </row>
    <row r="23" spans="1:9" x14ac:dyDescent="0.25">
      <c r="G23" s="13" t="s">
        <v>5</v>
      </c>
      <c r="H23" s="14">
        <f>ROUND(H22,2)*D3</f>
        <v>964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ht="26.25" x14ac:dyDescent="0.25">
      <c r="A3" s="39">
        <v>21</v>
      </c>
      <c r="B3" s="35" t="s">
        <v>72</v>
      </c>
      <c r="C3" s="37" t="s">
        <v>75</v>
      </c>
      <c r="D3" s="37">
        <v>30</v>
      </c>
      <c r="E3" s="38">
        <f>IF(C20&lt;=25%,D20,MIN(E20:F20))</f>
        <v>144.4</v>
      </c>
      <c r="F3" s="38">
        <f>MIN(H3:H17)</f>
        <v>82.37</v>
      </c>
      <c r="G3" s="32" t="s">
        <v>124</v>
      </c>
      <c r="H3" s="16">
        <v>82.37</v>
      </c>
      <c r="I3" s="17">
        <f>IF(H3="","",(IF($C$20&lt;25%,"n/a",IF(H3&lt;=($D$20+$A$20),H3,"Descartado"))))</f>
        <v>82.37</v>
      </c>
    </row>
    <row r="4" spans="1:9" x14ac:dyDescent="0.25">
      <c r="A4" s="39"/>
      <c r="B4" s="36"/>
      <c r="C4" s="37"/>
      <c r="D4" s="37"/>
      <c r="E4" s="38"/>
      <c r="F4" s="38"/>
      <c r="G4" s="32" t="s">
        <v>125</v>
      </c>
      <c r="H4" s="16">
        <v>86.98</v>
      </c>
      <c r="I4" s="17">
        <f t="shared" ref="I4:I17" si="0">IF(H4="","",(IF($C$20&lt;25%,"n/a",IF(H4&lt;=($D$20+$A$20),H4,"Descartado"))))</f>
        <v>86.98</v>
      </c>
    </row>
    <row r="5" spans="1:9" ht="26.25" x14ac:dyDescent="0.25">
      <c r="A5" s="39"/>
      <c r="B5" s="36"/>
      <c r="C5" s="37"/>
      <c r="D5" s="37"/>
      <c r="E5" s="38"/>
      <c r="F5" s="38"/>
      <c r="G5" s="32" t="s">
        <v>126</v>
      </c>
      <c r="H5" s="16">
        <v>158.01</v>
      </c>
      <c r="I5" s="17">
        <f t="shared" si="0"/>
        <v>158.01</v>
      </c>
    </row>
    <row r="6" spans="1:9" ht="26.25" x14ac:dyDescent="0.25">
      <c r="A6" s="39"/>
      <c r="B6" s="36"/>
      <c r="C6" s="37"/>
      <c r="D6" s="37"/>
      <c r="E6" s="38"/>
      <c r="F6" s="38"/>
      <c r="G6" s="32" t="s">
        <v>127</v>
      </c>
      <c r="H6" s="16">
        <v>250.22</v>
      </c>
      <c r="I6" s="17">
        <f t="shared" si="0"/>
        <v>250.22</v>
      </c>
    </row>
    <row r="7" spans="1:9" ht="26.25" x14ac:dyDescent="0.25">
      <c r="A7" s="39"/>
      <c r="B7" s="36"/>
      <c r="C7" s="37"/>
      <c r="D7" s="37"/>
      <c r="E7" s="38"/>
      <c r="F7" s="38"/>
      <c r="G7" s="32" t="s">
        <v>128</v>
      </c>
      <c r="H7" s="16">
        <v>263.29000000000002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86.366513360213787</v>
      </c>
      <c r="B20" s="8">
        <f>COUNT(H3:H17)</f>
        <v>5</v>
      </c>
      <c r="C20" s="9">
        <f>IF(B20&lt;2,"n/a",(A20/D20))</f>
        <v>0.51356670845105423</v>
      </c>
      <c r="D20" s="10">
        <f>IFERROR(ROUND(AVERAGE(H3:H17),2),"")</f>
        <v>168.17</v>
      </c>
      <c r="E20" s="15">
        <f>IFERROR(ROUND(IF(B20&lt;2,"n/a",(IF(C20&lt;=25%,"n/a",AVERAGE(I3:I17)))),2),"n/a")</f>
        <v>144.4</v>
      </c>
      <c r="F20" s="10">
        <f>IFERROR(ROUND(MEDIAN(H3:H17),2),"")</f>
        <v>158.01</v>
      </c>
      <c r="G20" s="11" t="str">
        <f>IFERROR(INDEX(G3:G17,MATCH(H20,H3:H17,0)),"")</f>
        <v>JJB COMERCIO VAREJISTA DE TINTAS (Atualiz)</v>
      </c>
      <c r="H20" s="12">
        <f>F3</f>
        <v>82.37</v>
      </c>
    </row>
    <row r="22" spans="1:9" x14ac:dyDescent="0.25">
      <c r="G22" s="13" t="s">
        <v>19</v>
      </c>
      <c r="H22" s="14">
        <f>IF(C20&lt;=25%,D20,MIN(E20:F20))</f>
        <v>144.4</v>
      </c>
    </row>
    <row r="23" spans="1:9" x14ac:dyDescent="0.25">
      <c r="G23" s="13" t="s">
        <v>5</v>
      </c>
      <c r="H23" s="14">
        <f>ROUND(H22,2)*D3</f>
        <v>4332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3" sqref="H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9">
        <v>22</v>
      </c>
      <c r="B3" s="35" t="s">
        <v>77</v>
      </c>
      <c r="C3" s="37" t="s">
        <v>78</v>
      </c>
      <c r="D3" s="37">
        <v>30</v>
      </c>
      <c r="E3" s="38">
        <f>IF(C20&lt;=25%,D20,MIN(E20:F20))</f>
        <v>62.46</v>
      </c>
      <c r="F3" s="38">
        <f>MIN(H3:H17)</f>
        <v>50</v>
      </c>
      <c r="G3" s="5" t="s">
        <v>129</v>
      </c>
      <c r="H3" s="16">
        <v>50</v>
      </c>
      <c r="I3" s="17" t="str">
        <f>IF(H3="","",(IF($C$20&lt;25%,"n/a",IF(H3&lt;=($D$20+$A$20),H3,"Descartado"))))</f>
        <v>n/a</v>
      </c>
    </row>
    <row r="4" spans="1:9" ht="26.25" x14ac:dyDescent="0.25">
      <c r="A4" s="39"/>
      <c r="B4" s="36"/>
      <c r="C4" s="37"/>
      <c r="D4" s="37"/>
      <c r="E4" s="38"/>
      <c r="F4" s="38"/>
      <c r="G4" s="32" t="s">
        <v>130</v>
      </c>
      <c r="H4" s="16">
        <v>53.01</v>
      </c>
      <c r="I4" s="17" t="str">
        <f t="shared" ref="I4:I17" si="0">IF(H4="","",(IF($C$20&lt;25%,"n/a",IF(H4&lt;=($D$20+$A$20),H4,"Descartado"))))</f>
        <v>n/a</v>
      </c>
    </row>
    <row r="5" spans="1:9" ht="26.25" x14ac:dyDescent="0.25">
      <c r="A5" s="39"/>
      <c r="B5" s="36"/>
      <c r="C5" s="37"/>
      <c r="D5" s="37"/>
      <c r="E5" s="38"/>
      <c r="F5" s="38"/>
      <c r="G5" s="32" t="s">
        <v>131</v>
      </c>
      <c r="H5" s="16">
        <v>71.150000000000006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32" t="s">
        <v>132</v>
      </c>
      <c r="H6" s="16">
        <v>75.69</v>
      </c>
      <c r="I6" s="17" t="str">
        <f t="shared" si="0"/>
        <v>n/a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12.84656990536126</v>
      </c>
      <c r="B20" s="8">
        <f>COUNT(H3:H17)</f>
        <v>4</v>
      </c>
      <c r="C20" s="9">
        <f>IF(B20&lt;2,"n/a",(A20/D20))</f>
        <v>0.20567675160680851</v>
      </c>
      <c r="D20" s="10">
        <f>IFERROR(ROUND(AVERAGE(H3:H17),2),"")</f>
        <v>62.46</v>
      </c>
      <c r="E20" s="15" t="str">
        <f>IFERROR(ROUND(IF(B20&lt;2,"n/a",(IF(C20&lt;=25%,"n/a",AVERAGE(I3:I17)))),2),"n/a")</f>
        <v>n/a</v>
      </c>
      <c r="F20" s="10">
        <f>IFERROR(ROUND(MEDIAN(H3:H17),2),"")</f>
        <v>62.08</v>
      </c>
      <c r="G20" s="11" t="str">
        <f>IFERROR(INDEX(G3:G17,MATCH(H20,H3:H17,0)),"")</f>
        <v>MOREIRA E GONCALVES LTDA</v>
      </c>
      <c r="H20" s="12">
        <f>F3</f>
        <v>50</v>
      </c>
    </row>
    <row r="22" spans="1:9" x14ac:dyDescent="0.25">
      <c r="G22" s="13" t="s">
        <v>19</v>
      </c>
      <c r="H22" s="14">
        <f>IF(C20&lt;=25%,D20,MIN(E20:F20))</f>
        <v>62.46</v>
      </c>
    </row>
    <row r="23" spans="1:9" x14ac:dyDescent="0.25">
      <c r="G23" s="13" t="s">
        <v>5</v>
      </c>
      <c r="H23" s="14">
        <f>ROUND(H22,2)*D3</f>
        <v>1873.8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1: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9">
        <v>23</v>
      </c>
      <c r="B3" s="35" t="s">
        <v>79</v>
      </c>
      <c r="C3" s="37" t="s">
        <v>78</v>
      </c>
      <c r="D3" s="37">
        <v>30</v>
      </c>
      <c r="E3" s="38">
        <f>IF(C20&lt;=25%,D20,MIN(E20:F20))</f>
        <v>157.31</v>
      </c>
      <c r="F3" s="38">
        <f>MIN(H3:H17)</f>
        <v>138</v>
      </c>
      <c r="G3" s="32" t="s">
        <v>134</v>
      </c>
      <c r="H3" s="16">
        <v>138</v>
      </c>
      <c r="I3" s="17">
        <f>IF(H3="","",(IF($C$20&lt;25%,"n/a",IF(H3&lt;=($D$20+$A$20),H3,"Descartado"))))</f>
        <v>138</v>
      </c>
    </row>
    <row r="4" spans="1:9" x14ac:dyDescent="0.25">
      <c r="A4" s="39"/>
      <c r="B4" s="36"/>
      <c r="C4" s="37"/>
      <c r="D4" s="37"/>
      <c r="E4" s="38"/>
      <c r="F4" s="38"/>
      <c r="G4" s="32" t="s">
        <v>135</v>
      </c>
      <c r="H4" s="16">
        <v>140.18</v>
      </c>
      <c r="I4" s="17">
        <f>IF(H4="","",(IF($C$20&lt;25%,"n/a",IF(H4&lt;=($D$20+$A$20),H4,"Descartado"))))</f>
        <v>140.18</v>
      </c>
    </row>
    <row r="5" spans="1:9" ht="26.25" x14ac:dyDescent="0.25">
      <c r="A5" s="39"/>
      <c r="B5" s="36"/>
      <c r="C5" s="37"/>
      <c r="D5" s="37"/>
      <c r="E5" s="38"/>
      <c r="F5" s="38"/>
      <c r="G5" s="32" t="s">
        <v>133</v>
      </c>
      <c r="H5" s="16">
        <v>193.75</v>
      </c>
      <c r="I5" s="17">
        <f>IF(H5="","",(IF($C$20&lt;25%,"n/a",IF(H5&lt;=($D$20+$A$20),H5,"Descartado"))))</f>
        <v>193.75</v>
      </c>
    </row>
    <row r="6" spans="1:9" x14ac:dyDescent="0.25">
      <c r="A6" s="39"/>
      <c r="B6" s="36"/>
      <c r="C6" s="37"/>
      <c r="D6" s="37"/>
      <c r="E6" s="38"/>
      <c r="F6" s="38"/>
      <c r="G6" s="32" t="s">
        <v>136</v>
      </c>
      <c r="H6" s="16">
        <v>260</v>
      </c>
      <c r="I6" s="17" t="str">
        <f>IF(H6="","",(IF($C$20&lt;25%,"n/a",IF(H6&lt;=($D$20+$A$20),H6,"Descartado"))))</f>
        <v>Descartado</v>
      </c>
    </row>
    <row r="7" spans="1:9" x14ac:dyDescent="0.25">
      <c r="A7" s="39"/>
      <c r="B7" s="36"/>
      <c r="C7" s="37"/>
      <c r="D7" s="37"/>
      <c r="E7" s="38"/>
      <c r="F7" s="38"/>
      <c r="H7" s="16"/>
      <c r="I7" s="17" t="str">
        <f>IF(H7="","",(IF($C$20&lt;25%,"n/a",IF(H7&lt;=($D$20+$A$20),H7,"Descartado"))))</f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ref="I8:I17" si="0">IF(H8="","",(IF($C$20&lt;25%,"n/a",IF(H8&lt;=($D$20+$A$20),H8,"Descartado"))))</f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57.454659442613156</v>
      </c>
      <c r="B20" s="8">
        <f>COUNT(H3:H17)</f>
        <v>4</v>
      </c>
      <c r="C20" s="9">
        <f>IF(B20&lt;2,"n/a",(A20/D20))</f>
        <v>0.3139942039709977</v>
      </c>
      <c r="D20" s="10">
        <f>IFERROR(ROUND(AVERAGE(H3:H17),2),"")</f>
        <v>182.98</v>
      </c>
      <c r="E20" s="15">
        <f>IFERROR(ROUND(IF(B20&lt;2,"n/a",(IF(C20&lt;=25%,"n/a",AVERAGE(I3:I17)))),2),"n/a")</f>
        <v>157.31</v>
      </c>
      <c r="F20" s="10">
        <f>IFERROR(ROUND(MEDIAN(H3:H17),2),"")</f>
        <v>166.97</v>
      </c>
      <c r="G20" s="11" t="str">
        <f>IFERROR(INDEX(G3:G17,MATCH(H20,H3:H17,0)),"")</f>
        <v>NGREDY BRUNELE ALBUQUERQUE</v>
      </c>
      <c r="H20" s="12">
        <f>F3</f>
        <v>138</v>
      </c>
    </row>
    <row r="22" spans="1:9" x14ac:dyDescent="0.25">
      <c r="G22" s="13" t="s">
        <v>19</v>
      </c>
      <c r="H22" s="14">
        <f>IF(C20&lt;=25%,D20,MIN(E20:F20))</f>
        <v>157.31</v>
      </c>
    </row>
    <row r="23" spans="1:9" x14ac:dyDescent="0.25">
      <c r="G23" s="13" t="s">
        <v>5</v>
      </c>
      <c r="H23" s="14">
        <f>ROUND(H22,2)*D3</f>
        <v>4719.3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N33" sqref="N3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9">
        <v>24</v>
      </c>
      <c r="B3" s="35" t="s">
        <v>74</v>
      </c>
      <c r="C3" s="37" t="s">
        <v>75</v>
      </c>
      <c r="D3" s="37">
        <v>40</v>
      </c>
      <c r="E3" s="38">
        <f>IF(C20&lt;=25%,D20,MIN(E20:F20))</f>
        <v>203.2</v>
      </c>
      <c r="F3" s="38">
        <f>MIN(H3:H17)</f>
        <v>170.62</v>
      </c>
      <c r="G3" s="5" t="s">
        <v>137</v>
      </c>
      <c r="H3" s="16">
        <v>187.27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5" t="s">
        <v>164</v>
      </c>
      <c r="H4" s="16">
        <v>170.62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9"/>
      <c r="B5" s="36"/>
      <c r="C5" s="37"/>
      <c r="D5" s="37"/>
      <c r="E5" s="38"/>
      <c r="F5" s="38"/>
      <c r="G5" s="5" t="s">
        <v>165</v>
      </c>
      <c r="H5" s="16">
        <v>265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5" t="s">
        <v>166</v>
      </c>
      <c r="H6" s="16">
        <v>189.9</v>
      </c>
      <c r="I6" s="17" t="str">
        <f t="shared" si="0"/>
        <v>n/a</v>
      </c>
    </row>
    <row r="7" spans="1:9" x14ac:dyDescent="0.25">
      <c r="A7" s="39"/>
      <c r="B7" s="36"/>
      <c r="C7" s="37"/>
      <c r="D7" s="37"/>
      <c r="E7" s="38"/>
      <c r="F7" s="38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42.076720701594695</v>
      </c>
      <c r="B20" s="8">
        <f>COUNT(H3:H17)</f>
        <v>4</v>
      </c>
      <c r="C20" s="9">
        <f>IF(B20&lt;2,"n/a",(A20/D20))</f>
        <v>0.20707047589367469</v>
      </c>
      <c r="D20" s="10">
        <f>IFERROR(ROUND(AVERAGE(H3:H17),2),"")</f>
        <v>203.2</v>
      </c>
      <c r="E20" s="15" t="str">
        <f>IFERROR(ROUND(IF(B20&lt;2,"n/a",(IF(C20&lt;=25%,"n/a",AVERAGE(I3:I17)))),2),"n/a")</f>
        <v>n/a</v>
      </c>
      <c r="F20" s="10">
        <f>IFERROR(ROUND(MEDIAN(H3:H17),2),"")</f>
        <v>188.59</v>
      </c>
      <c r="G20" s="11" t="str">
        <f>IFERROR(INDEX(G3:G17,MATCH(H20,H3:H17,0)),"")</f>
        <v xml:space="preserve">MAGAZINE </v>
      </c>
      <c r="H20" s="12">
        <f>F3</f>
        <v>170.62</v>
      </c>
    </row>
    <row r="22" spans="1:9" x14ac:dyDescent="0.25">
      <c r="G22" s="13" t="s">
        <v>19</v>
      </c>
      <c r="H22" s="14">
        <f>IF(C20&lt;=25%,D20,MIN(E20:F20))</f>
        <v>203.2</v>
      </c>
    </row>
    <row r="23" spans="1:9" x14ac:dyDescent="0.25">
      <c r="G23" s="13" t="s">
        <v>5</v>
      </c>
      <c r="H23" s="14">
        <f>ROUND(H22,2)*D3</f>
        <v>8128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9">
        <v>26</v>
      </c>
      <c r="B3" s="35" t="s">
        <v>30</v>
      </c>
      <c r="C3" s="37" t="s">
        <v>6</v>
      </c>
      <c r="D3" s="37">
        <v>4</v>
      </c>
      <c r="E3" s="38">
        <f>IF(C20&lt;=25%,D20,MIN(E20:F20))</f>
        <v>314.5</v>
      </c>
      <c r="F3" s="38">
        <f>MIN(H3:H17)</f>
        <v>149.97</v>
      </c>
      <c r="G3" s="5" t="s">
        <v>38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9"/>
      <c r="B4" s="36"/>
      <c r="C4" s="37"/>
      <c r="D4" s="37"/>
      <c r="E4" s="38"/>
      <c r="F4" s="38"/>
      <c r="G4" s="5" t="s">
        <v>32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9"/>
      <c r="B5" s="36"/>
      <c r="C5" s="37"/>
      <c r="D5" s="37"/>
      <c r="E5" s="38"/>
      <c r="F5" s="38"/>
      <c r="G5" s="5" t="s">
        <v>39</v>
      </c>
      <c r="H5" s="16">
        <v>330</v>
      </c>
      <c r="I5" s="17">
        <f t="shared" si="0"/>
        <v>330</v>
      </c>
    </row>
    <row r="6" spans="1:9" x14ac:dyDescent="0.25">
      <c r="A6" s="39"/>
      <c r="B6" s="36"/>
      <c r="C6" s="37"/>
      <c r="D6" s="37"/>
      <c r="E6" s="38"/>
      <c r="F6" s="38"/>
      <c r="G6" s="5" t="s">
        <v>34</v>
      </c>
      <c r="H6" s="16">
        <v>259</v>
      </c>
      <c r="I6" s="17">
        <f t="shared" si="0"/>
        <v>259</v>
      </c>
    </row>
    <row r="7" spans="1:9" x14ac:dyDescent="0.25">
      <c r="A7" s="39"/>
      <c r="B7" s="36"/>
      <c r="C7" s="37"/>
      <c r="D7" s="37"/>
      <c r="E7" s="38"/>
      <c r="F7" s="38"/>
      <c r="G7" s="5" t="s">
        <v>35</v>
      </c>
      <c r="H7" s="16">
        <v>1000</v>
      </c>
      <c r="I7" s="17">
        <f t="shared" si="0"/>
        <v>1000</v>
      </c>
    </row>
    <row r="8" spans="1:9" x14ac:dyDescent="0.25">
      <c r="A8" s="39"/>
      <c r="B8" s="36"/>
      <c r="C8" s="37"/>
      <c r="D8" s="37"/>
      <c r="E8" s="38"/>
      <c r="F8" s="38"/>
      <c r="G8" s="5" t="s">
        <v>40</v>
      </c>
      <c r="H8" s="16">
        <v>177.5</v>
      </c>
      <c r="I8" s="17">
        <f t="shared" si="0"/>
        <v>177.5</v>
      </c>
    </row>
    <row r="9" spans="1:9" x14ac:dyDescent="0.25">
      <c r="A9" s="39"/>
      <c r="B9" s="36"/>
      <c r="C9" s="37"/>
      <c r="D9" s="37"/>
      <c r="E9" s="38"/>
      <c r="F9" s="38"/>
      <c r="G9" s="5" t="s">
        <v>33</v>
      </c>
      <c r="H9" s="16">
        <v>160</v>
      </c>
      <c r="I9" s="17">
        <f t="shared" si="0"/>
        <v>160</v>
      </c>
    </row>
    <row r="10" spans="1:9" x14ac:dyDescent="0.25">
      <c r="A10" s="39"/>
      <c r="B10" s="36"/>
      <c r="C10" s="37"/>
      <c r="D10" s="37"/>
      <c r="E10" s="38"/>
      <c r="F10" s="38"/>
      <c r="G10" s="5" t="s">
        <v>41</v>
      </c>
      <c r="H10" s="16">
        <v>1342</v>
      </c>
      <c r="I10" s="17" t="str">
        <f t="shared" si="0"/>
        <v>Descartado</v>
      </c>
    </row>
    <row r="11" spans="1:9" x14ac:dyDescent="0.25">
      <c r="A11" s="39"/>
      <c r="B11" s="36"/>
      <c r="C11" s="37"/>
      <c r="D11" s="37"/>
      <c r="E11" s="38"/>
      <c r="F11" s="38"/>
      <c r="G11" s="5" t="s">
        <v>42</v>
      </c>
      <c r="H11" s="16">
        <v>1650</v>
      </c>
      <c r="I11" s="17" t="str">
        <f t="shared" si="0"/>
        <v>Descartado</v>
      </c>
    </row>
    <row r="12" spans="1:9" x14ac:dyDescent="0.25">
      <c r="A12" s="39"/>
      <c r="B12" s="36"/>
      <c r="C12" s="37"/>
      <c r="D12" s="37"/>
      <c r="E12" s="38"/>
      <c r="F12" s="38"/>
      <c r="G12" s="5" t="s">
        <v>37</v>
      </c>
      <c r="H12" s="16">
        <v>149.97</v>
      </c>
      <c r="I12" s="17">
        <f t="shared" si="0"/>
        <v>149.97</v>
      </c>
    </row>
    <row r="13" spans="1:9" x14ac:dyDescent="0.25">
      <c r="A13" s="39"/>
      <c r="B13" s="36"/>
      <c r="C13" s="37"/>
      <c r="D13" s="37"/>
      <c r="E13" s="38"/>
      <c r="F13" s="38"/>
      <c r="G13" s="5" t="s">
        <v>47</v>
      </c>
      <c r="H13" s="16">
        <v>299</v>
      </c>
      <c r="I13" s="17">
        <f t="shared" si="0"/>
        <v>299</v>
      </c>
    </row>
    <row r="14" spans="1:9" x14ac:dyDescent="0.25">
      <c r="A14" s="39"/>
      <c r="B14" s="36"/>
      <c r="C14" s="37"/>
      <c r="D14" s="37"/>
      <c r="E14" s="38"/>
      <c r="F14" s="38"/>
      <c r="G14" s="5" t="s">
        <v>49</v>
      </c>
      <c r="H14" s="16">
        <v>341.01</v>
      </c>
      <c r="I14" s="17">
        <f t="shared" si="0"/>
        <v>341.01</v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19</v>
      </c>
      <c r="H22" s="14">
        <f>IF(C20&lt;=25%,D20,MIN(E20:F20))</f>
        <v>314.5</v>
      </c>
    </row>
    <row r="23" spans="1:9" x14ac:dyDescent="0.25">
      <c r="G23" s="13" t="s">
        <v>5</v>
      </c>
      <c r="H23" s="14">
        <f>ROUND(H22,2)*D3</f>
        <v>1258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9">
        <v>27</v>
      </c>
      <c r="B3" s="35" t="s">
        <v>31</v>
      </c>
      <c r="C3" s="37" t="s">
        <v>6</v>
      </c>
      <c r="D3" s="37">
        <v>2</v>
      </c>
      <c r="E3" s="38">
        <f>IF(C20&lt;=25%,D20,MIN(E20:F20))</f>
        <v>2336.66</v>
      </c>
      <c r="F3" s="38">
        <f>MIN(H3:H17)</f>
        <v>985</v>
      </c>
      <c r="G3" s="5" t="s">
        <v>39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9"/>
      <c r="B4" s="36"/>
      <c r="C4" s="37"/>
      <c r="D4" s="37"/>
      <c r="E4" s="38"/>
      <c r="F4" s="38"/>
      <c r="G4" s="5" t="s">
        <v>43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9"/>
      <c r="B5" s="36"/>
      <c r="C5" s="37"/>
      <c r="D5" s="37"/>
      <c r="E5" s="38"/>
      <c r="F5" s="38"/>
      <c r="G5" s="5" t="s">
        <v>44</v>
      </c>
      <c r="H5" s="16">
        <v>3775.12</v>
      </c>
      <c r="I5" s="17" t="str">
        <f t="shared" si="0"/>
        <v>Descartado</v>
      </c>
    </row>
    <row r="6" spans="1:9" x14ac:dyDescent="0.25">
      <c r="A6" s="39"/>
      <c r="B6" s="36"/>
      <c r="C6" s="37"/>
      <c r="D6" s="37"/>
      <c r="E6" s="38"/>
      <c r="F6" s="38"/>
      <c r="G6" s="5" t="s">
        <v>32</v>
      </c>
      <c r="H6" s="16">
        <v>1449.99</v>
      </c>
      <c r="I6" s="17">
        <f t="shared" si="0"/>
        <v>1449.99</v>
      </c>
    </row>
    <row r="7" spans="1:9" x14ac:dyDescent="0.25">
      <c r="A7" s="39"/>
      <c r="B7" s="36"/>
      <c r="C7" s="37"/>
      <c r="D7" s="37"/>
      <c r="E7" s="38"/>
      <c r="F7" s="38"/>
      <c r="G7" s="5" t="s">
        <v>36</v>
      </c>
      <c r="H7" s="16">
        <v>1738.77</v>
      </c>
      <c r="I7" s="17">
        <f t="shared" si="0"/>
        <v>1738.77</v>
      </c>
    </row>
    <row r="8" spans="1:9" x14ac:dyDescent="0.25">
      <c r="A8" s="39"/>
      <c r="B8" s="36"/>
      <c r="C8" s="37"/>
      <c r="D8" s="37"/>
      <c r="E8" s="38"/>
      <c r="F8" s="38"/>
      <c r="G8" s="5" t="s">
        <v>45</v>
      </c>
      <c r="H8" s="16">
        <v>2582</v>
      </c>
      <c r="I8" s="17">
        <f t="shared" si="0"/>
        <v>2582</v>
      </c>
    </row>
    <row r="9" spans="1:9" x14ac:dyDescent="0.25">
      <c r="A9" s="39"/>
      <c r="B9" s="36"/>
      <c r="C9" s="37"/>
      <c r="D9" s="37"/>
      <c r="E9" s="38"/>
      <c r="F9" s="38"/>
      <c r="G9" s="5" t="s">
        <v>50</v>
      </c>
      <c r="H9" s="16">
        <v>3179.25</v>
      </c>
      <c r="I9" s="17">
        <f t="shared" si="0"/>
        <v>3179.25</v>
      </c>
    </row>
    <row r="10" spans="1:9" x14ac:dyDescent="0.25">
      <c r="A10" s="39"/>
      <c r="B10" s="36"/>
      <c r="C10" s="37"/>
      <c r="D10" s="37"/>
      <c r="E10" s="38"/>
      <c r="F10" s="38"/>
      <c r="G10" s="5" t="s">
        <v>46</v>
      </c>
      <c r="H10" s="16">
        <v>3484.8</v>
      </c>
      <c r="I10" s="17">
        <f t="shared" si="0"/>
        <v>3484.8</v>
      </c>
    </row>
    <row r="11" spans="1:9" x14ac:dyDescent="0.25">
      <c r="A11" s="39"/>
      <c r="B11" s="36"/>
      <c r="C11" s="37"/>
      <c r="D11" s="37"/>
      <c r="E11" s="38"/>
      <c r="F11" s="38"/>
      <c r="G11" s="5" t="s">
        <v>48</v>
      </c>
      <c r="H11" s="16">
        <v>3523.43</v>
      </c>
      <c r="I11" s="17">
        <f t="shared" si="0"/>
        <v>3523.43</v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19</v>
      </c>
      <c r="H22" s="14">
        <f>IF(C20&lt;=25%,D20,MIN(E20:F20))</f>
        <v>2336.66</v>
      </c>
    </row>
    <row r="23" spans="1:9" x14ac:dyDescent="0.25">
      <c r="G23" s="13" t="s">
        <v>5</v>
      </c>
      <c r="H23" s="14">
        <f>ROUND(H22,2)*D3</f>
        <v>4673.32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BreakPreview" zoomScaleNormal="100" zoomScaleSheetLayoutView="100" workbookViewId="0">
      <selection activeCell="D34" sqref="D34"/>
    </sheetView>
  </sheetViews>
  <sheetFormatPr defaultRowHeight="15" x14ac:dyDescent="0.25"/>
  <cols>
    <col min="1" max="1" width="6.7109375" style="1" customWidth="1"/>
    <col min="2" max="2" width="36.7109375" style="4" customWidth="1"/>
    <col min="3" max="3" width="12.7109375" style="1" customWidth="1"/>
    <col min="4" max="4" width="9.28515625" style="1" bestFit="1" customWidth="1"/>
    <col min="5" max="6" width="15.7109375" style="1" customWidth="1"/>
    <col min="7" max="16384" width="9.140625" style="1"/>
  </cols>
  <sheetData>
    <row r="1" spans="1:6" ht="15.75" x14ac:dyDescent="0.25">
      <c r="A1" s="40"/>
      <c r="B1" s="40"/>
      <c r="C1" s="40"/>
      <c r="D1" s="40"/>
      <c r="E1" s="40"/>
      <c r="F1" s="40"/>
    </row>
    <row r="2" spans="1:6" ht="24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28</v>
      </c>
    </row>
    <row r="3" spans="1:6" ht="390" x14ac:dyDescent="0.25">
      <c r="A3" s="25">
        <f>Item1!A3</f>
        <v>1</v>
      </c>
      <c r="B3" s="27" t="str">
        <f>Item1!B3</f>
        <v>Cabo de rede UTP - Categoria 6
Especificações técnicas:
• Cabo de 4 pares trançados compostos por condutores sólidos de cobre, 23AWG, isolados em polietileno de alta densidade;
• Capa externa em PVC não propagante a chama;
• Cor azul;
• Acondicionado em caixa de papelão tipo fastbox (305 metros), com nome do fabricante e sistema de rastreamento que permita identificar a data de fabricação dos cabos;
• O cabo deve ser fabricado com material LSZH (Low Smoke, Zero Halogen);
• Marcação sequencial métrica decrescente;
NORMAS:
• ANSI/TIA - 568;
• ISO/IEC DIS 11801
NBR 14703 e 14705
UL 444;
Garantia do Fabricante: 12 meses.
Referência: Furukawa Cabo Gigalan CAT 6;</v>
      </c>
      <c r="C3" s="25" t="str">
        <f>Item1!C3</f>
        <v>cx</v>
      </c>
      <c r="D3" s="25">
        <f>Item1!D3</f>
        <v>40</v>
      </c>
      <c r="E3" s="26">
        <f>Item1!E3</f>
        <v>1602.05</v>
      </c>
      <c r="F3" s="26">
        <f>ROUND((D3*E3),2)</f>
        <v>64082</v>
      </c>
    </row>
    <row r="4" spans="1:6" ht="105" x14ac:dyDescent="0.25">
      <c r="A4" s="25">
        <f>Item2!A3</f>
        <v>2</v>
      </c>
      <c r="B4" s="27" t="str">
        <f>Item2!B3</f>
        <v>Cabo em cobre, tipo PP, 4 x 4,00 mm² (quatro vias com bitola de 4,00 mm²). Cabo do tipo flexível e capa de PVC. Rolo com 100m; NBR NM 247-3 – Cabos isolados com policloreto de vinila (PVC) para tensões nominais até 450/750V.</v>
      </c>
      <c r="C4" s="25" t="str">
        <f>Item2!C3</f>
        <v>unidade</v>
      </c>
      <c r="D4" s="25">
        <f>Item2!D3</f>
        <v>20</v>
      </c>
      <c r="E4" s="26">
        <f>Item2!E3</f>
        <v>963.23</v>
      </c>
      <c r="F4" s="26">
        <f t="shared" ref="F4:F26" si="0">ROUND((D4*E4),2)</f>
        <v>19264.599999999999</v>
      </c>
    </row>
    <row r="5" spans="1:6" ht="105" x14ac:dyDescent="0.25">
      <c r="A5" s="25">
        <f>Item3!A3</f>
        <v>3</v>
      </c>
      <c r="B5" s="27" t="str">
        <f>Item3!B3</f>
        <v>Cabo em cobre, tipo PP, 4 x 6,00 mm² (quatro vias com bitola de 6,00 mm²). Cabo do tipo flexível e capa de PVC. Rolo com 100m, NBR NM 247-3 – Cabos isolados com policloreto de vinila (PVC) para tensões nominais até 450/750V.</v>
      </c>
      <c r="C5" s="25" t="str">
        <f>Item3!C3</f>
        <v>unidade</v>
      </c>
      <c r="D5" s="25">
        <f>Item3!D3</f>
        <v>20</v>
      </c>
      <c r="E5" s="26">
        <f>Item3!E3</f>
        <v>1372.03</v>
      </c>
      <c r="F5" s="26">
        <f t="shared" si="0"/>
        <v>27440.6</v>
      </c>
    </row>
    <row r="6" spans="1:6" ht="120" x14ac:dyDescent="0.25">
      <c r="A6" s="25">
        <f>Item4!A3</f>
        <v>4</v>
      </c>
      <c r="B6" s="27" t="str">
        <f>Item4!B3</f>
        <v>Cabo flexível em cobre com bitola de 2,50 mm², classe de isolamento 0,75kV, isolamento em PVC, fornecido em embalagens fechadas lacradas pelo fabricante, na cor branca. Rolo com 100m; NBR NM 247-3 – Cabos isolados com policloreto de vinila (PVC) para tensões nominais até 450/750V.</v>
      </c>
      <c r="C6" s="25" t="str">
        <f>Item4!C3</f>
        <v>unidade</v>
      </c>
      <c r="D6" s="25">
        <f>Item4!D3</f>
        <v>40</v>
      </c>
      <c r="E6" s="26">
        <f>Item4!E3</f>
        <v>131.07</v>
      </c>
      <c r="F6" s="26">
        <f t="shared" si="0"/>
        <v>5242.8</v>
      </c>
    </row>
    <row r="7" spans="1:6" ht="120" x14ac:dyDescent="0.25">
      <c r="A7" s="25">
        <f>Item5!A3</f>
        <v>5</v>
      </c>
      <c r="B7" s="27" t="str">
        <f>Item5!B3</f>
        <v>Cabo flexível em cobre com bitola de 2,50 mm², classe de isolamento 0,75kV, isolamento em PVC, fornecido em embalagens fechadas lacradas pelo fabricante, na cor verde. Rolo com 100m; NBR NM 247-3 – Cabos isolados com policloreto de vinila (PVC) para tensões nominais até 450/750V.</v>
      </c>
      <c r="C7" s="25" t="str">
        <f>Item5!C3</f>
        <v>UN</v>
      </c>
      <c r="D7" s="25">
        <f>Item5!D3</f>
        <v>40</v>
      </c>
      <c r="E7" s="26">
        <f>Item5!E3</f>
        <v>131.07</v>
      </c>
      <c r="F7" s="26">
        <f t="shared" si="0"/>
        <v>5242.8</v>
      </c>
    </row>
    <row r="8" spans="1:6" ht="120" x14ac:dyDescent="0.25">
      <c r="A8" s="25">
        <f>Item6!A3</f>
        <v>6</v>
      </c>
      <c r="B8" s="27" t="str">
        <f>Item6!B3</f>
        <v>Cabo flexível em cobre com bitola de 2,50 mm², classe de isolamento 0,75kV, isolamento em PVC, fornecido em embalagens fechadas lacradas pelo fabricante, na cor azul. Rolo com 100m; NBR NM 247-3 – Cabos isolados com policloreto de vinila (PVC) para tensões nominais até 450/750V.</v>
      </c>
      <c r="C8" s="25" t="str">
        <f>Item6!C3</f>
        <v>unidade</v>
      </c>
      <c r="D8" s="25">
        <f>Item6!D3</f>
        <v>40</v>
      </c>
      <c r="E8" s="26">
        <f>Item6!E3</f>
        <v>131.07</v>
      </c>
      <c r="F8" s="26">
        <f t="shared" si="0"/>
        <v>5242.8</v>
      </c>
    </row>
    <row r="9" spans="1:6" ht="120" x14ac:dyDescent="0.25">
      <c r="A9" s="25">
        <f>Item7!A3</f>
        <v>7</v>
      </c>
      <c r="B9" s="27" t="str">
        <f>Item7!B3</f>
        <v>Cabo flexível em cobre com bitola de 2,50 mm², classe de isolamento 0,75kV, isolamento em PVC, fornecido em embalagens fechadas lacradas pelo fabricante, na cor vermelho. Rolo com 100m; NBR NM 247-3 – Cabos isolados com policloreto de vinila (PVC) para tensões nominais até 450/750V.</v>
      </c>
      <c r="C9" s="25" t="str">
        <f>Item7!C3</f>
        <v>unidade</v>
      </c>
      <c r="D9" s="25">
        <f>Item7!D3</f>
        <v>40</v>
      </c>
      <c r="E9" s="26">
        <f>Item7!E3</f>
        <v>131.07</v>
      </c>
      <c r="F9" s="26">
        <f t="shared" si="0"/>
        <v>5242.8</v>
      </c>
    </row>
    <row r="10" spans="1:6" ht="255" x14ac:dyDescent="0.25">
      <c r="A10" s="25">
        <f>Item8!A3</f>
        <v>8</v>
      </c>
      <c r="B10" s="27" t="str">
        <f>Item8!B3</f>
        <v>Conector Fêmea RJ-45 CAT 6
Especificações técnicas:
• Conector fêmea Categoria 6 para cabo UTP sólido ou flexível;
• Tipo de conector RJ-45;
• Fabricado em termoplástico não propagante a chama UL 94V-0;
• Diâmetro do Condutor: 26 a 22 AWG;
• Cor: transparente;
Normas:
• ANSI/TIA-568-2-D;
• ISO/IEC DIS 11801;
• NBR 14565;
Garantia do Fabricante:12 meses.
Referências: Furukawa Conector Fêmea RJ-45 GigaLan CAT6;
Panduit plug RJ-45 CAT 6</v>
      </c>
      <c r="C10" s="25" t="str">
        <f>Item8!C3</f>
        <v>unidade</v>
      </c>
      <c r="D10" s="25">
        <f>Item8!D3</f>
        <v>500</v>
      </c>
      <c r="E10" s="26">
        <f>Item8!E3</f>
        <v>8.15</v>
      </c>
      <c r="F10" s="26">
        <f t="shared" si="0"/>
        <v>4075</v>
      </c>
    </row>
    <row r="11" spans="1:6" ht="270" x14ac:dyDescent="0.25">
      <c r="A11" s="25">
        <f>Item9!A3</f>
        <v>9</v>
      </c>
      <c r="B11" s="27" t="str">
        <f>Item9!B3</f>
        <v>Conector Macho RJ-45 CAT6
Especificações técnicas:
• Conector macho Categoria 6 para cabo UTP sólido ou flexível;
• Tipo de conector RJ-45;
• Fabricado em termoplástico não propagante a chama UL 94V-0;
• Diâmetro do Condutor: 26 a 22 AWG;
• Cor: transparente;
Normas:
• ANSI/TIA-568;
• ISO/IEC DIS 11801;
• NBR 14565;
Garantia do Fabricante:
12 meses.
Referências
Furukawa plug RJ-45 GigaLan CAT6;
Panduit plug RJ-45 CAT 6</v>
      </c>
      <c r="C11" s="25" t="str">
        <f>Item9!C3</f>
        <v>unidade</v>
      </c>
      <c r="D11" s="25">
        <f>Item9!D3</f>
        <v>1000</v>
      </c>
      <c r="E11" s="26">
        <f>Item9!E3</f>
        <v>1.5</v>
      </c>
      <c r="F11" s="26">
        <f t="shared" si="0"/>
        <v>1500</v>
      </c>
    </row>
    <row r="12" spans="1:6" ht="75" x14ac:dyDescent="0.25">
      <c r="A12" s="25">
        <f>Item10!A3</f>
        <v>10</v>
      </c>
      <c r="B12" s="27" t="str">
        <f>Item10!B3</f>
        <v>Filtro de linha com plug 2P+T e 5 tomadas 2P+T; Plugues e tomadas conforme NBR 60884 e NBR 14136, e cabo de força conforme NBR 247-5 da ABNT</v>
      </c>
      <c r="C12" s="25" t="str">
        <f>Item10!C3</f>
        <v>unidade</v>
      </c>
      <c r="D12" s="25">
        <f>Item10!D3</f>
        <v>30</v>
      </c>
      <c r="E12" s="26">
        <f>Item10!E3</f>
        <v>26.58</v>
      </c>
      <c r="F12" s="26">
        <f t="shared" si="0"/>
        <v>797.4</v>
      </c>
    </row>
    <row r="13" spans="1:6" ht="120" x14ac:dyDescent="0.25">
      <c r="A13" s="25">
        <f>Item11!A3</f>
        <v>11</v>
      </c>
      <c r="B13" s="27" t="str">
        <f>Item11!B3</f>
        <v>Fita adesiva Silver Tape (preta) 48mm x 50m
Obs.: É obrigação da Contratada, entregar materiais com intervalo de tempo decorrido entre a data de entrega e a data final de validade, equivalente a no mínimo 75% do total do prazo de validade</v>
      </c>
      <c r="C13" s="25" t="str">
        <f>Item11!C3</f>
        <v>unidade</v>
      </c>
      <c r="D13" s="25">
        <f>Item11!D3</f>
        <v>60</v>
      </c>
      <c r="E13" s="26">
        <f>Item11!E3</f>
        <v>39.090000000000003</v>
      </c>
      <c r="F13" s="26">
        <f t="shared" si="0"/>
        <v>2345.4</v>
      </c>
    </row>
    <row r="14" spans="1:6" ht="30" x14ac:dyDescent="0.25">
      <c r="A14" s="25">
        <f>Item12!A3</f>
        <v>12</v>
      </c>
      <c r="B14" s="27" t="str">
        <f>Item12!B3</f>
        <v>Gás refrigerante R410 A, garrafa com 11,350 kg</v>
      </c>
      <c r="C14" s="25" t="str">
        <f>Item12!C3</f>
        <v>unidade</v>
      </c>
      <c r="D14" s="25">
        <f>Item12!D3</f>
        <v>30</v>
      </c>
      <c r="E14" s="26">
        <f>Item12!E3</f>
        <v>544.91</v>
      </c>
      <c r="F14" s="26">
        <f t="shared" si="0"/>
        <v>16347.3</v>
      </c>
    </row>
    <row r="15" spans="1:6" ht="45" x14ac:dyDescent="0.25">
      <c r="A15" s="25">
        <f>Item13!A3</f>
        <v>13</v>
      </c>
      <c r="B15" s="27" t="str">
        <f>Item13!B3</f>
        <v>Lâmpada LED de 9W, , Luz branca, Base E27, marcas Osram, Eurolux, Starlux ou similar técnico</v>
      </c>
      <c r="C15" s="25" t="str">
        <f>Item13!C3</f>
        <v>unidade</v>
      </c>
      <c r="D15" s="25">
        <f>Item13!D3</f>
        <v>400</v>
      </c>
      <c r="E15" s="26">
        <f>Item13!E3</f>
        <v>5.24</v>
      </c>
      <c r="F15" s="26">
        <f t="shared" si="0"/>
        <v>2096</v>
      </c>
    </row>
    <row r="16" spans="1:6" ht="120" x14ac:dyDescent="0.25">
      <c r="A16" s="25">
        <f>Item14!A3</f>
        <v>14</v>
      </c>
      <c r="B16" s="27" t="str">
        <f>Item14!B3</f>
        <v>Lâmpada LED Tubular Tipo T8, 120 cm, base G13, 127/220V, fluxo luminoso mínimo de 1.800lm, potência máxima de 18W, luz branca (temperatura de cor 6000-6500K), vida útil estimada igual ou maior que 25.000 horas, compatível com a certificação do Inmetro.
Marca: Osram, Phillips ou similar.</v>
      </c>
      <c r="C16" s="25" t="str">
        <f>Item14!C3</f>
        <v>unidade</v>
      </c>
      <c r="D16" s="25">
        <f>Item14!D3</f>
        <v>1000</v>
      </c>
      <c r="E16" s="26">
        <f>Item14!E3</f>
        <v>11.08</v>
      </c>
      <c r="F16" s="26">
        <f t="shared" si="0"/>
        <v>11080</v>
      </c>
    </row>
    <row r="17" spans="1:6" ht="75" x14ac:dyDescent="0.25">
      <c r="A17" s="25">
        <f>Item15!A3</f>
        <v>15</v>
      </c>
      <c r="B17" s="27" t="str">
        <f>Item15!B3</f>
        <v>Luminária quadrada 22x22cm, de embutir, led cor branca temperatura da cor 6500k, 127V/220V.
Marca: Lumicenter, Phillips ou similar.</v>
      </c>
      <c r="C17" s="25" t="str">
        <f>Item15!C3</f>
        <v>unidade</v>
      </c>
      <c r="D17" s="25">
        <f>Item15!D3</f>
        <v>50</v>
      </c>
      <c r="E17" s="26">
        <f>Item15!E3</f>
        <v>24.92</v>
      </c>
      <c r="F17" s="26">
        <f t="shared" si="0"/>
        <v>1246</v>
      </c>
    </row>
    <row r="18" spans="1:6" x14ac:dyDescent="0.25">
      <c r="A18" s="25">
        <f>Item16!A3</f>
        <v>16</v>
      </c>
      <c r="B18" s="27" t="str">
        <f>Item16!B3</f>
        <v>Massa corrida PVA comum.</v>
      </c>
      <c r="C18" s="25" t="str">
        <f>Item16!C3</f>
        <v>18L</v>
      </c>
      <c r="D18" s="25">
        <f>Item16!D3</f>
        <v>40</v>
      </c>
      <c r="E18" s="26">
        <f>Item16!E3</f>
        <v>56.91</v>
      </c>
      <c r="F18" s="26">
        <f t="shared" si="0"/>
        <v>2276.4</v>
      </c>
    </row>
    <row r="19" spans="1:6" ht="30" x14ac:dyDescent="0.25">
      <c r="A19" s="25">
        <f>Item17!A3</f>
        <v>17</v>
      </c>
      <c r="B19" s="27" t="str">
        <f>Item17!B3</f>
        <v>Massa POLIÉSTER, ¼ lata (massa automotiva).</v>
      </c>
      <c r="C19" s="25" t="str">
        <f>Item17!C3</f>
        <v>unidade</v>
      </c>
      <c r="D19" s="25">
        <f>Item17!D3</f>
        <v>30</v>
      </c>
      <c r="E19" s="26">
        <f>Item17!E3</f>
        <v>26.06</v>
      </c>
      <c r="F19" s="26">
        <f t="shared" si="0"/>
        <v>781.8</v>
      </c>
    </row>
    <row r="20" spans="1:6" ht="360" x14ac:dyDescent="0.25">
      <c r="A20" s="25">
        <f>Item18!A3</f>
        <v>18</v>
      </c>
      <c r="B20" s="27" t="str">
        <f>Item18!B3</f>
        <v>Patch Panel Categoria 6
Especificações técnicas:
· O produto deve atender os requisitos estabelecidos nas normas para Categoria 6/ Classe E;
· 24 posições RJ-45;
· Corpo fabricado em termoplástico de alto impacto não propagante a chama (UL 94 V-0);
· Painel frontal em plástico com porta etiquetas para identificação;
· Possibilidade de crimpagem T568A ou T568B;
Deve possuir uma guia traseira feita em termoplástico para organizar os cabos;
Instalação em rack 19";
· Normas:
· EIA/TIA-569;
· ISO/IEC 11801;
· NBR 14565;
· ANSI/TIA-606.
Garantia do Fabricante:12 meses.
Modelo de referência: Furukawa Patch Panel Gigalan CAT6 24P</v>
      </c>
      <c r="C20" s="25" t="str">
        <f>Item18!C3</f>
        <v>unidade</v>
      </c>
      <c r="D20" s="25">
        <f>Item18!D3</f>
        <v>20</v>
      </c>
      <c r="E20" s="26">
        <f>Item18!E3</f>
        <v>175.78</v>
      </c>
      <c r="F20" s="26">
        <f t="shared" si="0"/>
        <v>3515.6</v>
      </c>
    </row>
    <row r="21" spans="1:6" ht="30" x14ac:dyDescent="0.25">
      <c r="A21" s="25">
        <f>Item19!A3</f>
        <v>19</v>
      </c>
      <c r="B21" s="27" t="str">
        <f>Item19!B3</f>
        <v>Plug 2P+T fêmea, padrão brasileiro, 10A; Conforme NBR 60884 e NBR 14136</v>
      </c>
      <c r="C21" s="25" t="str">
        <f>Item19!C3</f>
        <v>unidade</v>
      </c>
      <c r="D21" s="25">
        <f>Item19!D3</f>
        <v>300</v>
      </c>
      <c r="E21" s="26">
        <f>Item19!E3</f>
        <v>3.57</v>
      </c>
      <c r="F21" s="26">
        <f t="shared" si="0"/>
        <v>1071</v>
      </c>
    </row>
    <row r="22" spans="1:6" ht="30" x14ac:dyDescent="0.25">
      <c r="A22" s="25">
        <f>Item20!A3</f>
        <v>20</v>
      </c>
      <c r="B22" s="27" t="str">
        <f>Item20!B3</f>
        <v>Plug 2P+T fêmea, padrão brasileiro, 20 A; Conforme NBR 60884 e NBR 14136</v>
      </c>
      <c r="C22" s="25" t="str">
        <f>Item20!C3</f>
        <v>unidade</v>
      </c>
      <c r="D22" s="25">
        <f>Item20!D3</f>
        <v>200</v>
      </c>
      <c r="E22" s="26">
        <f>Item20!E3</f>
        <v>4.82</v>
      </c>
      <c r="F22" s="26">
        <f t="shared" si="0"/>
        <v>964</v>
      </c>
    </row>
    <row r="23" spans="1:6" x14ac:dyDescent="0.25">
      <c r="A23" s="25">
        <f>Item21!A3</f>
        <v>21</v>
      </c>
      <c r="B23" s="27" t="str">
        <f>Item21!B3</f>
        <v>Primer universal branco</v>
      </c>
      <c r="C23" s="25" t="str">
        <f>Item21!C3</f>
        <v>GL</v>
      </c>
      <c r="D23" s="25">
        <f>Item21!D3</f>
        <v>30</v>
      </c>
      <c r="E23" s="26">
        <f>Item21!E3</f>
        <v>144.4</v>
      </c>
      <c r="F23" s="26">
        <f t="shared" si="0"/>
        <v>4332</v>
      </c>
    </row>
    <row r="24" spans="1:6" x14ac:dyDescent="0.25">
      <c r="A24" s="25">
        <f>Item22!A3</f>
        <v>22</v>
      </c>
      <c r="B24" s="27" t="str">
        <f>Item22!B3</f>
        <v>Solvente para limpeza 05 LITROS</v>
      </c>
      <c r="C24" s="25" t="str">
        <f>Item22!C3</f>
        <v>L</v>
      </c>
      <c r="D24" s="25">
        <f>Item22!D3</f>
        <v>30</v>
      </c>
      <c r="E24" s="26">
        <f>Item22!E3</f>
        <v>62.46</v>
      </c>
      <c r="F24" s="26">
        <f t="shared" si="0"/>
        <v>1873.8</v>
      </c>
    </row>
    <row r="25" spans="1:6" ht="30" x14ac:dyDescent="0.25">
      <c r="A25" s="25">
        <f>Item23!A3</f>
        <v>23</v>
      </c>
      <c r="B25" s="27" t="str">
        <f>Item23!B3</f>
        <v>Tinta acrílica fosca, cor branco neve, sem cheiro, 18 LITROS</v>
      </c>
      <c r="C25" s="25" t="str">
        <f>Item23!C3</f>
        <v>L</v>
      </c>
      <c r="D25" s="25">
        <f>Item23!D3</f>
        <v>30</v>
      </c>
      <c r="E25" s="26">
        <f>Item23!E3</f>
        <v>157.31</v>
      </c>
      <c r="F25" s="26">
        <f t="shared" si="0"/>
        <v>4719.3</v>
      </c>
    </row>
    <row r="26" spans="1:6" ht="45" x14ac:dyDescent="0.25">
      <c r="A26" s="25">
        <f>Item24!A3</f>
        <v>24</v>
      </c>
      <c r="B26" s="27" t="str">
        <f>Item24!B3</f>
        <v>Tinta epox a base d’água premium, antimofo, cor branco, exterior/interior, galão de 3,6 litros secagem rápida.</v>
      </c>
      <c r="C26" s="25" t="str">
        <f>Item24!C3</f>
        <v>GL</v>
      </c>
      <c r="D26" s="25">
        <f>Item24!D3</f>
        <v>40</v>
      </c>
      <c r="E26" s="26">
        <f>Item24!E3</f>
        <v>203.2</v>
      </c>
      <c r="F26" s="26">
        <f t="shared" si="0"/>
        <v>8128</v>
      </c>
    </row>
    <row r="27" spans="1:6" x14ac:dyDescent="0.25">
      <c r="A27" s="28"/>
      <c r="B27" s="29"/>
      <c r="C27" s="30"/>
      <c r="D27" s="30"/>
      <c r="E27" s="31"/>
      <c r="F27" s="31"/>
    </row>
    <row r="28" spans="1:6" ht="15.75" thickBot="1" x14ac:dyDescent="0.3"/>
    <row r="29" spans="1:6" ht="16.5" thickTop="1" thickBot="1" x14ac:dyDescent="0.3">
      <c r="C29" s="22"/>
      <c r="D29" s="23" t="s">
        <v>29</v>
      </c>
      <c r="E29" s="24">
        <f>SUM(F:F)</f>
        <v>198907.39999999997</v>
      </c>
    </row>
    <row r="30" spans="1:6" ht="15.75" thickTop="1" x14ac:dyDescent="0.25">
      <c r="E30" s="3"/>
    </row>
    <row r="31" spans="1:6" x14ac:dyDescent="0.25">
      <c r="C31" s="21"/>
      <c r="D31" s="13"/>
    </row>
    <row r="33" spans="3:5" x14ac:dyDescent="0.25">
      <c r="C33" s="18"/>
      <c r="D33" s="19"/>
      <c r="E33" s="20"/>
    </row>
    <row r="34" spans="3:5" x14ac:dyDescent="0.25">
      <c r="C34" s="18"/>
      <c r="D34" s="19"/>
      <c r="E34" s="20"/>
    </row>
    <row r="35" spans="3:5" x14ac:dyDescent="0.25">
      <c r="C35" s="18"/>
      <c r="D35" s="19"/>
      <c r="E35" s="20"/>
    </row>
    <row r="36" spans="3:5" x14ac:dyDescent="0.25">
      <c r="C36" s="18"/>
      <c r="D36" s="19"/>
      <c r="E36" s="20"/>
    </row>
  </sheetData>
  <mergeCells count="1">
    <mergeCell ref="A1:F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topLeftCell="A4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ht="26.25" x14ac:dyDescent="0.25">
      <c r="A3" s="39">
        <v>3</v>
      </c>
      <c r="B3" s="35" t="s">
        <v>54</v>
      </c>
      <c r="C3" s="37" t="s">
        <v>6</v>
      </c>
      <c r="D3" s="37">
        <v>20</v>
      </c>
      <c r="E3" s="38">
        <f>IF(C20&lt;=25%,D20,MIN(E20:F20))</f>
        <v>1372.03</v>
      </c>
      <c r="F3" s="38">
        <f>MIN(H3:H17)</f>
        <v>1158</v>
      </c>
      <c r="G3" s="32" t="s">
        <v>147</v>
      </c>
      <c r="H3" s="16">
        <v>1158</v>
      </c>
      <c r="I3" s="17" t="str">
        <f>IF(H3="","",(IF($C$20&lt;25%,"n/a",IF(H3&lt;=($D$20+$A$20),H3,"Descartado"))))</f>
        <v>n/a</v>
      </c>
    </row>
    <row r="4" spans="1:9" ht="51.75" x14ac:dyDescent="0.25">
      <c r="A4" s="39"/>
      <c r="B4" s="36"/>
      <c r="C4" s="37"/>
      <c r="D4" s="37"/>
      <c r="E4" s="38"/>
      <c r="F4" s="38"/>
      <c r="G4" s="32" t="s">
        <v>83</v>
      </c>
      <c r="H4" s="16">
        <v>1437.19</v>
      </c>
      <c r="I4" s="17" t="str">
        <f t="shared" ref="I4:I17" si="0">IF(H4="","",(IF($C$20&lt;25%,"n/a",IF(H4&lt;=($D$20+$A$20),H4,"Descartado"))))</f>
        <v>n/a</v>
      </c>
    </row>
    <row r="5" spans="1:9" ht="39" x14ac:dyDescent="0.25">
      <c r="A5" s="39"/>
      <c r="B5" s="36"/>
      <c r="C5" s="37"/>
      <c r="D5" s="37"/>
      <c r="E5" s="38"/>
      <c r="F5" s="38"/>
      <c r="G5" s="32" t="s">
        <v>84</v>
      </c>
      <c r="H5" s="16">
        <v>1463.91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5" t="s">
        <v>146</v>
      </c>
      <c r="H6" s="16">
        <v>1429</v>
      </c>
      <c r="I6" s="17" t="str">
        <f t="shared" si="0"/>
        <v>n/a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143.4598453691253</v>
      </c>
      <c r="B20" s="8">
        <f>COUNT(H3:H17)</f>
        <v>4</v>
      </c>
      <c r="C20" s="9">
        <f>IF(B20&lt;2,"n/a",(A20/D20))</f>
        <v>0.1045602832074556</v>
      </c>
      <c r="D20" s="10">
        <f>IFERROR(ROUND(AVERAGE(H3:H17),2),"")</f>
        <v>1372.03</v>
      </c>
      <c r="E20" s="15" t="str">
        <f>IFERROR(ROUND(IF(B20&lt;2,"n/a",(IF(C20&lt;=25%,"n/a",AVERAGE(I3:I17)))),2),"n/a")</f>
        <v>n/a</v>
      </c>
      <c r="F20" s="10">
        <f>IFERROR(ROUND(MEDIAN(H3:H17),2),"")</f>
        <v>1433.1</v>
      </c>
      <c r="G20" s="11" t="str">
        <f>IFERROR(INDEX(G3:G17,MATCH(H20,H3:H17,0)),"")</f>
        <v>R3 COMERCIO E
SERVICOS LTDA</v>
      </c>
      <c r="H20" s="12">
        <f>F3</f>
        <v>1158</v>
      </c>
    </row>
    <row r="22" spans="1:9" x14ac:dyDescent="0.25">
      <c r="G22" s="13" t="s">
        <v>19</v>
      </c>
      <c r="H22" s="14">
        <f>IF(C20&lt;=25%,D20,MIN(E20:F20))</f>
        <v>1372.03</v>
      </c>
    </row>
    <row r="23" spans="1:9" x14ac:dyDescent="0.25">
      <c r="G23" s="13" t="s">
        <v>5</v>
      </c>
      <c r="H23" s="14">
        <f>ROUND(H22,2)*D3</f>
        <v>27440.6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4</v>
      </c>
      <c r="B3" s="35" t="s">
        <v>55</v>
      </c>
      <c r="C3" s="37" t="s">
        <v>6</v>
      </c>
      <c r="D3" s="37">
        <v>40</v>
      </c>
      <c r="E3" s="38">
        <f>IF(C20&lt;=25%,D20,MIN(E20:F20))</f>
        <v>131.07</v>
      </c>
      <c r="F3" s="38">
        <f>MIN(H3:H17)</f>
        <v>104.77</v>
      </c>
      <c r="G3" s="32" t="s">
        <v>138</v>
      </c>
      <c r="H3" s="16">
        <v>240</v>
      </c>
      <c r="I3" s="17" t="str">
        <f>IF(H3="","",(IF($C$20&lt;25%,"n/a",IF(H3&lt;=($D$20+$A$20),H3,"Descartado"))))</f>
        <v>Descartado</v>
      </c>
    </row>
    <row r="4" spans="1:9" ht="26.25" x14ac:dyDescent="0.25">
      <c r="A4" s="39"/>
      <c r="B4" s="36"/>
      <c r="C4" s="37"/>
      <c r="D4" s="37"/>
      <c r="E4" s="38"/>
      <c r="F4" s="38"/>
      <c r="G4" s="32" t="s">
        <v>148</v>
      </c>
      <c r="H4" s="16">
        <v>104.77</v>
      </c>
      <c r="I4" s="17">
        <f t="shared" ref="I4:I17" si="0">IF(H4="","",(IF($C$20&lt;25%,"n/a",IF(H4&lt;=($D$20+$A$20),H4,"Descartado"))))</f>
        <v>104.77</v>
      </c>
    </row>
    <row r="5" spans="1:9" x14ac:dyDescent="0.25">
      <c r="A5" s="39"/>
      <c r="B5" s="36"/>
      <c r="C5" s="37"/>
      <c r="D5" s="37"/>
      <c r="E5" s="38"/>
      <c r="F5" s="38"/>
      <c r="G5" s="5" t="s">
        <v>149</v>
      </c>
      <c r="H5" s="16">
        <v>157.77000000000001</v>
      </c>
      <c r="I5" s="17">
        <f t="shared" si="0"/>
        <v>157.77000000000001</v>
      </c>
    </row>
    <row r="6" spans="1:9" x14ac:dyDescent="0.25">
      <c r="A6" s="39"/>
      <c r="B6" s="36"/>
      <c r="C6" s="37"/>
      <c r="D6" s="37"/>
      <c r="E6" s="38"/>
      <c r="F6" s="38"/>
      <c r="G6" s="5" t="s">
        <v>150</v>
      </c>
      <c r="H6" s="16">
        <v>130.66999999999999</v>
      </c>
      <c r="I6" s="17">
        <f t="shared" si="0"/>
        <v>130.66999999999999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58.606167693056598</v>
      </c>
      <c r="B20" s="8">
        <f>COUNT(H3:H17)</f>
        <v>4</v>
      </c>
      <c r="C20" s="9">
        <f>IF(B20&lt;2,"n/a",(A20/D20))</f>
        <v>0.37022215851583445</v>
      </c>
      <c r="D20" s="10">
        <f>IFERROR(ROUND(AVERAGE(H3:H17),2),"")</f>
        <v>158.30000000000001</v>
      </c>
      <c r="E20" s="15">
        <f>IFERROR(ROUND(IF(B20&lt;2,"n/a",(IF(C20&lt;=25%,"n/a",AVERAGE(I3:I17)))),2),"n/a")</f>
        <v>131.07</v>
      </c>
      <c r="F20" s="10">
        <f>IFERROR(ROUND(MEDIAN(H3:H17),2),"")</f>
        <v>144.22</v>
      </c>
      <c r="G20" s="11" t="str">
        <f>IFERROR(INDEX(G3:G17,MATCH(H20,H3:H17,0)),"")</f>
        <v>R3 COMERCIO E SERVICOS  (ATUALIZ)</v>
      </c>
      <c r="H20" s="12">
        <f>F3</f>
        <v>104.77</v>
      </c>
    </row>
    <row r="22" spans="1:9" x14ac:dyDescent="0.25">
      <c r="G22" s="13" t="s">
        <v>19</v>
      </c>
      <c r="H22" s="14">
        <f>IF(C20&lt;=25%,D20,MIN(E20:F20))</f>
        <v>131.07</v>
      </c>
    </row>
    <row r="23" spans="1:9" x14ac:dyDescent="0.25">
      <c r="G23" s="13" t="s">
        <v>5</v>
      </c>
      <c r="H23" s="14">
        <f>ROUND(H22,2)*D3</f>
        <v>5242.7999999999993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5</v>
      </c>
      <c r="B3" s="35" t="s">
        <v>56</v>
      </c>
      <c r="C3" s="37" t="s">
        <v>76</v>
      </c>
      <c r="D3" s="37">
        <v>40</v>
      </c>
      <c r="E3" s="38">
        <f>IF(C20&lt;=25%,D20,MIN(E20:F20))</f>
        <v>131.07</v>
      </c>
      <c r="F3" s="38">
        <f>MIN(H3:H17)</f>
        <v>104.77</v>
      </c>
      <c r="G3" s="32" t="s">
        <v>138</v>
      </c>
      <c r="H3" s="16">
        <v>240</v>
      </c>
      <c r="I3" s="17" t="str">
        <f>IF(H3="","",(IF($C$20&lt;25%,"n/a",IF(H3&lt;=($D$20+$A$20),H3,"Descartado"))))</f>
        <v>Descartado</v>
      </c>
    </row>
    <row r="4" spans="1:9" ht="26.25" x14ac:dyDescent="0.25">
      <c r="A4" s="39"/>
      <c r="B4" s="36"/>
      <c r="C4" s="37"/>
      <c r="D4" s="37"/>
      <c r="E4" s="38"/>
      <c r="F4" s="38"/>
      <c r="G4" s="32" t="s">
        <v>148</v>
      </c>
      <c r="H4" s="16">
        <v>104.77</v>
      </c>
      <c r="I4" s="17">
        <f t="shared" ref="I4:I17" si="0">IF(H4="","",(IF($C$20&lt;25%,"n/a",IF(H4&lt;=($D$20+$A$20),H4,"Descartado"))))</f>
        <v>104.77</v>
      </c>
    </row>
    <row r="5" spans="1:9" x14ac:dyDescent="0.25">
      <c r="A5" s="39"/>
      <c r="B5" s="36"/>
      <c r="C5" s="37"/>
      <c r="D5" s="37"/>
      <c r="E5" s="38"/>
      <c r="F5" s="38"/>
      <c r="G5" s="5" t="s">
        <v>149</v>
      </c>
      <c r="H5" s="16">
        <v>157.77000000000001</v>
      </c>
      <c r="I5" s="17">
        <f t="shared" si="0"/>
        <v>157.77000000000001</v>
      </c>
    </row>
    <row r="6" spans="1:9" x14ac:dyDescent="0.25">
      <c r="A6" s="39"/>
      <c r="B6" s="36"/>
      <c r="C6" s="37"/>
      <c r="D6" s="37"/>
      <c r="E6" s="38"/>
      <c r="F6" s="38"/>
      <c r="G6" s="5" t="s">
        <v>150</v>
      </c>
      <c r="H6" s="16">
        <v>130.66999999999999</v>
      </c>
      <c r="I6" s="17">
        <f t="shared" si="0"/>
        <v>130.66999999999999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58.606167693056598</v>
      </c>
      <c r="B20" s="8">
        <f>COUNT(H3:H17)</f>
        <v>4</v>
      </c>
      <c r="C20" s="9">
        <f>IF(B20&lt;2,"n/a",(A20/D20))</f>
        <v>0.37022215851583445</v>
      </c>
      <c r="D20" s="10">
        <f>IFERROR(ROUND(AVERAGE(H3:H17),2),"")</f>
        <v>158.30000000000001</v>
      </c>
      <c r="E20" s="15">
        <f>IFERROR(ROUND(IF(B20&lt;2,"n/a",(IF(C20&lt;=25%,"n/a",AVERAGE(I3:I17)))),2),"n/a")</f>
        <v>131.07</v>
      </c>
      <c r="F20" s="10">
        <f>IFERROR(ROUND(MEDIAN(H3:H17),2),"")</f>
        <v>144.22</v>
      </c>
      <c r="G20" s="11" t="str">
        <f>IFERROR(INDEX(G3:G17,MATCH(H20,H3:H17,0)),"")</f>
        <v>R3 COMERCIO E SERVICOS  (ATUALIZ)</v>
      </c>
      <c r="H20" s="12">
        <f>F3</f>
        <v>104.77</v>
      </c>
    </row>
    <row r="22" spans="1:9" x14ac:dyDescent="0.25">
      <c r="G22" s="13" t="s">
        <v>19</v>
      </c>
      <c r="H22" s="14">
        <f>IF(C20&lt;=25%,D20,MIN(E20:F20))</f>
        <v>131.07</v>
      </c>
    </row>
    <row r="23" spans="1:9" x14ac:dyDescent="0.25">
      <c r="G23" s="13" t="s">
        <v>5</v>
      </c>
      <c r="H23" s="14">
        <f>ROUND(H22,2)*D3</f>
        <v>5242.7999999999993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6</v>
      </c>
      <c r="B3" s="35" t="s">
        <v>57</v>
      </c>
      <c r="C3" s="37" t="s">
        <v>6</v>
      </c>
      <c r="D3" s="37">
        <v>40</v>
      </c>
      <c r="E3" s="38">
        <f>IF(C20&lt;=25%,D20,MIN(E20:F20))</f>
        <v>131.07</v>
      </c>
      <c r="F3" s="38">
        <f>MIN(H3:H17)</f>
        <v>104.77</v>
      </c>
      <c r="G3" s="32" t="s">
        <v>138</v>
      </c>
      <c r="H3" s="16">
        <v>240</v>
      </c>
      <c r="I3" s="17" t="str">
        <f>IF(H3="","",(IF($C$20&lt;25%,"n/a",IF(H3&lt;=($D$20+$A$20),H3,"Descartado"))))</f>
        <v>Descartado</v>
      </c>
    </row>
    <row r="4" spans="1:9" ht="26.25" x14ac:dyDescent="0.25">
      <c r="A4" s="39"/>
      <c r="B4" s="36"/>
      <c r="C4" s="37"/>
      <c r="D4" s="37"/>
      <c r="E4" s="38"/>
      <c r="F4" s="38"/>
      <c r="G4" s="32" t="s">
        <v>148</v>
      </c>
      <c r="H4" s="16">
        <v>104.77</v>
      </c>
      <c r="I4" s="17">
        <f t="shared" ref="I4:I17" si="0">IF(H4="","",(IF($C$20&lt;25%,"n/a",IF(H4&lt;=($D$20+$A$20),H4,"Descartado"))))</f>
        <v>104.77</v>
      </c>
    </row>
    <row r="5" spans="1:9" x14ac:dyDescent="0.25">
      <c r="A5" s="39"/>
      <c r="B5" s="36"/>
      <c r="C5" s="37"/>
      <c r="D5" s="37"/>
      <c r="E5" s="38"/>
      <c r="F5" s="38"/>
      <c r="G5" s="5" t="s">
        <v>149</v>
      </c>
      <c r="H5" s="16">
        <v>157.77000000000001</v>
      </c>
      <c r="I5" s="17">
        <f t="shared" si="0"/>
        <v>157.77000000000001</v>
      </c>
    </row>
    <row r="6" spans="1:9" x14ac:dyDescent="0.25">
      <c r="A6" s="39"/>
      <c r="B6" s="36"/>
      <c r="C6" s="37"/>
      <c r="D6" s="37"/>
      <c r="E6" s="38"/>
      <c r="F6" s="38"/>
      <c r="G6" s="5" t="s">
        <v>150</v>
      </c>
      <c r="H6" s="16">
        <v>130.66999999999999</v>
      </c>
      <c r="I6" s="17">
        <f t="shared" si="0"/>
        <v>130.66999999999999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58.606167693056598</v>
      </c>
      <c r="B20" s="8">
        <f>COUNT(H3:H17)</f>
        <v>4</v>
      </c>
      <c r="C20" s="9">
        <f>IF(B20&lt;2,"n/a",(A20/D20))</f>
        <v>0.37022215851583445</v>
      </c>
      <c r="D20" s="10">
        <f>IFERROR(ROUND(AVERAGE(H3:H17),2),"")</f>
        <v>158.30000000000001</v>
      </c>
      <c r="E20" s="15">
        <f>IFERROR(ROUND(IF(B20&lt;2,"n/a",(IF(C20&lt;=25%,"n/a",AVERAGE(I3:I17)))),2),"n/a")</f>
        <v>131.07</v>
      </c>
      <c r="F20" s="10">
        <f>IFERROR(ROUND(MEDIAN(H3:H17),2),"")</f>
        <v>144.22</v>
      </c>
      <c r="G20" s="11" t="str">
        <f>IFERROR(INDEX(G3:G17,MATCH(H20,H3:H17,0)),"")</f>
        <v>R3 COMERCIO E SERVICOS  (ATUALIZ)</v>
      </c>
      <c r="H20" s="12">
        <f>F3</f>
        <v>104.77</v>
      </c>
    </row>
    <row r="22" spans="1:9" x14ac:dyDescent="0.25">
      <c r="G22" s="13" t="s">
        <v>19</v>
      </c>
      <c r="H22" s="14">
        <f>IF(C20&lt;=25%,D20,MIN(E20:F20))</f>
        <v>131.07</v>
      </c>
    </row>
    <row r="23" spans="1:9" x14ac:dyDescent="0.25">
      <c r="G23" s="13" t="s">
        <v>5</v>
      </c>
      <c r="H23" s="14">
        <f>ROUND(H22,2)*D3</f>
        <v>5242.7999999999993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" sqref="H3: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7</v>
      </c>
      <c r="B3" s="35" t="s">
        <v>58</v>
      </c>
      <c r="C3" s="37" t="s">
        <v>6</v>
      </c>
      <c r="D3" s="37">
        <v>40</v>
      </c>
      <c r="E3" s="38">
        <f>IF(C20&lt;=25%,D20,MIN(E20:F20))</f>
        <v>131.07</v>
      </c>
      <c r="F3" s="38">
        <f>MIN(H3:H17)</f>
        <v>104.77</v>
      </c>
      <c r="G3" s="32" t="s">
        <v>138</v>
      </c>
      <c r="H3" s="16">
        <v>240</v>
      </c>
      <c r="I3" s="17" t="str">
        <f>IF(H3="","",(IF($C$20&lt;25%,"n/a",IF(H3&lt;=($D$20+$A$20),H3,"Descartado"))))</f>
        <v>Descartado</v>
      </c>
    </row>
    <row r="4" spans="1:9" ht="26.25" x14ac:dyDescent="0.25">
      <c r="A4" s="39"/>
      <c r="B4" s="36"/>
      <c r="C4" s="37"/>
      <c r="D4" s="37"/>
      <c r="E4" s="38"/>
      <c r="F4" s="38"/>
      <c r="G4" s="32" t="s">
        <v>148</v>
      </c>
      <c r="H4" s="16">
        <v>104.77</v>
      </c>
      <c r="I4" s="17">
        <f t="shared" ref="I4:I17" si="0">IF(H4="","",(IF($C$20&lt;25%,"n/a",IF(H4&lt;=($D$20+$A$20),H4,"Descartado"))))</f>
        <v>104.77</v>
      </c>
    </row>
    <row r="5" spans="1:9" x14ac:dyDescent="0.25">
      <c r="A5" s="39"/>
      <c r="B5" s="36"/>
      <c r="C5" s="37"/>
      <c r="D5" s="37"/>
      <c r="E5" s="38"/>
      <c r="F5" s="38"/>
      <c r="G5" s="5" t="s">
        <v>149</v>
      </c>
      <c r="H5" s="16">
        <v>157.77000000000001</v>
      </c>
      <c r="I5" s="17">
        <f t="shared" si="0"/>
        <v>157.77000000000001</v>
      </c>
    </row>
    <row r="6" spans="1:9" x14ac:dyDescent="0.25">
      <c r="A6" s="39"/>
      <c r="B6" s="36"/>
      <c r="C6" s="37"/>
      <c r="D6" s="37"/>
      <c r="E6" s="38"/>
      <c r="F6" s="38"/>
      <c r="G6" s="5" t="s">
        <v>150</v>
      </c>
      <c r="H6" s="16">
        <v>130.66999999999999</v>
      </c>
      <c r="I6" s="17">
        <f t="shared" si="0"/>
        <v>130.66999999999999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58.606167693056598</v>
      </c>
      <c r="B20" s="8">
        <f>COUNT(H3:H17)</f>
        <v>4</v>
      </c>
      <c r="C20" s="9">
        <f>IF(B20&lt;2,"n/a",(A20/D20))</f>
        <v>0.37022215851583445</v>
      </c>
      <c r="D20" s="10">
        <f>IFERROR(ROUND(AVERAGE(H3:H17),2),"")</f>
        <v>158.30000000000001</v>
      </c>
      <c r="E20" s="15">
        <f>IFERROR(ROUND(IF(B20&lt;2,"n/a",(IF(C20&lt;=25%,"n/a",AVERAGE(I3:I17)))),2),"n/a")</f>
        <v>131.07</v>
      </c>
      <c r="F20" s="10">
        <f>IFERROR(ROUND(MEDIAN(H3:H17),2),"")</f>
        <v>144.22</v>
      </c>
      <c r="G20" s="11" t="str">
        <f>IFERROR(INDEX(G3:G17,MATCH(H20,H3:H17,0)),"")</f>
        <v>R3 COMERCIO E SERVICOS  (ATUALIZ)</v>
      </c>
      <c r="H20" s="12">
        <f>F3</f>
        <v>104.77</v>
      </c>
    </row>
    <row r="22" spans="1:9" x14ac:dyDescent="0.25">
      <c r="G22" s="13" t="s">
        <v>19</v>
      </c>
      <c r="H22" s="14">
        <f>IF(C20&lt;=25%,D20,MIN(E20:F20))</f>
        <v>131.07</v>
      </c>
    </row>
    <row r="23" spans="1:9" x14ac:dyDescent="0.25">
      <c r="G23" s="13" t="s">
        <v>5</v>
      </c>
      <c r="H23" s="14">
        <f>ROUND(H22,2)*D3</f>
        <v>5242.7999999999993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9">
        <v>8</v>
      </c>
      <c r="B3" s="35" t="s">
        <v>59</v>
      </c>
      <c r="C3" s="37" t="s">
        <v>6</v>
      </c>
      <c r="D3" s="37">
        <v>500</v>
      </c>
      <c r="E3" s="38">
        <f>IF(C20&lt;=25%,D20,MIN(E20:F20))</f>
        <v>8.15</v>
      </c>
      <c r="F3" s="38">
        <f>MIN(H3:H17)</f>
        <v>7.63</v>
      </c>
      <c r="G3" s="5" t="s">
        <v>139</v>
      </c>
      <c r="H3" s="16">
        <v>9.19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5" t="s">
        <v>141</v>
      </c>
      <c r="H4" s="16">
        <v>7.63</v>
      </c>
      <c r="I4" s="17" t="str">
        <f>IF(H4="","",(IF($C$20&lt;25%,"n/a",IF(H4&lt;=($D$20+$A$20),H4,"Descartado"))))</f>
        <v>n/a</v>
      </c>
    </row>
    <row r="5" spans="1:9" x14ac:dyDescent="0.25">
      <c r="A5" s="39"/>
      <c r="B5" s="36"/>
      <c r="C5" s="37"/>
      <c r="D5" s="37"/>
      <c r="E5" s="38"/>
      <c r="F5" s="38"/>
      <c r="G5" s="5" t="s">
        <v>140</v>
      </c>
      <c r="H5" s="16">
        <v>7.63</v>
      </c>
      <c r="I5" s="17" t="str">
        <f>IF(H5="","",(IF($C$20&lt;25%,"n/a",IF(H5&lt;=($D$20+$A$20),H5,"Descartado"))))</f>
        <v>n/a</v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>IF(H6="","",(IF($C$20&lt;25%,"n/a",IF(H6&lt;=($D$20+$A$20),H6,"Descartado"))))</f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ref="I7:I17" si="0">IF(H7="","",(IF($C$20&lt;25%,"n/a",IF(H7&lt;=($D$20+$A$20),H7,"Descartado"))))</f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0.90066641993581587</v>
      </c>
      <c r="B20" s="8">
        <f>COUNT(H3:H17)</f>
        <v>3</v>
      </c>
      <c r="C20" s="9">
        <f>IF(B20&lt;2,"n/a",(A20/D20))</f>
        <v>0.11051121717003876</v>
      </c>
      <c r="D20" s="10">
        <f>IFERROR(ROUND(AVERAGE(H3:H17),2),"")</f>
        <v>8.15</v>
      </c>
      <c r="E20" s="15" t="str">
        <f>IFERROR(ROUND(IF(B20&lt;2,"n/a",(IF(C20&lt;=25%,"n/a",AVERAGE(I3:I17)))),2),"n/a")</f>
        <v>n/a</v>
      </c>
      <c r="F20" s="10">
        <f>IFERROR(ROUND(MEDIAN(H3:H17),2),"")</f>
        <v>7.63</v>
      </c>
      <c r="G20" s="11" t="str">
        <f>IFERROR(INDEX(G3:G17,MATCH(H20,H3:H17,0)),"")</f>
        <v>I.R. COMERCIO E MATERIAIS (atualiz)7,29</v>
      </c>
      <c r="H20" s="12">
        <f>F3</f>
        <v>7.63</v>
      </c>
    </row>
    <row r="22" spans="1:9" x14ac:dyDescent="0.25">
      <c r="G22" s="13" t="s">
        <v>19</v>
      </c>
      <c r="H22" s="14">
        <f>IF(C20&lt;=25%,D20,MIN(E20:F20))</f>
        <v>8.15</v>
      </c>
    </row>
    <row r="23" spans="1:9" x14ac:dyDescent="0.25">
      <c r="G23" s="13" t="s">
        <v>5</v>
      </c>
      <c r="H23" s="14">
        <f>ROUND(H22,2)*D3</f>
        <v>4075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7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ht="26.25" x14ac:dyDescent="0.25">
      <c r="A3" s="39">
        <v>9</v>
      </c>
      <c r="B3" s="35" t="s">
        <v>60</v>
      </c>
      <c r="C3" s="37" t="s">
        <v>6</v>
      </c>
      <c r="D3" s="37">
        <v>1000</v>
      </c>
      <c r="E3" s="38">
        <f>IF(C20&lt;=25%,D20,MIN(E20:F20))</f>
        <v>1.5</v>
      </c>
      <c r="F3" s="38">
        <f>MIN(H3:H17)</f>
        <v>0.47</v>
      </c>
      <c r="G3" s="32" t="s">
        <v>85</v>
      </c>
      <c r="H3" s="16">
        <v>1.5</v>
      </c>
      <c r="I3" s="17">
        <f>IF(H3="","",(IF($C$20&lt;25%,"n/a",IF(H3&lt;=($D$20+$A$20),H3,"Descartado"))))</f>
        <v>1.5</v>
      </c>
    </row>
    <row r="4" spans="1:9" x14ac:dyDescent="0.25">
      <c r="A4" s="39"/>
      <c r="B4" s="36"/>
      <c r="C4" s="37"/>
      <c r="D4" s="37"/>
      <c r="E4" s="38"/>
      <c r="F4" s="38"/>
      <c r="G4" s="5" t="s">
        <v>151</v>
      </c>
      <c r="H4" s="16">
        <v>0.47</v>
      </c>
      <c r="I4" s="17">
        <f t="shared" ref="I4:I7" si="0">IF(H4="","",(IF($C$20&lt;25%,"n/a",IF(H4&lt;=($D$20+$A$20),H4,"Descartado"))))</f>
        <v>0.47</v>
      </c>
    </row>
    <row r="5" spans="1:9" x14ac:dyDescent="0.25">
      <c r="A5" s="39"/>
      <c r="B5" s="36"/>
      <c r="C5" s="37"/>
      <c r="D5" s="37"/>
      <c r="E5" s="38"/>
      <c r="F5" s="38"/>
      <c r="G5" s="5" t="s">
        <v>152</v>
      </c>
      <c r="H5" s="16">
        <v>0.48</v>
      </c>
      <c r="I5" s="17">
        <f t="shared" si="0"/>
        <v>0.48</v>
      </c>
    </row>
    <row r="6" spans="1:9" x14ac:dyDescent="0.25">
      <c r="A6" s="39"/>
      <c r="B6" s="36"/>
      <c r="C6" s="37"/>
      <c r="D6" s="37"/>
      <c r="E6" s="38"/>
      <c r="F6" s="38"/>
      <c r="G6" s="5" t="s">
        <v>153</v>
      </c>
      <c r="H6" s="16">
        <v>4.46</v>
      </c>
      <c r="I6" s="17">
        <f t="shared" si="0"/>
        <v>4.46</v>
      </c>
    </row>
    <row r="7" spans="1:9" x14ac:dyDescent="0.25">
      <c r="A7" s="39"/>
      <c r="B7" s="36"/>
      <c r="C7" s="37"/>
      <c r="D7" s="37"/>
      <c r="E7" s="38"/>
      <c r="F7" s="38"/>
      <c r="G7" s="5" t="s">
        <v>154</v>
      </c>
      <c r="H7" s="16">
        <v>4.8499999999999996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I8" s="17"/>
    </row>
    <row r="9" spans="1:9" x14ac:dyDescent="0.25">
      <c r="A9" s="39"/>
      <c r="B9" s="36"/>
      <c r="C9" s="37"/>
      <c r="D9" s="37"/>
      <c r="E9" s="38"/>
      <c r="F9" s="38"/>
      <c r="I9" s="17"/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ref="I10:I17" si="1">IF(H10="","",(IF($C$20&lt;25%,"n/a",IF(H10&lt;=($D$20+$A$20),H10,"Descartado"))))</f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1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1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1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1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1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1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1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33" t="s">
        <v>18</v>
      </c>
      <c r="H19" s="33"/>
    </row>
    <row r="20" spans="1:9" x14ac:dyDescent="0.25">
      <c r="A20" s="8">
        <f>IF(B20&lt;2,"n/a",(_xlfn.STDEV.S(H3:H17)))</f>
        <v>2.1480153630735512</v>
      </c>
      <c r="B20" s="8">
        <f>COUNT(H3:H17)</f>
        <v>5</v>
      </c>
      <c r="C20" s="9">
        <f>IF(B20&lt;2,"n/a",(A20/D20))</f>
        <v>0.91404909066959628</v>
      </c>
      <c r="D20" s="10">
        <f>IFERROR(ROUND(AVERAGE(H3:H17),2),"")</f>
        <v>2.35</v>
      </c>
      <c r="E20" s="15">
        <f>IFERROR(ROUND(IF(B20&lt;2,"n/a",(IF(C20&lt;=25%,"n/a",AVERAGE(I3:I17)))),2),"n/a")</f>
        <v>1.73</v>
      </c>
      <c r="F20" s="10">
        <f>IFERROR(ROUND(MEDIAN(H3:H17),2),"")</f>
        <v>1.5</v>
      </c>
      <c r="G20" s="11" t="str">
        <f>IFERROR(INDEX(G3:G17,MATCH(H20,H3:H17,0)),"")</f>
        <v>ELETROQUIP COMERCIO</v>
      </c>
      <c r="H20" s="12">
        <f>F3</f>
        <v>0.47</v>
      </c>
    </row>
    <row r="22" spans="1:9" x14ac:dyDescent="0.25">
      <c r="G22" s="13" t="s">
        <v>19</v>
      </c>
      <c r="H22" s="14">
        <f>IF(C20&lt;=25%,D20,MIN(E20:F20))</f>
        <v>1.5</v>
      </c>
    </row>
    <row r="23" spans="1:9" x14ac:dyDescent="0.25">
      <c r="G23" s="13" t="s">
        <v>5</v>
      </c>
      <c r="H23" s="14">
        <f>ROUND(H22,2)*D3</f>
        <v>1500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27</vt:i4>
      </vt:variant>
      <vt:variant>
        <vt:lpstr>Intervalos nomeados</vt:lpstr>
      </vt:variant>
      <vt:variant>
        <vt:i4>2</vt:i4>
      </vt:variant>
    </vt:vector>
  </HeadingPairs>
  <TitlesOfParts>
    <vt:vector size="29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Ana Paula Saldanha De Oliveira</cp:lastModifiedBy>
  <cp:lastPrinted>2024-09-16T16:26:05Z</cp:lastPrinted>
  <dcterms:created xsi:type="dcterms:W3CDTF">2023-11-07T17:10:34Z</dcterms:created>
  <dcterms:modified xsi:type="dcterms:W3CDTF">2024-09-16T16:27:19Z</dcterms:modified>
</cp:coreProperties>
</file>