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7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TOTAL" sheetId="3" r:id="rId8"/>
  </sheets>
  <definedNames>
    <definedName name="_xlnm.Print_Area" localSheetId="7">TOTAL!$A$1:$F$31</definedName>
  </definedNames>
  <calcPr calcId="145621"/>
</workbook>
</file>

<file path=xl/calcChain.xml><?xml version="1.0" encoding="utf-8"?>
<calcChain xmlns="http://schemas.openxmlformats.org/spreadsheetml/2006/main">
  <c r="F12" i="3" l="1"/>
  <c r="F6" i="3"/>
  <c r="E4" i="3" l="1"/>
  <c r="C4" i="3"/>
  <c r="H5" i="2"/>
  <c r="H4" i="9"/>
  <c r="H4" i="8"/>
  <c r="H4" i="7"/>
  <c r="H5" i="6"/>
  <c r="H5" i="5"/>
  <c r="H4" i="4"/>
  <c r="H4" i="2"/>
  <c r="E30" i="3" l="1"/>
  <c r="B29" i="3" s="1"/>
  <c r="E28" i="3"/>
  <c r="B27" i="3" s="1"/>
  <c r="E26" i="3"/>
  <c r="B25" i="3" s="1"/>
  <c r="E24" i="3"/>
  <c r="B23" i="3" s="1"/>
  <c r="E22" i="3"/>
  <c r="B21" i="3" s="1"/>
  <c r="E20" i="3"/>
  <c r="B19" i="3" s="1"/>
  <c r="E18" i="3"/>
  <c r="B17" i="3" s="1"/>
  <c r="B30" i="3"/>
  <c r="B28" i="3"/>
  <c r="B26" i="3"/>
  <c r="B24" i="3"/>
  <c r="B22" i="3"/>
  <c r="B20" i="3"/>
  <c r="B18" i="3"/>
  <c r="D30" i="3"/>
  <c r="D28" i="3"/>
  <c r="D26" i="3"/>
  <c r="D24" i="3"/>
  <c r="D22" i="3"/>
  <c r="D20" i="3"/>
  <c r="D18" i="3"/>
  <c r="C30" i="3"/>
  <c r="C28" i="3"/>
  <c r="C26" i="3"/>
  <c r="C24" i="3"/>
  <c r="C22" i="3"/>
  <c r="C20" i="3"/>
  <c r="C18" i="3"/>
  <c r="F30" i="3" l="1"/>
  <c r="F18" i="3"/>
  <c r="F22" i="3"/>
  <c r="F26" i="3"/>
  <c r="F20" i="3"/>
  <c r="F28" i="3"/>
  <c r="F24" i="3"/>
  <c r="D5" i="3"/>
  <c r="C5" i="3"/>
  <c r="B5" i="3"/>
  <c r="H23" i="9"/>
  <c r="B20" i="9" s="1"/>
  <c r="F20" i="9"/>
  <c r="D20" i="9"/>
  <c r="I17" i="9"/>
  <c r="I16" i="9"/>
  <c r="I15" i="9"/>
  <c r="I14" i="9"/>
  <c r="I13" i="9"/>
  <c r="I12" i="9"/>
  <c r="I11" i="9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I7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B7" i="3"/>
  <c r="D7" i="3"/>
  <c r="D8" i="3"/>
  <c r="D9" i="3"/>
  <c r="D10" i="3"/>
  <c r="D11" i="3"/>
  <c r="C11" i="3"/>
  <c r="C10" i="3"/>
  <c r="C9" i="3"/>
  <c r="C8" i="3"/>
  <c r="C7" i="3"/>
  <c r="B11" i="3"/>
  <c r="B10" i="3"/>
  <c r="B9" i="3"/>
  <c r="B8" i="3"/>
  <c r="D4" i="3"/>
  <c r="F4" i="3" s="1"/>
  <c r="B4" i="3"/>
  <c r="F20" i="2"/>
  <c r="D20" i="2"/>
  <c r="I12" i="2"/>
  <c r="I13" i="2"/>
  <c r="I14" i="2"/>
  <c r="I15" i="2"/>
  <c r="I16" i="2"/>
  <c r="I17" i="2"/>
  <c r="I6" i="7"/>
  <c r="I6" i="5"/>
  <c r="I10" i="2"/>
  <c r="I9" i="2"/>
  <c r="I8" i="2"/>
  <c r="I11" i="2"/>
  <c r="I7" i="2"/>
  <c r="I6" i="6"/>
  <c r="C20" i="2" l="1"/>
  <c r="C20" i="7"/>
  <c r="I4" i="7" s="1"/>
  <c r="C20" i="6"/>
  <c r="I3" i="6" s="1"/>
  <c r="F31" i="3"/>
  <c r="I5" i="7"/>
  <c r="I3" i="7"/>
  <c r="B20" i="4"/>
  <c r="C20" i="4" s="1"/>
  <c r="I6" i="4" s="1"/>
  <c r="C20" i="8"/>
  <c r="I7" i="8" s="1"/>
  <c r="C20" i="5"/>
  <c r="C20" i="9"/>
  <c r="I10" i="9" s="1"/>
  <c r="E20" i="7"/>
  <c r="D22" i="7" s="1"/>
  <c r="I8" i="9" l="1"/>
  <c r="I9" i="9"/>
  <c r="I6" i="9"/>
  <c r="I7" i="9"/>
  <c r="E20" i="8"/>
  <c r="I6" i="8"/>
  <c r="I5" i="2"/>
  <c r="I6" i="2"/>
  <c r="I3" i="2"/>
  <c r="I4" i="2"/>
  <c r="E20" i="2" s="1"/>
  <c r="D22" i="2" s="1"/>
  <c r="I5" i="6"/>
  <c r="I4" i="6"/>
  <c r="E20" i="6" s="1"/>
  <c r="D22" i="6" s="1"/>
  <c r="E8" i="3" s="1"/>
  <c r="F8" i="3" s="1"/>
  <c r="G8" i="3" s="1"/>
  <c r="E9" i="3"/>
  <c r="F9" i="3" s="1"/>
  <c r="G9" i="3" s="1"/>
  <c r="D23" i="7"/>
  <c r="D23" i="6"/>
  <c r="I3" i="4"/>
  <c r="I4" i="4"/>
  <c r="I5" i="4"/>
  <c r="I4" i="5"/>
  <c r="E20" i="5" s="1"/>
  <c r="D22" i="5" s="1"/>
  <c r="I5" i="5"/>
  <c r="I3" i="5"/>
  <c r="I3" i="8"/>
  <c r="I5" i="8"/>
  <c r="I4" i="8"/>
  <c r="D22" i="8"/>
  <c r="I3" i="9"/>
  <c r="I5" i="9"/>
  <c r="I4" i="9"/>
  <c r="E20" i="9" l="1"/>
  <c r="D22" i="9" s="1"/>
  <c r="E11" i="3" s="1"/>
  <c r="F11" i="3" s="1"/>
  <c r="G11" i="3" s="1"/>
  <c r="D23" i="2"/>
  <c r="D23" i="5"/>
  <c r="E7" i="3"/>
  <c r="F7" i="3" s="1"/>
  <c r="G7" i="3" s="1"/>
  <c r="G4" i="3"/>
  <c r="E10" i="3"/>
  <c r="F10" i="3" s="1"/>
  <c r="G10" i="3" s="1"/>
  <c r="D23" i="8"/>
  <c r="E20" i="4"/>
  <c r="D22" i="4" s="1"/>
  <c r="D23" i="9" l="1"/>
  <c r="E5" i="3"/>
  <c r="F5" i="3" s="1"/>
  <c r="D23" i="4"/>
  <c r="G5" i="3" l="1"/>
</calcChain>
</file>

<file path=xl/sharedStrings.xml><?xml version="1.0" encoding="utf-8"?>
<sst xmlns="http://schemas.openxmlformats.org/spreadsheetml/2006/main" count="229" uniqueCount="64">
  <si>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</si>
  <si>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</si>
  <si>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</si>
  <si>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</si>
  <si>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</si>
  <si>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</si>
  <si>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</si>
  <si>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</si>
  <si>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</si>
  <si>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</si>
  <si>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</si>
  <si>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</si>
  <si>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</si>
  <si>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</si>
  <si>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</si>
  <si>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ITEM 5</t>
  </si>
  <si>
    <t>ITEM 6</t>
  </si>
  <si>
    <t>ITEM 7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</si>
  <si>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</si>
  <si>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</si>
  <si>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</si>
  <si>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</si>
  <si>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</si>
  <si>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</si>
  <si>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</si>
  <si>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</si>
  <si>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</si>
  <si>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</si>
  <si>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</si>
  <si>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</si>
  <si>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</si>
  <si>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</si>
  <si>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</si>
  <si>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</si>
  <si>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</si>
  <si>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</si>
  <si>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</si>
  <si>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</si>
  <si>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</si>
  <si>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</si>
  <si>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</si>
  <si>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>Solução de armazenamento hiperconvergente de backup em disco</t>
  </si>
  <si>
    <t>Serviço de implementação de solução de cópia de segurança</t>
  </si>
  <si>
    <t>Sistema operacional para servidor</t>
  </si>
  <si>
    <t>Licenças de uso para sistema operacional para servidor</t>
  </si>
  <si>
    <t>Servidor</t>
  </si>
  <si>
    <t>Cartucho de fita para backup</t>
  </si>
  <si>
    <t>Cartucho para etiquetadora</t>
  </si>
  <si>
    <t>BRASOFTWARE INFORMÁTICA LTDA - 57.142.978/0001-05</t>
  </si>
  <si>
    <t>CHIP &amp; CIA - INFORMÁTICA EMPRESARIAL LTDA</t>
  </si>
  <si>
    <t>PRODUS PRODUTOS E SOLUÇÕES PARA INFORMÁTICA LTDA - 63.270.797/0001-67</t>
  </si>
  <si>
    <t>LEBRE TECNOLOGIA E INFORMATICA LTDA (PE402019)</t>
  </si>
  <si>
    <t>INTERMIX-COMERCIO E MONTAGENS (PE402019)</t>
  </si>
  <si>
    <t>CASASBAHIA.COM.BR</t>
  </si>
  <si>
    <t>LTOSTORE.COM.BR</t>
  </si>
  <si>
    <t>SUPRILOJA.COM.BR</t>
  </si>
  <si>
    <t>BESTCARTUCHOS.COM.BR</t>
  </si>
  <si>
    <t>BROTHERSTORE.COM.BR</t>
  </si>
  <si>
    <t>GOMAQ.COM.BR</t>
  </si>
  <si>
    <t>IMPRESSORAJATO.COM.BR</t>
  </si>
  <si>
    <t>KALUNGA.COM.BR</t>
  </si>
  <si>
    <t>LOJACASAPRINT.COM.BR</t>
  </si>
  <si>
    <t>Lote 1:</t>
  </si>
  <si>
    <t>Total -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</si>
</sst>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6" fillId="9" borderId="24" xfId="0" applyFont="1" applyFill="1" applyBorder="1" applyAlignment="1">
      <alignment horizontal="center" wrapText="1"/>
    </xf>
    <xf numFmtId="0" fontId="16" fillId="9" borderId="25" xfId="0" applyFont="1" applyFill="1" applyBorder="1" applyAlignment="1">
      <alignment horizontal="center" wrapText="1"/>
    </xf>
    <xf numFmtId="0" fontId="16" fillId="9" borderId="26" xfId="0" applyFont="1" applyFill="1" applyBorder="1" applyAlignment="1">
      <alignment horizontal="center" wrapText="1"/>
    </xf>
    <xf numFmtId="0" fontId="16" fillId="9" borderId="24" xfId="0" applyFont="1" applyFill="1" applyBorder="1" applyAlignment="1">
      <alignment horizontal="right" wrapText="1"/>
    </xf>
    <xf numFmtId="0" fontId="16" fillId="9" borderId="25" xfId="0" applyFont="1" applyFill="1" applyBorder="1" applyAlignment="1">
      <alignment horizontal="right" wrapText="1"/>
    </xf>
    <xf numFmtId="0" fontId="16" fillId="9" borderId="26" xfId="0" applyFont="1" applyFill="1" applyBorder="1" applyAlignment="1">
      <alignment horizontal="right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5" sqref="G5:G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3.8554687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0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x14ac:dyDescent="0.2">
      <c r="A3" s="53"/>
      <c r="B3" s="56" t="s">
        <v>41</v>
      </c>
      <c r="C3" s="57"/>
      <c r="D3" s="58"/>
      <c r="E3" s="68" t="s">
        <v>10</v>
      </c>
      <c r="F3" s="69">
        <v>2</v>
      </c>
      <c r="G3" s="4" t="s">
        <v>49</v>
      </c>
      <c r="H3" s="5">
        <v>445143.97</v>
      </c>
      <c r="I3" s="5">
        <f>IF(H3="","",(IF($C$20&lt;25%,"N/A",IF(H3&lt;=($D$20+$B$20),H3,"Descartado"))))</f>
        <v>445143.97</v>
      </c>
    </row>
    <row r="4" spans="1:9" x14ac:dyDescent="0.2">
      <c r="A4" s="53"/>
      <c r="B4" s="59"/>
      <c r="C4" s="60"/>
      <c r="D4" s="61"/>
      <c r="E4" s="68"/>
      <c r="F4" s="68"/>
      <c r="G4" s="4" t="s">
        <v>50</v>
      </c>
      <c r="H4" s="5">
        <f>19744642.84/2</f>
        <v>9872321.4199999999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3"/>
      <c r="B5" s="59"/>
      <c r="C5" s="60"/>
      <c r="D5" s="61"/>
      <c r="E5" s="68"/>
      <c r="F5" s="68"/>
      <c r="G5" s="4" t="s">
        <v>51</v>
      </c>
      <c r="H5" s="5">
        <f>481495.94</f>
        <v>481495.94</v>
      </c>
      <c r="I5" s="5">
        <f t="shared" si="0"/>
        <v>481495.94</v>
      </c>
    </row>
    <row r="6" spans="1:9" x14ac:dyDescent="0.2">
      <c r="A6" s="53"/>
      <c r="B6" s="59"/>
      <c r="C6" s="60"/>
      <c r="D6" s="61"/>
      <c r="E6" s="68"/>
      <c r="F6" s="68"/>
      <c r="G6" s="4" t="s">
        <v>52</v>
      </c>
      <c r="H6" s="5">
        <v>490000</v>
      </c>
      <c r="I6" s="5">
        <f t="shared" si="0"/>
        <v>490000</v>
      </c>
    </row>
    <row r="7" spans="1:9" x14ac:dyDescent="0.2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4700094.3159506852</v>
      </c>
      <c r="C20" s="18">
        <f>IF(H23&lt;2,"N/A",(B20/D20))</f>
        <v>1.6653770629757965</v>
      </c>
      <c r="D20" s="19">
        <f>AVERAGE(H3:H17)</f>
        <v>2822240.3325</v>
      </c>
      <c r="E20" s="20">
        <f>IF(H23&lt;2,"N/A",(IF(C20&lt;=25%,"N/A",AVERAGE(I3:I17))))</f>
        <v>472213.30333333329</v>
      </c>
      <c r="F20" s="19">
        <f>MEDIAN(H3:H17)</f>
        <v>485747.97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472213.30333333329</v>
      </c>
      <c r="E22" s="71"/>
    </row>
    <row r="23" spans="1:9" x14ac:dyDescent="0.2">
      <c r="B23" s="70" t="s">
        <v>11</v>
      </c>
      <c r="C23" s="70"/>
      <c r="D23" s="71">
        <f>ROUND(D22,2)*F3</f>
        <v>944426.6</v>
      </c>
      <c r="E23" s="71"/>
      <c r="G23" s="36" t="s">
        <v>37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7" sqref="H7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1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12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42</v>
      </c>
      <c r="C3" s="57"/>
      <c r="D3" s="58"/>
      <c r="E3" s="68" t="s">
        <v>10</v>
      </c>
      <c r="F3" s="69">
        <v>2</v>
      </c>
      <c r="G3" s="4" t="s">
        <v>49</v>
      </c>
      <c r="H3" s="5">
        <v>20000</v>
      </c>
      <c r="I3" s="5">
        <f>IF(H3="","",(IF($C$20&lt;25%,"N/A",IF(H3&lt;=($D$20+$B$20),H3,"Descartado"))))</f>
        <v>20000</v>
      </c>
    </row>
    <row r="4" spans="1:9" x14ac:dyDescent="0.2">
      <c r="A4" s="53"/>
      <c r="B4" s="59"/>
      <c r="C4" s="60"/>
      <c r="D4" s="61"/>
      <c r="E4" s="68"/>
      <c r="F4" s="68"/>
      <c r="G4" s="4" t="s">
        <v>50</v>
      </c>
      <c r="H4" s="5">
        <f>66073.7/2</f>
        <v>33036.85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3"/>
      <c r="B5" s="59"/>
      <c r="C5" s="60"/>
      <c r="D5" s="61"/>
      <c r="E5" s="68"/>
      <c r="F5" s="68"/>
      <c r="G5" s="4" t="s">
        <v>51</v>
      </c>
      <c r="H5" s="5">
        <v>20000</v>
      </c>
      <c r="I5" s="5">
        <f t="shared" si="0"/>
        <v>20000</v>
      </c>
    </row>
    <row r="6" spans="1:9" x14ac:dyDescent="0.2">
      <c r="A6" s="53"/>
      <c r="B6" s="59"/>
      <c r="C6" s="60"/>
      <c r="D6" s="61"/>
      <c r="E6" s="68"/>
      <c r="F6" s="68"/>
      <c r="G6" s="4" t="s">
        <v>52</v>
      </c>
      <c r="H6" s="5">
        <v>20000</v>
      </c>
      <c r="I6" s="5">
        <f t="shared" si="0"/>
        <v>20000</v>
      </c>
    </row>
    <row r="7" spans="1:9" x14ac:dyDescent="0.2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6518.4249999999874</v>
      </c>
      <c r="C20" s="18">
        <f>IF(H23&lt;2,"N/A",(B20/D20))</f>
        <v>0.28025131977275614</v>
      </c>
      <c r="D20" s="19">
        <f>AVERAGE(H3:H17)</f>
        <v>23259.212500000001</v>
      </c>
      <c r="E20" s="20">
        <f>IF(H23&lt;2,"N/A",(IF(C20&lt;=25%,"N/A",AVERAGE(I3:I17))))</f>
        <v>20000</v>
      </c>
      <c r="F20" s="19">
        <f>MEDIAN(H3:H17)</f>
        <v>20000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20000</v>
      </c>
      <c r="E22" s="71"/>
    </row>
    <row r="23" spans="1:9" x14ac:dyDescent="0.2">
      <c r="B23" s="70" t="s">
        <v>11</v>
      </c>
      <c r="C23" s="70"/>
      <c r="D23" s="71">
        <f>ROUND(D22,2)*F3</f>
        <v>40000</v>
      </c>
      <c r="E23" s="71"/>
      <c r="G23" s="36" t="s">
        <v>37</v>
      </c>
      <c r="H23" s="37">
        <f>COUNT(H3:H17)</f>
        <v>4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22" sqref="F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13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43</v>
      </c>
      <c r="C3" s="57"/>
      <c r="D3" s="58"/>
      <c r="E3" s="68" t="s">
        <v>10</v>
      </c>
      <c r="F3" s="69">
        <v>48</v>
      </c>
      <c r="G3" s="4" t="s">
        <v>48</v>
      </c>
      <c r="H3" s="5">
        <v>1092.33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68"/>
      <c r="F4" s="68"/>
      <c r="G4" s="4" t="s">
        <v>49</v>
      </c>
      <c r="H4" s="5">
        <v>1378.09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68"/>
      <c r="F5" s="68"/>
      <c r="G5" s="4" t="s">
        <v>50</v>
      </c>
      <c r="H5" s="5">
        <f>57071.61/48</f>
        <v>1188.9918749999999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68"/>
      <c r="F6" s="68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145.35037928916873</v>
      </c>
      <c r="C20" s="18">
        <f>IF(H23&lt;2,"N/A",(B20/D20))</f>
        <v>0.11915880277005064</v>
      </c>
      <c r="D20" s="19">
        <f>AVERAGE(H3:H17)</f>
        <v>1219.8039583333332</v>
      </c>
      <c r="E20" s="20" t="str">
        <f>IF(H23&lt;2,"N/A",(IF(C20&lt;=25%,"N/A",AVERAGE(I3:I17))))</f>
        <v>N/A</v>
      </c>
      <c r="F20" s="19">
        <f>MEDIAN(H3:H17)</f>
        <v>1188.9918749999999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1219.8039583333332</v>
      </c>
      <c r="E22" s="71"/>
    </row>
    <row r="23" spans="1:9" x14ac:dyDescent="0.2">
      <c r="B23" s="70" t="s">
        <v>11</v>
      </c>
      <c r="C23" s="70"/>
      <c r="D23" s="71">
        <f>ROUND(D22,2)*F3</f>
        <v>58550.399999999994</v>
      </c>
      <c r="E23" s="71"/>
      <c r="G23" s="36" t="s">
        <v>37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F22" sqref="F22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14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44</v>
      </c>
      <c r="C3" s="57"/>
      <c r="D3" s="58"/>
      <c r="E3" s="68" t="s">
        <v>10</v>
      </c>
      <c r="F3" s="69">
        <v>2000</v>
      </c>
      <c r="G3" s="4" t="s">
        <v>48</v>
      </c>
      <c r="H3" s="5">
        <v>292.20999999999998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68"/>
      <c r="F4" s="68"/>
      <c r="G4" s="4" t="s">
        <v>49</v>
      </c>
      <c r="H4" s="5">
        <v>219.71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68"/>
      <c r="F5" s="68"/>
      <c r="G5" s="4" t="s">
        <v>50</v>
      </c>
      <c r="H5" s="5">
        <f>382849.32/2000</f>
        <v>191.42466000000002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68"/>
      <c r="F6" s="68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51.98396422268312</v>
      </c>
      <c r="C20" s="18">
        <f>IF(H23&lt;2,"N/A",(B20/D20))</f>
        <v>0.22172897803482203</v>
      </c>
      <c r="D20" s="19">
        <f>AVERAGE(H3:H17)</f>
        <v>234.44821999999999</v>
      </c>
      <c r="E20" s="20" t="str">
        <f>IF(H23&lt;2,"N/A",(IF(C20&lt;=25%,"N/A",AVERAGE(I3:I17))))</f>
        <v>N/A</v>
      </c>
      <c r="F20" s="19">
        <f>MEDIAN(H3:H17)</f>
        <v>219.71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234.44821999999999</v>
      </c>
      <c r="E22" s="71"/>
    </row>
    <row r="23" spans="1:9" x14ac:dyDescent="0.2">
      <c r="B23" s="70" t="s">
        <v>11</v>
      </c>
      <c r="C23" s="70"/>
      <c r="D23" s="71">
        <f>ROUND(D22,2)*F3</f>
        <v>468900</v>
      </c>
      <c r="E23" s="71"/>
      <c r="G23" s="36" t="s">
        <v>37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I3" sqref="I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15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45</v>
      </c>
      <c r="C3" s="57"/>
      <c r="D3" s="58"/>
      <c r="E3" s="68" t="s">
        <v>10</v>
      </c>
      <c r="F3" s="69">
        <v>4</v>
      </c>
      <c r="G3" s="4" t="s">
        <v>49</v>
      </c>
      <c r="H3" s="5">
        <v>73943.320000000007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68"/>
      <c r="F4" s="68"/>
      <c r="G4" s="4" t="s">
        <v>50</v>
      </c>
      <c r="H4" s="5">
        <f>410776.76/4</f>
        <v>102694.19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68"/>
      <c r="F5" s="68"/>
      <c r="G5" s="4"/>
      <c r="H5" s="5"/>
      <c r="I5" s="5" t="str">
        <f t="shared" si="0"/>
        <v/>
      </c>
    </row>
    <row r="6" spans="1:9" x14ac:dyDescent="0.2">
      <c r="A6" s="53"/>
      <c r="B6" s="59"/>
      <c r="C6" s="60"/>
      <c r="D6" s="61"/>
      <c r="E6" s="68"/>
      <c r="F6" s="68"/>
      <c r="G6" s="4"/>
      <c r="H6" s="5"/>
      <c r="I6" s="5" t="str">
        <f t="shared" si="0"/>
        <v/>
      </c>
    </row>
    <row r="7" spans="1:9" x14ac:dyDescent="0.2">
      <c r="A7" s="53"/>
      <c r="B7" s="59"/>
      <c r="C7" s="60"/>
      <c r="D7" s="61"/>
      <c r="E7" s="68"/>
      <c r="F7" s="68"/>
      <c r="G7" s="4"/>
      <c r="H7" s="5"/>
      <c r="I7" s="5" t="str">
        <f t="shared" si="0"/>
        <v/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20329.935142012884</v>
      </c>
      <c r="C20" s="18">
        <f>IF(H23&lt;2,"N/A",(B20/D20))</f>
        <v>0.23018819889402747</v>
      </c>
      <c r="D20" s="19">
        <f>AVERAGE(H3:H17)</f>
        <v>88318.755000000005</v>
      </c>
      <c r="E20" s="20" t="str">
        <f>IF(H23&lt;2,"N/A",(IF(C20&lt;=25%,"N/A",AVERAGE(I3:I17))))</f>
        <v>N/A</v>
      </c>
      <c r="F20" s="19">
        <f>MEDIAN(H3:H17)</f>
        <v>88318.755000000005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88318.755000000005</v>
      </c>
      <c r="E22" s="71"/>
    </row>
    <row r="23" spans="1:9" x14ac:dyDescent="0.2">
      <c r="B23" s="70" t="s">
        <v>11</v>
      </c>
      <c r="C23" s="70"/>
      <c r="D23" s="71">
        <f>ROUND(D22,2)*F3</f>
        <v>353275.04</v>
      </c>
      <c r="E23" s="71"/>
      <c r="G23" s="36" t="s">
        <v>37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8" sqref="G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16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46</v>
      </c>
      <c r="C3" s="57"/>
      <c r="D3" s="58"/>
      <c r="E3" s="68" t="s">
        <v>10</v>
      </c>
      <c r="F3" s="69">
        <v>200</v>
      </c>
      <c r="G3" s="4" t="s">
        <v>49</v>
      </c>
      <c r="H3" s="5">
        <v>297.87</v>
      </c>
      <c r="I3" s="5" t="str">
        <f>IF(H3="","",(IF($C$20&lt;25%,"N/A",IF(H3&lt;=($D$20+$B$20),H3,"Descartado"))))</f>
        <v>N/A</v>
      </c>
    </row>
    <row r="4" spans="1:9" x14ac:dyDescent="0.2">
      <c r="A4" s="53"/>
      <c r="B4" s="59"/>
      <c r="C4" s="60"/>
      <c r="D4" s="61"/>
      <c r="E4" s="68"/>
      <c r="F4" s="68"/>
      <c r="G4" s="4" t="s">
        <v>50</v>
      </c>
      <c r="H4" s="5">
        <f>43788.96/200</f>
        <v>218.94479999999999</v>
      </c>
      <c r="I4" s="5" t="str">
        <f t="shared" ref="I4:I17" si="0">IF(H4="","",(IF($C$20&lt;25%,"N/A",IF(H4&lt;=($D$20+$B$20),H4,"Descartado"))))</f>
        <v>N/A</v>
      </c>
    </row>
    <row r="5" spans="1:9" x14ac:dyDescent="0.2">
      <c r="A5" s="53"/>
      <c r="B5" s="59"/>
      <c r="C5" s="60"/>
      <c r="D5" s="61"/>
      <c r="E5" s="68"/>
      <c r="F5" s="68"/>
      <c r="G5" s="4" t="s">
        <v>53</v>
      </c>
      <c r="H5" s="5">
        <v>235.91</v>
      </c>
      <c r="I5" s="5" t="str">
        <f t="shared" si="0"/>
        <v>N/A</v>
      </c>
    </row>
    <row r="6" spans="1:9" x14ac:dyDescent="0.2">
      <c r="A6" s="53"/>
      <c r="B6" s="59"/>
      <c r="C6" s="60"/>
      <c r="D6" s="61"/>
      <c r="E6" s="68"/>
      <c r="F6" s="68"/>
      <c r="G6" s="4" t="s">
        <v>54</v>
      </c>
      <c r="H6" s="5">
        <v>223.97</v>
      </c>
      <c r="I6" s="5" t="str">
        <f t="shared" si="0"/>
        <v>N/A</v>
      </c>
    </row>
    <row r="7" spans="1:9" x14ac:dyDescent="0.2">
      <c r="A7" s="53"/>
      <c r="B7" s="59"/>
      <c r="C7" s="60"/>
      <c r="D7" s="61"/>
      <c r="E7" s="68"/>
      <c r="F7" s="68"/>
      <c r="G7" s="4" t="s">
        <v>55</v>
      </c>
      <c r="H7" s="5">
        <v>182.3</v>
      </c>
      <c r="I7" s="5" t="str">
        <f t="shared" si="0"/>
        <v>N/A</v>
      </c>
    </row>
    <row r="8" spans="1:9" x14ac:dyDescent="0.2">
      <c r="A8" s="53"/>
      <c r="B8" s="59"/>
      <c r="C8" s="60"/>
      <c r="D8" s="61"/>
      <c r="E8" s="68"/>
      <c r="F8" s="68"/>
      <c r="G8" s="4"/>
      <c r="H8" s="5"/>
      <c r="I8" s="5" t="str">
        <f t="shared" si="0"/>
        <v/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42.008784978954125</v>
      </c>
      <c r="C20" s="18">
        <f>IF(H23&lt;2,"N/A",(B20/D20))</f>
        <v>0.18122939369078328</v>
      </c>
      <c r="D20" s="19">
        <f>AVERAGE(H3:H17)</f>
        <v>231.79895999999999</v>
      </c>
      <c r="E20" s="20" t="str">
        <f>IF(H23&lt;2,"N/A",(IF(C20&lt;=25%,"N/A",AVERAGE(I3:I17))))</f>
        <v>N/A</v>
      </c>
      <c r="F20" s="19">
        <f>MEDIAN(H3:H17)</f>
        <v>223.97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231.79895999999999</v>
      </c>
      <c r="E22" s="71"/>
    </row>
    <row r="23" spans="1:9" x14ac:dyDescent="0.2">
      <c r="B23" s="70" t="s">
        <v>11</v>
      </c>
      <c r="C23" s="70"/>
      <c r="D23" s="71">
        <f>ROUND(D22,2)*F3</f>
        <v>46360</v>
      </c>
      <c r="E23" s="71"/>
      <c r="G23" s="36" t="s">
        <v>37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11" sqref="G11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3.42578125" style="1" customWidth="1"/>
    <col min="5" max="5" width="13.85546875" style="1" customWidth="1"/>
    <col min="6" max="6" width="14.28515625" style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20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17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18</v>
      </c>
    </row>
    <row r="3" spans="1:9" ht="12.75" customHeight="1" x14ac:dyDescent="0.2">
      <c r="A3" s="53"/>
      <c r="B3" s="56" t="s">
        <v>47</v>
      </c>
      <c r="C3" s="57"/>
      <c r="D3" s="58"/>
      <c r="E3" s="68" t="s">
        <v>10</v>
      </c>
      <c r="F3" s="69">
        <v>20</v>
      </c>
      <c r="G3" s="4" t="s">
        <v>49</v>
      </c>
      <c r="H3" s="5">
        <v>99.51</v>
      </c>
      <c r="I3" s="5">
        <f>IF(H3="","",(IF($C$20&lt;25%,"N/A",IF(H3&lt;=($D$20+$B$20),H3,"Descartado"))))</f>
        <v>99.51</v>
      </c>
    </row>
    <row r="4" spans="1:9" x14ac:dyDescent="0.2">
      <c r="A4" s="53"/>
      <c r="B4" s="59"/>
      <c r="C4" s="60"/>
      <c r="D4" s="61"/>
      <c r="E4" s="68"/>
      <c r="F4" s="68"/>
      <c r="G4" s="4" t="s">
        <v>50</v>
      </c>
      <c r="H4" s="5">
        <f>2335.41/20</f>
        <v>116.7705</v>
      </c>
      <c r="I4" s="5" t="str">
        <f t="shared" ref="I4:I17" si="0">IF(H4="","",(IF($C$20&lt;25%,"N/A",IF(H4&lt;=($D$20+$B$20),H4,"Descartado"))))</f>
        <v>Descartado</v>
      </c>
    </row>
    <row r="5" spans="1:9" x14ac:dyDescent="0.2">
      <c r="A5" s="53"/>
      <c r="B5" s="59"/>
      <c r="C5" s="60"/>
      <c r="D5" s="61"/>
      <c r="E5" s="68"/>
      <c r="F5" s="68"/>
      <c r="G5" s="4" t="s">
        <v>56</v>
      </c>
      <c r="H5" s="5">
        <v>49.9</v>
      </c>
      <c r="I5" s="5">
        <f t="shared" si="0"/>
        <v>49.9</v>
      </c>
    </row>
    <row r="6" spans="1:9" x14ac:dyDescent="0.2">
      <c r="A6" s="53"/>
      <c r="B6" s="59"/>
      <c r="C6" s="60"/>
      <c r="D6" s="61"/>
      <c r="E6" s="68"/>
      <c r="F6" s="68"/>
      <c r="G6" s="4" t="s">
        <v>57</v>
      </c>
      <c r="H6" s="5">
        <v>71.900000000000006</v>
      </c>
      <c r="I6" s="5">
        <f t="shared" si="0"/>
        <v>71.900000000000006</v>
      </c>
    </row>
    <row r="7" spans="1:9" x14ac:dyDescent="0.2">
      <c r="A7" s="53"/>
      <c r="B7" s="59"/>
      <c r="C7" s="60"/>
      <c r="D7" s="61"/>
      <c r="E7" s="68"/>
      <c r="F7" s="68"/>
      <c r="G7" s="4" t="s">
        <v>58</v>
      </c>
      <c r="H7" s="5">
        <v>81.44</v>
      </c>
      <c r="I7" s="5">
        <f t="shared" si="0"/>
        <v>81.44</v>
      </c>
    </row>
    <row r="8" spans="1:9" x14ac:dyDescent="0.2">
      <c r="A8" s="53"/>
      <c r="B8" s="59"/>
      <c r="C8" s="60"/>
      <c r="D8" s="61"/>
      <c r="E8" s="68"/>
      <c r="F8" s="68"/>
      <c r="G8" s="4" t="s">
        <v>59</v>
      </c>
      <c r="H8" s="5">
        <v>72.900000000000006</v>
      </c>
      <c r="I8" s="5">
        <f t="shared" si="0"/>
        <v>72.900000000000006</v>
      </c>
    </row>
    <row r="9" spans="1:9" x14ac:dyDescent="0.2">
      <c r="A9" s="53"/>
      <c r="B9" s="59"/>
      <c r="C9" s="60"/>
      <c r="D9" s="61"/>
      <c r="E9" s="68"/>
      <c r="F9" s="68"/>
      <c r="G9" s="4" t="s">
        <v>60</v>
      </c>
      <c r="H9" s="5">
        <v>76.900000000000006</v>
      </c>
      <c r="I9" s="5">
        <f t="shared" si="0"/>
        <v>76.900000000000006</v>
      </c>
    </row>
    <row r="10" spans="1:9" x14ac:dyDescent="0.2">
      <c r="A10" s="53"/>
      <c r="B10" s="59"/>
      <c r="C10" s="60"/>
      <c r="D10" s="61"/>
      <c r="E10" s="68"/>
      <c r="F10" s="68"/>
      <c r="G10" s="4" t="s">
        <v>61</v>
      </c>
      <c r="H10" s="5">
        <v>59.43</v>
      </c>
      <c r="I10" s="5">
        <f t="shared" si="0"/>
        <v>59.43</v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0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0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0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6</v>
      </c>
      <c r="C19" s="11" t="s">
        <v>7</v>
      </c>
      <c r="D19" s="12" t="s">
        <v>8</v>
      </c>
      <c r="E19" s="13" t="s">
        <v>19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21.292954448323833</v>
      </c>
      <c r="C20" s="18">
        <f>IF(H23&lt;2,"N/A",(B20/D20))</f>
        <v>0.27092405586411566</v>
      </c>
      <c r="D20" s="19">
        <f>AVERAGE(H3:H17)</f>
        <v>78.593812499999999</v>
      </c>
      <c r="E20" s="20">
        <f>IF(H23&lt;2,"N/A",(IF(C20&lt;=25%,"N/A",AVERAGE(I3:I17))))</f>
        <v>73.14</v>
      </c>
      <c r="F20" s="19">
        <f>MEDIAN(H3:H17)</f>
        <v>74.900000000000006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28</v>
      </c>
      <c r="C22" s="70"/>
      <c r="D22" s="71">
        <f>IF(C20&lt;=25%,D20,MIN(E20:F20))</f>
        <v>73.14</v>
      </c>
      <c r="E22" s="71"/>
    </row>
    <row r="23" spans="1:9" x14ac:dyDescent="0.2">
      <c r="B23" s="70" t="s">
        <v>11</v>
      </c>
      <c r="C23" s="70"/>
      <c r="D23" s="71">
        <f>ROUND(D22,2)*F3</f>
        <v>1462.8</v>
      </c>
      <c r="E23" s="71"/>
      <c r="G23" s="36" t="s">
        <v>37</v>
      </c>
      <c r="H23" s="37">
        <f>COUNT(H3:H17)</f>
        <v>8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24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25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26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22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23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27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29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Normal="100" zoomScaleSheetLayoutView="100" workbookViewId="0">
      <selection activeCell="A12" sqref="A12:E12"/>
    </sheetView>
  </sheetViews>
  <sheetFormatPr defaultRowHeight="12.75" x14ac:dyDescent="0.2"/>
  <cols>
    <col min="1" max="1" width="9.140625" style="29"/>
    <col min="2" max="2" width="86.85546875" style="29" customWidth="1"/>
    <col min="3" max="4" width="13.28515625" style="29" customWidth="1"/>
    <col min="5" max="5" width="13.85546875" style="29" bestFit="1" customWidth="1"/>
    <col min="6" max="6" width="18.5703125" style="29" bestFit="1" customWidth="1"/>
    <col min="7" max="14" width="9.140625" style="39"/>
    <col min="15" max="16384" width="9.140625" style="29"/>
  </cols>
  <sheetData>
    <row r="1" spans="1:7" ht="15.75" x14ac:dyDescent="0.25">
      <c r="A1" s="72" t="s">
        <v>30</v>
      </c>
      <c r="B1" s="72"/>
      <c r="C1" s="72"/>
      <c r="D1" s="72"/>
      <c r="E1" s="72"/>
      <c r="F1" s="72"/>
    </row>
    <row r="2" spans="1:7" ht="25.5" x14ac:dyDescent="0.2">
      <c r="A2" s="34" t="s">
        <v>31</v>
      </c>
      <c r="B2" s="34" t="s">
        <v>32</v>
      </c>
      <c r="C2" s="34" t="s">
        <v>33</v>
      </c>
      <c r="D2" s="34" t="s">
        <v>34</v>
      </c>
      <c r="E2" s="34" t="s">
        <v>21</v>
      </c>
      <c r="F2" s="38" t="s">
        <v>35</v>
      </c>
    </row>
    <row r="3" spans="1:7" ht="15.75" x14ac:dyDescent="0.25">
      <c r="A3" s="76" t="s">
        <v>62</v>
      </c>
      <c r="B3" s="77"/>
      <c r="C3" s="77"/>
      <c r="D3" s="77"/>
      <c r="E3" s="77"/>
      <c r="F3" s="78"/>
    </row>
    <row r="4" spans="1:7" x14ac:dyDescent="0.2">
      <c r="A4" s="30">
        <v>1</v>
      </c>
      <c r="B4" s="31" t="str">
        <f>Item1!B3</f>
        <v>Solução de armazenamento hiperconvergente de backup em disco</v>
      </c>
      <c r="C4" s="30" t="str">
        <f>Item1!E3</f>
        <v>unidade</v>
      </c>
      <c r="D4" s="30">
        <f>Item1!F3</f>
        <v>2</v>
      </c>
      <c r="E4" s="35">
        <f>Item1!D22</f>
        <v>472213.30333333329</v>
      </c>
      <c r="F4" s="32">
        <f>(ROUND(E4,2)*D4)</f>
        <v>944426.6</v>
      </c>
      <c r="G4" s="40" t="str">
        <f>IF(F4&gt;80000,"necessária a subdivisão deste item em cotas!","")</f>
        <v>necessária a subdivisão deste item em cotas!</v>
      </c>
    </row>
    <row r="5" spans="1:7" x14ac:dyDescent="0.2">
      <c r="A5" s="30">
        <v>2</v>
      </c>
      <c r="B5" s="31" t="str">
        <f>Item2!B3</f>
        <v>Serviço de implementação de solução de cópia de segurança</v>
      </c>
      <c r="C5" s="30" t="str">
        <f>Item2!E3</f>
        <v>unidade</v>
      </c>
      <c r="D5" s="30">
        <f>Item2!F3</f>
        <v>2</v>
      </c>
      <c r="E5" s="35">
        <f>Item2!D22</f>
        <v>20000</v>
      </c>
      <c r="F5" s="32">
        <f t="shared" ref="F5:F11" si="0">(ROUND(E5,2)*D5)</f>
        <v>40000</v>
      </c>
      <c r="G5" s="40" t="str">
        <f t="shared" ref="G5:G11" si="1">IF(F5&gt;80000,"necessária a subdivisão deste item em cotas!","")</f>
        <v/>
      </c>
    </row>
    <row r="6" spans="1:7" ht="15.75" x14ac:dyDescent="0.25">
      <c r="A6" s="79" t="s">
        <v>63</v>
      </c>
      <c r="B6" s="80"/>
      <c r="C6" s="80"/>
      <c r="D6" s="80"/>
      <c r="E6" s="81"/>
      <c r="F6" s="33">
        <f>SUM(F4:F5)</f>
        <v>984426.6</v>
      </c>
      <c r="G6" s="40"/>
    </row>
    <row r="7" spans="1:7" x14ac:dyDescent="0.2">
      <c r="A7" s="30">
        <v>3</v>
      </c>
      <c r="B7" s="31" t="str">
        <f>Item3!B3</f>
        <v>Sistema operacional para servidor</v>
      </c>
      <c r="C7" s="30" t="str">
        <f>Item3!E3</f>
        <v>unidade</v>
      </c>
      <c r="D7" s="30">
        <f>Item3!F3</f>
        <v>48</v>
      </c>
      <c r="E7" s="35">
        <f>Item3!D22</f>
        <v>1219.8039583333332</v>
      </c>
      <c r="F7" s="32">
        <f t="shared" si="0"/>
        <v>58550.399999999994</v>
      </c>
      <c r="G7" s="40" t="str">
        <f t="shared" si="1"/>
        <v/>
      </c>
    </row>
    <row r="8" spans="1:7" x14ac:dyDescent="0.2">
      <c r="A8" s="30">
        <v>4</v>
      </c>
      <c r="B8" s="31" t="str">
        <f>Item4!B3</f>
        <v>Licenças de uso para sistema operacional para servidor</v>
      </c>
      <c r="C8" s="30" t="str">
        <f>Item4!E3</f>
        <v>unidade</v>
      </c>
      <c r="D8" s="30">
        <f>Item4!F3</f>
        <v>2000</v>
      </c>
      <c r="E8" s="35">
        <f>Item4!D22</f>
        <v>234.44821999999999</v>
      </c>
      <c r="F8" s="32">
        <f t="shared" si="0"/>
        <v>468900</v>
      </c>
      <c r="G8" s="40" t="str">
        <f t="shared" si="1"/>
        <v>necessária a subdivisão deste item em cotas!</v>
      </c>
    </row>
    <row r="9" spans="1:7" x14ac:dyDescent="0.2">
      <c r="A9" s="30">
        <v>5</v>
      </c>
      <c r="B9" s="31" t="str">
        <f>Item5!B3</f>
        <v>Servidor</v>
      </c>
      <c r="C9" s="30" t="str">
        <f>Item5!E3</f>
        <v>unidade</v>
      </c>
      <c r="D9" s="30">
        <f>Item5!F3</f>
        <v>4</v>
      </c>
      <c r="E9" s="35">
        <f>Item5!D22</f>
        <v>88318.755000000005</v>
      </c>
      <c r="F9" s="32">
        <f t="shared" si="0"/>
        <v>353275.04</v>
      </c>
      <c r="G9" s="40" t="str">
        <f t="shared" si="1"/>
        <v>necessária a subdivisão deste item em cotas!</v>
      </c>
    </row>
    <row r="10" spans="1:7" x14ac:dyDescent="0.2">
      <c r="A10" s="30">
        <v>6</v>
      </c>
      <c r="B10" s="31" t="str">
        <f>Item6!B3</f>
        <v>Cartucho de fita para backup</v>
      </c>
      <c r="C10" s="30" t="str">
        <f>Item6!E3</f>
        <v>unidade</v>
      </c>
      <c r="D10" s="30">
        <f>Item6!F3</f>
        <v>200</v>
      </c>
      <c r="E10" s="35">
        <f>Item6!D22</f>
        <v>231.79895999999999</v>
      </c>
      <c r="F10" s="32">
        <f t="shared" si="0"/>
        <v>46360</v>
      </c>
      <c r="G10" s="40" t="str">
        <f t="shared" si="1"/>
        <v/>
      </c>
    </row>
    <row r="11" spans="1:7" x14ac:dyDescent="0.2">
      <c r="A11" s="30">
        <v>7</v>
      </c>
      <c r="B11" s="31" t="str">
        <f>Item7!B3</f>
        <v>Cartucho para etiquetadora</v>
      </c>
      <c r="C11" s="30" t="str">
        <f>Item7!E3</f>
        <v>unidade</v>
      </c>
      <c r="D11" s="30">
        <f>Item7!F3</f>
        <v>20</v>
      </c>
      <c r="E11" s="35">
        <f>Item7!D22</f>
        <v>73.14</v>
      </c>
      <c r="F11" s="32">
        <f t="shared" si="0"/>
        <v>1462.8</v>
      </c>
      <c r="G11" s="40" t="str">
        <f t="shared" si="1"/>
        <v/>
      </c>
    </row>
    <row r="12" spans="1:7" ht="15.75" x14ac:dyDescent="0.25">
      <c r="A12" s="72" t="s">
        <v>36</v>
      </c>
      <c r="B12" s="72"/>
      <c r="C12" s="72"/>
      <c r="D12" s="72"/>
      <c r="E12" s="72"/>
      <c r="F12" s="33">
        <f>SUM(F6:F11)</f>
        <v>1912974.84</v>
      </c>
    </row>
    <row r="15" spans="1:7" ht="15.75" x14ac:dyDescent="0.25">
      <c r="A15" s="72" t="s">
        <v>38</v>
      </c>
      <c r="B15" s="72"/>
      <c r="C15" s="72"/>
      <c r="D15" s="72"/>
      <c r="E15" s="72"/>
      <c r="F15" s="72"/>
    </row>
    <row r="16" spans="1:7" ht="25.5" x14ac:dyDescent="0.2">
      <c r="A16" s="34" t="s">
        <v>31</v>
      </c>
      <c r="B16" s="34" t="s">
        <v>32</v>
      </c>
      <c r="C16" s="34" t="s">
        <v>33</v>
      </c>
      <c r="D16" s="34" t="s">
        <v>34</v>
      </c>
      <c r="E16" s="34" t="s">
        <v>21</v>
      </c>
      <c r="F16" s="38" t="s">
        <v>35</v>
      </c>
    </row>
    <row r="17" spans="1:6" ht="17.25" x14ac:dyDescent="0.2">
      <c r="A17" s="34" t="s">
        <v>39</v>
      </c>
      <c r="B17" s="73" t="str">
        <f>INDEX(Item1!G3:G17,MATCH(TOTAL!E18,Item1!H3:H17,0))</f>
        <v>CHIP &amp; CIA - INFORMÁTICA EMPRESARIAL LTDA</v>
      </c>
      <c r="C17" s="74"/>
      <c r="D17" s="74"/>
      <c r="E17" s="74"/>
      <c r="F17" s="75"/>
    </row>
    <row r="18" spans="1:6" x14ac:dyDescent="0.2">
      <c r="A18" s="30">
        <v>1</v>
      </c>
      <c r="B18" s="31" t="str">
        <f>Item1!B3</f>
        <v>Solução de armazenamento hiperconvergente de backup em disco</v>
      </c>
      <c r="C18" s="30" t="str">
        <f>Item1!E3</f>
        <v>unidade</v>
      </c>
      <c r="D18" s="30">
        <f>Item1!F3</f>
        <v>2</v>
      </c>
      <c r="E18" s="35">
        <f>MIN(Item1!H3:H17)</f>
        <v>445143.97</v>
      </c>
      <c r="F18" s="32">
        <f>(ROUND(E18,2)*D18)</f>
        <v>890287.94</v>
      </c>
    </row>
    <row r="19" spans="1:6" ht="17.25" x14ac:dyDescent="0.2">
      <c r="A19" s="34" t="s">
        <v>39</v>
      </c>
      <c r="B19" s="73" t="str">
        <f>INDEX(Item2!G3:G17,MATCH(TOTAL!E20,Item2!H3:H17,0))</f>
        <v>CHIP &amp; CIA - INFORMÁTICA EMPRESARIAL LTDA</v>
      </c>
      <c r="C19" s="74"/>
      <c r="D19" s="74"/>
      <c r="E19" s="74"/>
      <c r="F19" s="75"/>
    </row>
    <row r="20" spans="1:6" x14ac:dyDescent="0.2">
      <c r="A20" s="30">
        <v>2</v>
      </c>
      <c r="B20" s="31" t="str">
        <f>Item2!B3</f>
        <v>Serviço de implementação de solução de cópia de segurança</v>
      </c>
      <c r="C20" s="30" t="str">
        <f>Item2!E3</f>
        <v>unidade</v>
      </c>
      <c r="D20" s="30">
        <f>Item2!F3</f>
        <v>2</v>
      </c>
      <c r="E20" s="35">
        <f>MIN(Item2!H3:H17)</f>
        <v>20000</v>
      </c>
      <c r="F20" s="32">
        <f t="shared" ref="F20:F30" si="2">(ROUND(E20,2)*D20)</f>
        <v>40000</v>
      </c>
    </row>
    <row r="21" spans="1:6" ht="17.25" x14ac:dyDescent="0.2">
      <c r="A21" s="34" t="s">
        <v>39</v>
      </c>
      <c r="B21" s="73" t="str">
        <f>INDEX(Item3!G3:G17,MATCH(TOTAL!E22,Item3!H3:H17,0))</f>
        <v>BRASOFTWARE INFORMÁTICA LTDA - 57.142.978/0001-05</v>
      </c>
      <c r="C21" s="74"/>
      <c r="D21" s="74"/>
      <c r="E21" s="74"/>
      <c r="F21" s="75"/>
    </row>
    <row r="22" spans="1:6" x14ac:dyDescent="0.2">
      <c r="A22" s="30">
        <v>3</v>
      </c>
      <c r="B22" s="31" t="str">
        <f>Item3!B3</f>
        <v>Sistema operacional para servidor</v>
      </c>
      <c r="C22" s="30" t="str">
        <f>Item3!E3</f>
        <v>unidade</v>
      </c>
      <c r="D22" s="30">
        <f>Item3!F3</f>
        <v>48</v>
      </c>
      <c r="E22" s="35">
        <f>MIN(Item3!H3:H17)</f>
        <v>1092.33</v>
      </c>
      <c r="F22" s="32">
        <f t="shared" si="2"/>
        <v>52431.839999999997</v>
      </c>
    </row>
    <row r="23" spans="1:6" ht="17.25" x14ac:dyDescent="0.2">
      <c r="A23" s="34" t="s">
        <v>39</v>
      </c>
      <c r="B23" s="73" t="str">
        <f>INDEX(Item4!G3:G17,MATCH(TOTAL!E24,Item4!H3:H17,0))</f>
        <v>PRODUS PRODUTOS E SOLUÇÕES PARA INFORMÁTICA LTDA - 63.270.797/0001-67</v>
      </c>
      <c r="C23" s="74"/>
      <c r="D23" s="74"/>
      <c r="E23" s="74"/>
      <c r="F23" s="75"/>
    </row>
    <row r="24" spans="1:6" x14ac:dyDescent="0.2">
      <c r="A24" s="30">
        <v>4</v>
      </c>
      <c r="B24" s="31" t="str">
        <f>Item4!B3</f>
        <v>Licenças de uso para sistema operacional para servidor</v>
      </c>
      <c r="C24" s="30" t="str">
        <f>Item4!E3</f>
        <v>unidade</v>
      </c>
      <c r="D24" s="30">
        <f>Item4!F3</f>
        <v>2000</v>
      </c>
      <c r="E24" s="35">
        <f>MIN(Item4!H3:H17)</f>
        <v>191.42466000000002</v>
      </c>
      <c r="F24" s="32">
        <f t="shared" si="2"/>
        <v>382840</v>
      </c>
    </row>
    <row r="25" spans="1:6" ht="17.25" x14ac:dyDescent="0.2">
      <c r="A25" s="34" t="s">
        <v>39</v>
      </c>
      <c r="B25" s="73" t="str">
        <f>INDEX(Item5!G3:G17,MATCH(TOTAL!E26,Item5!H3:H17,0))</f>
        <v>CHIP &amp; CIA - INFORMÁTICA EMPRESARIAL LTDA</v>
      </c>
      <c r="C25" s="74"/>
      <c r="D25" s="74"/>
      <c r="E25" s="74"/>
      <c r="F25" s="75"/>
    </row>
    <row r="26" spans="1:6" x14ac:dyDescent="0.2">
      <c r="A26" s="30">
        <v>5</v>
      </c>
      <c r="B26" s="31" t="str">
        <f>Item5!B3</f>
        <v>Servidor</v>
      </c>
      <c r="C26" s="30" t="str">
        <f>Item5!E3</f>
        <v>unidade</v>
      </c>
      <c r="D26" s="30">
        <f>Item5!F3</f>
        <v>4</v>
      </c>
      <c r="E26" s="35">
        <f>MIN(Item5!H3:H17)</f>
        <v>73943.320000000007</v>
      </c>
      <c r="F26" s="32">
        <f t="shared" si="2"/>
        <v>295773.28000000003</v>
      </c>
    </row>
    <row r="27" spans="1:6" ht="17.25" x14ac:dyDescent="0.2">
      <c r="A27" s="34" t="s">
        <v>39</v>
      </c>
      <c r="B27" s="73" t="str">
        <f>INDEX(Item6!G3:G17,MATCH(TOTAL!E28,Item6!H3:H17,0))</f>
        <v>SUPRILOJA.COM.BR</v>
      </c>
      <c r="C27" s="74"/>
      <c r="D27" s="74"/>
      <c r="E27" s="74"/>
      <c r="F27" s="75"/>
    </row>
    <row r="28" spans="1:6" x14ac:dyDescent="0.2">
      <c r="A28" s="30">
        <v>6</v>
      </c>
      <c r="B28" s="31" t="str">
        <f>Item6!B3</f>
        <v>Cartucho de fita para backup</v>
      </c>
      <c r="C28" s="30" t="str">
        <f>Item6!E3</f>
        <v>unidade</v>
      </c>
      <c r="D28" s="30">
        <f>Item6!F3</f>
        <v>200</v>
      </c>
      <c r="E28" s="35">
        <f>MIN(Item6!H3:H17)</f>
        <v>182.3</v>
      </c>
      <c r="F28" s="32">
        <f t="shared" si="2"/>
        <v>36460</v>
      </c>
    </row>
    <row r="29" spans="1:6" ht="17.25" x14ac:dyDescent="0.2">
      <c r="A29" s="34" t="s">
        <v>39</v>
      </c>
      <c r="B29" s="73" t="str">
        <f>INDEX(Item7!G3:G17,MATCH(TOTAL!E30,Item7!H3:H17,0))</f>
        <v>BESTCARTUCHOS.COM.BR</v>
      </c>
      <c r="C29" s="74"/>
      <c r="D29" s="74"/>
      <c r="E29" s="74"/>
      <c r="F29" s="75"/>
    </row>
    <row r="30" spans="1:6" x14ac:dyDescent="0.2">
      <c r="A30" s="30">
        <v>7</v>
      </c>
      <c r="B30" s="31" t="str">
        <f>Item7!B3</f>
        <v>Cartucho para etiquetadora</v>
      </c>
      <c r="C30" s="30" t="str">
        <f>Item7!E3</f>
        <v>unidade</v>
      </c>
      <c r="D30" s="30">
        <f>Item7!F3</f>
        <v>20</v>
      </c>
      <c r="E30" s="35">
        <f>MIN(Item7!H3:H17)</f>
        <v>49.9</v>
      </c>
      <c r="F30" s="32">
        <f t="shared" si="2"/>
        <v>998</v>
      </c>
    </row>
    <row r="31" spans="1:6" ht="15.75" x14ac:dyDescent="0.25">
      <c r="A31" s="72" t="s">
        <v>40</v>
      </c>
      <c r="B31" s="72"/>
      <c r="C31" s="72"/>
      <c r="D31" s="72"/>
      <c r="E31" s="72"/>
      <c r="F31" s="33">
        <f>SUM(F18:F30)</f>
        <v>1698791.0599999998</v>
      </c>
    </row>
  </sheetData>
  <mergeCells count="13">
    <mergeCell ref="A1:F1"/>
    <mergeCell ref="A12:E12"/>
    <mergeCell ref="A15:F15"/>
    <mergeCell ref="A31:E31"/>
    <mergeCell ref="B17:F17"/>
    <mergeCell ref="B19:F19"/>
    <mergeCell ref="B21:F21"/>
    <mergeCell ref="B23:F23"/>
    <mergeCell ref="B25:F25"/>
    <mergeCell ref="B27:F27"/>
    <mergeCell ref="B29:F29"/>
    <mergeCell ref="A3:F3"/>
    <mergeCell ref="A6:E6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Item6</vt:lpstr>
      <vt:lpstr>Item7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2019-02-15T17:24:54Z</cp:lastPrinted>
  <dcterms:created xsi:type="dcterms:W3CDTF">2019-01-16T20:04:04Z</dcterms:created>
  <dcterms:modified xsi:type="dcterms:W3CDTF">2019-11-07T19:50:36Z</dcterms:modified>
</cp:coreProperties>
</file>