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 activeTab="7"/>
  </bookViews>
  <sheets>
    <sheet name="Editor" sheetId="1" r:id="rId1"/>
    <sheet name="Redator" sheetId="2" r:id="rId2"/>
    <sheet name="AssCer" sheetId="3" r:id="rId3"/>
    <sheet name="RedTemp1" sheetId="5" r:id="rId4"/>
    <sheet name="HExtra" sheetId="8" r:id="rId5"/>
    <sheet name="Diárias" sheetId="9" r:id="rId6"/>
    <sheet name="Desloc" sheetId="10" r:id="rId7"/>
    <sheet name="Total" sheetId="11" r:id="rId8"/>
  </sheets>
  <calcPr calcId="145621"/>
</workbook>
</file>

<file path=xl/calcChain.xml><?xml version="1.0" encoding="utf-8"?>
<calcChain xmlns="http://schemas.openxmlformats.org/spreadsheetml/2006/main">
  <c r="E32" i="8" l="1"/>
  <c r="E31" i="8"/>
  <c r="F32" i="11" l="1"/>
  <c r="F31" i="11"/>
  <c r="F23" i="11"/>
  <c r="F22" i="11"/>
  <c r="D139" i="1"/>
  <c r="D140" i="1"/>
  <c r="D141" i="1"/>
  <c r="D142" i="1"/>
  <c r="D139" i="2"/>
  <c r="D140" i="2"/>
  <c r="D141" i="2"/>
  <c r="D142" i="2"/>
  <c r="D139" i="5"/>
  <c r="D140" i="5"/>
  <c r="D141" i="5"/>
  <c r="D142" i="5"/>
  <c r="D138" i="1"/>
  <c r="D138" i="2"/>
  <c r="D138" i="5"/>
  <c r="D136" i="1"/>
  <c r="D136" i="2"/>
  <c r="D136" i="5"/>
  <c r="D135" i="1"/>
  <c r="D135" i="2"/>
  <c r="D135" i="5"/>
  <c r="D134" i="2"/>
  <c r="D134" i="5"/>
  <c r="D134" i="1"/>
  <c r="B16" i="11"/>
  <c r="B10" i="11"/>
  <c r="B9" i="11"/>
  <c r="B8" i="11"/>
  <c r="C9" i="10" l="1"/>
  <c r="B9" i="10"/>
  <c r="A9" i="10"/>
  <c r="D4" i="10"/>
  <c r="A15" i="10" s="1"/>
  <c r="D21" i="9"/>
  <c r="B16" i="9"/>
  <c r="C10" i="9"/>
  <c r="B10" i="9"/>
  <c r="A10" i="9"/>
  <c r="B5" i="9"/>
  <c r="D5" i="9" s="1"/>
  <c r="A10" i="10" l="1"/>
  <c r="A11" i="9"/>
  <c r="B11" i="9" s="1"/>
  <c r="E28" i="8"/>
  <c r="D28" i="8"/>
  <c r="C28" i="8"/>
  <c r="E21" i="8"/>
  <c r="E20" i="8"/>
  <c r="E17" i="8"/>
  <c r="D17" i="8"/>
  <c r="C17" i="8"/>
  <c r="E10" i="8"/>
  <c r="E9" i="8"/>
  <c r="E6" i="8"/>
  <c r="D6" i="8"/>
  <c r="C6" i="8"/>
  <c r="B10" i="10" l="1"/>
  <c r="C10" i="10" s="1"/>
  <c r="D10" i="10" s="1"/>
  <c r="B15" i="10" s="1"/>
  <c r="C15" i="10" s="1"/>
  <c r="D15" i="10" s="1"/>
  <c r="C11" i="9"/>
  <c r="D11" i="9" s="1"/>
  <c r="C16" i="9" s="1"/>
  <c r="D16" i="9" s="1"/>
  <c r="B21" i="9" s="1"/>
  <c r="C21" i="9" s="1"/>
  <c r="C98" i="5"/>
  <c r="C101" i="5"/>
  <c r="C100" i="5"/>
  <c r="C99" i="5"/>
  <c r="C97" i="5"/>
  <c r="C87" i="5"/>
  <c r="C85" i="5"/>
  <c r="C84" i="5"/>
  <c r="C82" i="5"/>
  <c r="D153" i="5"/>
  <c r="C136" i="5"/>
  <c r="C143" i="5" s="1"/>
  <c r="C86" i="5"/>
  <c r="D63" i="5"/>
  <c r="D67" i="5" s="1"/>
  <c r="D75" i="5" s="1"/>
  <c r="C57" i="5"/>
  <c r="C42" i="5"/>
  <c r="C41" i="5"/>
  <c r="C43" i="5" s="1"/>
  <c r="D33" i="5"/>
  <c r="D153" i="3"/>
  <c r="C136" i="3"/>
  <c r="C143" i="3" s="1"/>
  <c r="C101" i="3"/>
  <c r="C100" i="3"/>
  <c r="C99" i="3"/>
  <c r="C98" i="3"/>
  <c r="C97" i="3"/>
  <c r="C87" i="3"/>
  <c r="C85" i="3"/>
  <c r="C84" i="3"/>
  <c r="C82" i="3"/>
  <c r="D63" i="3"/>
  <c r="D67" i="3" s="1"/>
  <c r="D75" i="3" s="1"/>
  <c r="C57" i="3"/>
  <c r="C86" i="3" s="1"/>
  <c r="C42" i="3"/>
  <c r="C41" i="3"/>
  <c r="C43" i="3" s="1"/>
  <c r="D33" i="3"/>
  <c r="D153" i="2"/>
  <c r="C136" i="2"/>
  <c r="C143" i="2" s="1"/>
  <c r="C101" i="2"/>
  <c r="C100" i="2"/>
  <c r="C99" i="2"/>
  <c r="C98" i="2"/>
  <c r="C97" i="2"/>
  <c r="C87" i="2"/>
  <c r="C86" i="2"/>
  <c r="C85" i="2"/>
  <c r="C84" i="2"/>
  <c r="C82" i="2"/>
  <c r="D63" i="2"/>
  <c r="D67" i="2" s="1"/>
  <c r="D75" i="2" s="1"/>
  <c r="C57" i="2"/>
  <c r="C42" i="2"/>
  <c r="C41" i="2"/>
  <c r="D33" i="2"/>
  <c r="D63" i="1"/>
  <c r="D41" i="3" l="1"/>
  <c r="A29" i="8"/>
  <c r="D149" i="2"/>
  <c r="A18" i="8"/>
  <c r="B18" i="8" s="1"/>
  <c r="D82" i="5"/>
  <c r="D149" i="5"/>
  <c r="D85" i="5"/>
  <c r="D86" i="5" s="1"/>
  <c r="D87" i="5"/>
  <c r="D42" i="5"/>
  <c r="D41" i="5"/>
  <c r="D84" i="5"/>
  <c r="D84" i="3"/>
  <c r="D42" i="3"/>
  <c r="D82" i="3"/>
  <c r="D149" i="3"/>
  <c r="D85" i="3"/>
  <c r="D86" i="3" s="1"/>
  <c r="D87" i="3"/>
  <c r="D85" i="2"/>
  <c r="D86" i="2" s="1"/>
  <c r="D41" i="2"/>
  <c r="D84" i="2"/>
  <c r="D87" i="2"/>
  <c r="C43" i="2"/>
  <c r="D42" i="2"/>
  <c r="D82" i="2"/>
  <c r="C136" i="1"/>
  <c r="C143" i="1"/>
  <c r="C101" i="1"/>
  <c r="C100" i="1"/>
  <c r="C99" i="1"/>
  <c r="C98" i="1"/>
  <c r="C97" i="1"/>
  <c r="C87" i="1"/>
  <c r="C86" i="1"/>
  <c r="C85" i="1"/>
  <c r="C84" i="1"/>
  <c r="C82" i="1"/>
  <c r="C43" i="1"/>
  <c r="C42" i="1"/>
  <c r="C41" i="1"/>
  <c r="D43" i="3" l="1"/>
  <c r="D51" i="3" s="1"/>
  <c r="C18" i="8"/>
  <c r="D18" i="8" s="1"/>
  <c r="B29" i="8"/>
  <c r="D43" i="2"/>
  <c r="D54" i="2" s="1"/>
  <c r="D83" i="5"/>
  <c r="D88" i="5" s="1"/>
  <c r="D151" i="5" s="1"/>
  <c r="D43" i="5"/>
  <c r="D55" i="3"/>
  <c r="D73" i="3"/>
  <c r="D52" i="3"/>
  <c r="D53" i="3"/>
  <c r="D56" i="3"/>
  <c r="D54" i="3"/>
  <c r="D50" i="3"/>
  <c r="D83" i="3"/>
  <c r="D88" i="3" s="1"/>
  <c r="D151" i="3" s="1"/>
  <c r="D83" i="2"/>
  <c r="D88" i="2" s="1"/>
  <c r="D151" i="2" s="1"/>
  <c r="D73" i="2"/>
  <c r="D53" i="2"/>
  <c r="D56" i="2"/>
  <c r="D52" i="2"/>
  <c r="D55" i="2"/>
  <c r="D50" i="2"/>
  <c r="D153" i="1"/>
  <c r="D67" i="1"/>
  <c r="D75" i="1" s="1"/>
  <c r="C57" i="1"/>
  <c r="D33" i="1"/>
  <c r="D49" i="3" l="1"/>
  <c r="E18" i="8"/>
  <c r="F18" i="8" s="1"/>
  <c r="C21" i="8" s="1"/>
  <c r="F21" i="8" s="1"/>
  <c r="C29" i="8"/>
  <c r="D51" i="2"/>
  <c r="D49" i="2"/>
  <c r="A7" i="8"/>
  <c r="C20" i="8"/>
  <c r="F20" i="8" s="1"/>
  <c r="F22" i="8" s="1"/>
  <c r="D73" i="5"/>
  <c r="D55" i="5"/>
  <c r="D49" i="5"/>
  <c r="D52" i="5"/>
  <c r="D56" i="5"/>
  <c r="D53" i="5"/>
  <c r="D51" i="5"/>
  <c r="D54" i="5"/>
  <c r="D50" i="5"/>
  <c r="D57" i="3"/>
  <c r="D74" i="3" s="1"/>
  <c r="D76" i="3" s="1"/>
  <c r="D57" i="2"/>
  <c r="D74" i="2" s="1"/>
  <c r="D76" i="2" s="1"/>
  <c r="D84" i="1"/>
  <c r="D85" i="1"/>
  <c r="D86" i="1" s="1"/>
  <c r="D82" i="1"/>
  <c r="D83" i="1" s="1"/>
  <c r="D149" i="1"/>
  <c r="D42" i="1"/>
  <c r="D87" i="1"/>
  <c r="D41" i="1"/>
  <c r="D29" i="8" l="1"/>
  <c r="E29" i="8"/>
  <c r="B7" i="8"/>
  <c r="D57" i="5"/>
  <c r="D74" i="5" s="1"/>
  <c r="D76" i="5"/>
  <c r="D100" i="3"/>
  <c r="D98" i="3"/>
  <c r="D150" i="3"/>
  <c r="D109" i="3"/>
  <c r="D110" i="3" s="1"/>
  <c r="D117" i="3" s="1"/>
  <c r="D97" i="3"/>
  <c r="D99" i="3"/>
  <c r="D102" i="3"/>
  <c r="D101" i="3"/>
  <c r="D109" i="2"/>
  <c r="D110" i="2" s="1"/>
  <c r="D117" i="2" s="1"/>
  <c r="D100" i="2"/>
  <c r="D98" i="2"/>
  <c r="D150" i="2"/>
  <c r="D102" i="2"/>
  <c r="D97" i="2"/>
  <c r="D99" i="2"/>
  <c r="D101" i="2"/>
  <c r="D43" i="1"/>
  <c r="D88" i="1"/>
  <c r="F29" i="8" l="1"/>
  <c r="C7" i="8"/>
  <c r="D7" i="8" s="1"/>
  <c r="D150" i="5"/>
  <c r="D99" i="5"/>
  <c r="D109" i="5"/>
  <c r="D110" i="5" s="1"/>
  <c r="D117" i="5" s="1"/>
  <c r="D101" i="5"/>
  <c r="D102" i="5"/>
  <c r="D98" i="5"/>
  <c r="D97" i="5"/>
  <c r="D100" i="5"/>
  <c r="D103" i="3"/>
  <c r="D116" i="3" s="1"/>
  <c r="D118" i="3" s="1"/>
  <c r="D152" i="3" s="1"/>
  <c r="D154" i="3" s="1"/>
  <c r="D103" i="2"/>
  <c r="D116" i="2" s="1"/>
  <c r="D118" i="2" s="1"/>
  <c r="D152" i="2" s="1"/>
  <c r="D154" i="2" s="1"/>
  <c r="D73" i="1"/>
  <c r="D54" i="1"/>
  <c r="D51" i="1"/>
  <c r="D53" i="1"/>
  <c r="D55" i="1"/>
  <c r="D49" i="1"/>
  <c r="D56" i="1"/>
  <c r="D50" i="1"/>
  <c r="D52" i="1"/>
  <c r="D151" i="1"/>
  <c r="D134" i="3" l="1"/>
  <c r="D135" i="3"/>
  <c r="D136" i="3" s="1"/>
  <c r="C31" i="8"/>
  <c r="F31" i="8" s="1"/>
  <c r="C32" i="8"/>
  <c r="F32" i="8" s="1"/>
  <c r="E7" i="8"/>
  <c r="F7" i="8" s="1"/>
  <c r="D103" i="5"/>
  <c r="D116" i="5" s="1"/>
  <c r="D118" i="5" s="1"/>
  <c r="D152" i="5" s="1"/>
  <c r="D154" i="5" s="1"/>
  <c r="D57" i="1"/>
  <c r="D74" i="1" s="1"/>
  <c r="D76" i="1" s="1"/>
  <c r="F33" i="8" l="1"/>
  <c r="F36" i="8" s="1"/>
  <c r="D150" i="1"/>
  <c r="D109" i="1"/>
  <c r="C10" i="8"/>
  <c r="F10" i="8" s="1"/>
  <c r="C9" i="8"/>
  <c r="F9" i="8" s="1"/>
  <c r="D143" i="2"/>
  <c r="D155" i="2" s="1"/>
  <c r="D156" i="2" s="1"/>
  <c r="C9" i="11" s="1"/>
  <c r="D9" i="11" s="1"/>
  <c r="F9" i="11" s="1"/>
  <c r="D100" i="1"/>
  <c r="D97" i="1"/>
  <c r="D101" i="1"/>
  <c r="D110" i="1"/>
  <c r="D117" i="1" s="1"/>
  <c r="D98" i="1"/>
  <c r="D99" i="1"/>
  <c r="D102" i="1"/>
  <c r="F11" i="8" l="1"/>
  <c r="F30" i="11" s="1"/>
  <c r="D143" i="5"/>
  <c r="D155" i="5" s="1"/>
  <c r="D156" i="5" s="1"/>
  <c r="C16" i="11" s="1"/>
  <c r="D16" i="11" s="1"/>
  <c r="F16" i="11" s="1"/>
  <c r="D143" i="3"/>
  <c r="D155" i="3" s="1"/>
  <c r="D156" i="3" s="1"/>
  <c r="D137" i="2"/>
  <c r="D103" i="1"/>
  <c r="D116" i="1" s="1"/>
  <c r="D118" i="1" s="1"/>
  <c r="D152" i="1" s="1"/>
  <c r="D154" i="1" s="1"/>
  <c r="D142" i="3" l="1"/>
  <c r="D139" i="3"/>
  <c r="D140" i="3"/>
  <c r="D141" i="3"/>
  <c r="D138" i="3"/>
  <c r="C10" i="11"/>
  <c r="D10" i="11" s="1"/>
  <c r="F10" i="11" s="1"/>
  <c r="D137" i="3"/>
  <c r="F17" i="11"/>
  <c r="F29" i="11" s="1"/>
  <c r="D137" i="5"/>
  <c r="D143" i="1"/>
  <c r="D155" i="1" s="1"/>
  <c r="D156" i="1" s="1"/>
  <c r="C8" i="11" l="1"/>
  <c r="D8" i="11" s="1"/>
  <c r="F8" i="11" s="1"/>
  <c r="F11" i="11" s="1"/>
  <c r="D137" i="1"/>
  <c r="F28" i="11" l="1"/>
  <c r="F33" i="11" s="1"/>
  <c r="F21" i="11"/>
  <c r="F24" i="11" s="1"/>
  <c r="F35" i="11" l="1"/>
</calcChain>
</file>

<file path=xl/sharedStrings.xml><?xml version="1.0" encoding="utf-8"?>
<sst xmlns="http://schemas.openxmlformats.org/spreadsheetml/2006/main" count="877" uniqueCount="172">
  <si>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</si>
  <si>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</si>
  <si>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</si>
  <si>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</si>
  <si>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</si>
  <si>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</si>
  <si>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</si>
  <si>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</si>
  <si>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</si>
  <si>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</si>
  <si>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</si>
  <si>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</si>
  <si>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</si>
  <si>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</si>
  <si>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</si>
  <si>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</si>
  <si>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</si>
  <si>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</si>
  <si>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</si>
  <si>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</si>
  <si>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</si>
  <si>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</si>
  <si>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</si>
  <si>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</si>
  <si>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</si>
  <si>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</si>
  <si>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</si>
  <si>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</si>
  <si>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</si>
  <si>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</si>
  <si>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</si>
  <si>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</si>
  <si>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</si>
  <si>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</si>
  <si>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</si>
  <si>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</si>
  <si>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</si>
  <si>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</si>
  <si>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</si>
  <si>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</si>
  <si>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</si>
  <si>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</si>
  <si>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</si>
  <si>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Benefício xxx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</si>
  <si>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</si>
  <si>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</si>
  <si>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</si>
  <si>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</si>
  <si>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</si>
  <si>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</si>
  <si>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</si>
  <si>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</si>
  <si>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</si>
  <si>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</si>
  <si>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</si>
  <si>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</si>
  <si>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</si>
  <si>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</si>
  <si>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</si>
  <si>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</si>
  <si>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</si>
  <si>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</si>
  <si>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</si>
  <si>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</si>
  <si>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</si>
  <si>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</si>
  <si>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</si>
  <si>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</si>
  <si>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</si>
  <si>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</si>
  <si>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</si>
  <si>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</si>
  <si>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</si>
  <si>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</si>
  <si>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</si>
  <si>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</si>
  <si>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</si>
  <si>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</si>
  <si>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</si>
  <si>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</si>
  <si>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</si>
  <si>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</si>
  <si>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</si>
  <si>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</si>
  <si>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</si>
  <si>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</si>
  <si>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</si>
  <si>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</si>
  <si>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</si>
  <si>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</si>
  <si>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</si>
  <si>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Discriminação dos Serviços</t>
  </si>
  <si>
    <t>Data de apresentação da proposta</t>
  </si>
  <si>
    <t>Município</t>
  </si>
  <si>
    <t>Ano do Acordo, Convenção ou Dissídio Coletivo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</si>
  <si>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</si>
  <si>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</si>
  <si>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</si>
  <si>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</si>
  <si>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</si>
  <si>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</si>
  <si>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</si>
  <si>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</si>
  <si>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</si>
  <si>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</si>
  <si>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</si>
  <si>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2611-20</t>
  </si>
  <si>
    <t>Editor</t>
  </si>
  <si>
    <t>posto de serviço</t>
  </si>
  <si>
    <t>1 empregado por posto</t>
  </si>
  <si>
    <t>Redator</t>
  </si>
  <si>
    <t>2615-30</t>
  </si>
  <si>
    <t>HORAS SUPLEMENTARES</t>
  </si>
  <si>
    <t>Remuneração</t>
  </si>
  <si>
    <t>Encargos</t>
  </si>
  <si>
    <t>Valor da hora normal</t>
  </si>
  <si>
    <t>D.U. e Sáb.</t>
  </si>
  <si>
    <t>Domingos</t>
  </si>
  <si>
    <t>Valor da hora extra</t>
  </si>
  <si>
    <t>Quantidade de horas suplementares por posto</t>
  </si>
  <si>
    <t>Valores totais</t>
  </si>
  <si>
    <t>Quantidades totais</t>
  </si>
  <si>
    <t>Percentual de Acréscimo</t>
  </si>
  <si>
    <t>Total mensal estimado com horas extras</t>
  </si>
  <si>
    <t>DIÁRIAS</t>
  </si>
  <si>
    <t>Valor da diária</t>
  </si>
  <si>
    <t>Descontos</t>
  </si>
  <si>
    <t>Vale alimentação</t>
  </si>
  <si>
    <t>Vale transporte</t>
  </si>
  <si>
    <t>Valor após desconto</t>
  </si>
  <si>
    <t>Valor unitário estimado com Diárias</t>
  </si>
  <si>
    <t>Incidência de Custos Indiretos, Lucro e Tributos</t>
  </si>
  <si>
    <t>Custo unitário da diária</t>
  </si>
  <si>
    <t>Quantidade anual de diárias</t>
  </si>
  <si>
    <t>Valor anual</t>
  </si>
  <si>
    <t>Valor total</t>
  </si>
  <si>
    <t>Estimativa total com diárias</t>
  </si>
  <si>
    <t>Custos Indiretos, Lucro e Tributos</t>
  </si>
  <si>
    <t>DESLOCAMENTOS</t>
  </si>
  <si>
    <t>Quilometragem máxima (Km)</t>
  </si>
  <si>
    <t>Total anual para deslocamentos</t>
  </si>
  <si>
    <t>Coeficiente Tarifário Quilométrico (CTQ) máximo admitido (R$/Km)</t>
  </si>
  <si>
    <t>Estimativa total com deslocamentos</t>
  </si>
  <si>
    <t>Valor anual após incidência de Custos Indiretos, Lucro e Tributos</t>
  </si>
  <si>
    <t>QUADRO RESUMO - VALORES ESTIMADOS</t>
  </si>
  <si>
    <t>Valor mensal - tópico 3 do TR</t>
  </si>
  <si>
    <t>Postos regulares</t>
  </si>
  <si>
    <t>item</t>
  </si>
  <si>
    <t>serviços</t>
  </si>
  <si>
    <t>valor por empregado</t>
  </si>
  <si>
    <t>valor mensal do posto</t>
  </si>
  <si>
    <t>quantidade de postos</t>
  </si>
  <si>
    <t>valor mensal</t>
  </si>
  <si>
    <t>Valor total mensal - postos regulares</t>
  </si>
  <si>
    <t>Acréscimo temporário de postos  - tópico 3.1 do TR</t>
  </si>
  <si>
    <t>valor total do acréscimo</t>
  </si>
  <si>
    <t>Total com acréscimo temporário de postos</t>
  </si>
  <si>
    <t>quantidade de meses</t>
  </si>
  <si>
    <t>ANO NÃO ELEITORAL</t>
  </si>
  <si>
    <t>Valor anual - postos regulares - tópico 3</t>
  </si>
  <si>
    <t>Diárias - Anexo A, tópico 2.11</t>
  </si>
  <si>
    <t>Deslocamentos - Anexo A, tópico 2.11</t>
  </si>
  <si>
    <t>Total ano não eleitoral</t>
  </si>
  <si>
    <t>ANO ELEITORAL</t>
  </si>
  <si>
    <t>Acréscimo temporário de postos - tópico 3.1</t>
  </si>
  <si>
    <t>Valor total estimado - por 24 meses</t>
  </si>
  <si>
    <t>Total ano eleitoral</t>
  </si>
  <si>
    <t>Total estimado com horas extras</t>
  </si>
  <si>
    <t>Serviço extraordinário - Anexo A, tópico 1.2</t>
  </si>
  <si>
    <t>Assistente de Cerimonial</t>
  </si>
  <si>
    <t>Redator - acréscimo temporário em ano eleitoral, de maio a novembro</t>
  </si>
  <si>
    <t>3548-25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</si>
</sst>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\-??_);_(@_)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3" xfId="0" applyFont="1" applyBorder="1" applyAlignment="1"/>
    <xf numFmtId="0" fontId="4" fillId="0" borderId="1" xfId="0" applyFont="1" applyBorder="1" applyAlignment="1"/>
    <xf numFmtId="0" fontId="4" fillId="0" borderId="2" xfId="0" applyFont="1" applyBorder="1"/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8" fillId="0" borderId="0" xfId="0" applyFont="1"/>
    <xf numFmtId="43" fontId="8" fillId="0" borderId="0" xfId="0" applyNumberFormat="1" applyFont="1"/>
    <xf numFmtId="43" fontId="8" fillId="0" borderId="0" xfId="10" applyFont="1"/>
    <xf numFmtId="0" fontId="8" fillId="0" borderId="1" xfId="0" applyFont="1" applyBorder="1" applyAlignment="1">
      <alignment horizontal="center" vertical="center"/>
    </xf>
    <xf numFmtId="43" fontId="8" fillId="0" borderId="1" xfId="10" applyFont="1" applyBorder="1"/>
    <xf numFmtId="0" fontId="8" fillId="0" borderId="1" xfId="0" applyFont="1" applyBorder="1"/>
    <xf numFmtId="9" fontId="8" fillId="0" borderId="1" xfId="0" applyNumberFormat="1" applyFont="1" applyBorder="1"/>
    <xf numFmtId="43" fontId="9" fillId="0" borderId="1" xfId="0" applyNumberFormat="1" applyFont="1" applyBorder="1"/>
    <xf numFmtId="0" fontId="9" fillId="0" borderId="1" xfId="0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8" fillId="0" borderId="0" xfId="0" applyFont="1" applyAlignment="1">
      <alignment wrapText="1"/>
    </xf>
    <xf numFmtId="43" fontId="8" fillId="0" borderId="1" xfId="0" applyNumberFormat="1" applyFont="1" applyBorder="1"/>
    <xf numFmtId="10" fontId="8" fillId="0" borderId="1" xfId="0" applyNumberFormat="1" applyFont="1" applyBorder="1" applyAlignment="1">
      <alignment horizontal="center"/>
    </xf>
    <xf numFmtId="165" fontId="8" fillId="0" borderId="1" xfId="10" applyNumberFormat="1" applyFont="1" applyBorder="1"/>
    <xf numFmtId="43" fontId="9" fillId="8" borderId="0" xfId="0" applyNumberFormat="1" applyFont="1" applyFill="1"/>
    <xf numFmtId="0" fontId="8" fillId="0" borderId="1" xfId="0" applyFont="1" applyBorder="1" applyAlignment="1">
      <alignment wrapText="1"/>
    </xf>
    <xf numFmtId="43" fontId="9" fillId="0" borderId="1" xfId="10" applyFont="1" applyBorder="1"/>
    <xf numFmtId="0" fontId="8" fillId="0" borderId="1" xfId="0" applyFont="1" applyBorder="1" applyAlignment="1">
      <alignment horizontal="center"/>
    </xf>
    <xf numFmtId="43" fontId="9" fillId="7" borderId="0" xfId="0" applyNumberFormat="1" applyFont="1" applyFill="1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5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7" borderId="0" xfId="0" applyFont="1" applyFill="1" applyBorder="1" applyAlignment="1">
      <alignment horizontal="center"/>
    </xf>
    <xf numFmtId="0" fontId="9" fillId="8" borderId="0" xfId="0" applyFont="1" applyFill="1" applyAlignment="1">
      <alignment horizontal="center"/>
    </xf>
    <xf numFmtId="0" fontId="9" fillId="0" borderId="1" xfId="0" applyFont="1" applyBorder="1" applyAlignment="1">
      <alignment horizontal="center"/>
    </xf>
    <xf numFmtId="0" fontId="9" fillId="7" borderId="0" xfId="0" applyFont="1" applyFill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9" fillId="6" borderId="0" xfId="0" applyFont="1" applyFill="1" applyAlignment="1">
      <alignment horizontal="center"/>
    </xf>
    <xf numFmtId="0" fontId="10" fillId="4" borderId="0" xfId="0" applyFont="1" applyFill="1" applyAlignment="1">
      <alignment horizontal="center"/>
    </xf>
  </cellXfs>
  <cellStyles count="12">
    <cellStyle name="Normal" xfId="0" builtinId="0"/>
    <cellStyle name="Normal 2" xfId="1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6"/>
  <sheetViews>
    <sheetView topLeftCell="A13" zoomScale="115" zoomScaleNormal="115" workbookViewId="0">
      <selection activeCell="D156" sqref="D156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64" t="s">
        <v>0</v>
      </c>
      <c r="B1" s="64"/>
      <c r="C1" s="64"/>
      <c r="D1" s="64"/>
    </row>
    <row r="2" spans="1:4" ht="15.75" x14ac:dyDescent="0.25">
      <c r="A2" s="26"/>
      <c r="B2" s="26"/>
      <c r="C2" s="26"/>
      <c r="D2" s="26"/>
    </row>
    <row r="3" spans="1:4" x14ac:dyDescent="0.2">
      <c r="A3" s="66" t="s">
        <v>91</v>
      </c>
      <c r="B3" s="66"/>
      <c r="C3" s="66"/>
      <c r="D3" s="66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92</v>
      </c>
      <c r="C5" s="27"/>
      <c r="D5" s="28"/>
    </row>
    <row r="6" spans="1:4" x14ac:dyDescent="0.2">
      <c r="A6" s="5" t="s">
        <v>6</v>
      </c>
      <c r="B6" s="29" t="s">
        <v>93</v>
      </c>
      <c r="C6" s="27"/>
      <c r="D6" s="28"/>
    </row>
    <row r="7" spans="1:4" x14ac:dyDescent="0.2">
      <c r="A7" s="5" t="s">
        <v>8</v>
      </c>
      <c r="B7" s="29" t="s">
        <v>94</v>
      </c>
      <c r="C7" s="27"/>
      <c r="D7" s="28"/>
    </row>
    <row r="8" spans="1:4" x14ac:dyDescent="0.2">
      <c r="A8" s="5" t="s">
        <v>10</v>
      </c>
      <c r="B8" s="29" t="s">
        <v>95</v>
      </c>
      <c r="C8" s="27"/>
      <c r="D8" s="28"/>
    </row>
    <row r="10" spans="1:4" x14ac:dyDescent="0.2">
      <c r="A10" s="66" t="s">
        <v>96</v>
      </c>
      <c r="B10" s="66"/>
      <c r="C10" s="66"/>
      <c r="D10" s="66"/>
    </row>
    <row r="11" spans="1:4" x14ac:dyDescent="0.2">
      <c r="A11" s="2"/>
      <c r="B11" s="2"/>
      <c r="C11" s="2"/>
      <c r="D11" s="2"/>
    </row>
    <row r="12" spans="1:4" ht="38.25" x14ac:dyDescent="0.2">
      <c r="A12" s="73" t="s">
        <v>97</v>
      </c>
      <c r="B12" s="73"/>
      <c r="C12" s="7" t="s">
        <v>98</v>
      </c>
      <c r="D12" s="30" t="s">
        <v>99</v>
      </c>
    </row>
    <row r="13" spans="1:4" x14ac:dyDescent="0.2">
      <c r="A13" s="74" t="s">
        <v>107</v>
      </c>
      <c r="B13" s="74"/>
      <c r="C13" s="36" t="s">
        <v>108</v>
      </c>
      <c r="D13" s="36" t="s">
        <v>109</v>
      </c>
    </row>
    <row r="15" spans="1:4" x14ac:dyDescent="0.2">
      <c r="A15" s="66" t="s">
        <v>75</v>
      </c>
      <c r="B15" s="66"/>
      <c r="C15" s="66"/>
      <c r="D15" s="66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76</v>
      </c>
      <c r="C17" s="75" t="s">
        <v>107</v>
      </c>
      <c r="D17" s="76"/>
    </row>
    <row r="18" spans="1:4" x14ac:dyDescent="0.2">
      <c r="A18" s="5">
        <v>2</v>
      </c>
      <c r="B18" s="5" t="s">
        <v>100</v>
      </c>
      <c r="C18" s="75" t="s">
        <v>106</v>
      </c>
      <c r="D18" s="76"/>
    </row>
    <row r="19" spans="1:4" x14ac:dyDescent="0.2">
      <c r="A19" s="5">
        <v>3</v>
      </c>
      <c r="B19" s="5" t="s">
        <v>77</v>
      </c>
      <c r="C19" s="75"/>
      <c r="D19" s="76"/>
    </row>
    <row r="20" spans="1:4" x14ac:dyDescent="0.2">
      <c r="A20" s="5">
        <v>4</v>
      </c>
      <c r="B20" s="5" t="s">
        <v>78</v>
      </c>
      <c r="C20" s="75"/>
      <c r="D20" s="76"/>
    </row>
    <row r="21" spans="1:4" x14ac:dyDescent="0.2">
      <c r="A21" s="5">
        <v>5</v>
      </c>
      <c r="B21" s="5" t="s">
        <v>79</v>
      </c>
      <c r="C21" s="75"/>
      <c r="D21" s="76"/>
    </row>
    <row r="23" spans="1:4" x14ac:dyDescent="0.2">
      <c r="A23" s="66" t="s">
        <v>1</v>
      </c>
      <c r="B23" s="66"/>
      <c r="C23" s="66"/>
      <c r="D23" s="66"/>
    </row>
    <row r="25" spans="1:4" x14ac:dyDescent="0.2">
      <c r="A25" s="6">
        <v>1</v>
      </c>
      <c r="B25" s="60" t="s">
        <v>2</v>
      </c>
      <c r="C25" s="60"/>
      <c r="D25" s="6" t="s">
        <v>3</v>
      </c>
    </row>
    <row r="26" spans="1:4" x14ac:dyDescent="0.2">
      <c r="A26" s="7" t="s">
        <v>4</v>
      </c>
      <c r="B26" s="59" t="s">
        <v>5</v>
      </c>
      <c r="C26" s="59"/>
      <c r="D26" s="13">
        <v>2465.2199999999998</v>
      </c>
    </row>
    <row r="27" spans="1:4" x14ac:dyDescent="0.2">
      <c r="A27" s="7" t="s">
        <v>6</v>
      </c>
      <c r="B27" s="59" t="s">
        <v>7</v>
      </c>
      <c r="C27" s="59"/>
      <c r="D27" s="13"/>
    </row>
    <row r="28" spans="1:4" x14ac:dyDescent="0.2">
      <c r="A28" s="7" t="s">
        <v>8</v>
      </c>
      <c r="B28" s="59" t="s">
        <v>9</v>
      </c>
      <c r="C28" s="59"/>
      <c r="D28" s="13"/>
    </row>
    <row r="29" spans="1:4" x14ac:dyDescent="0.2">
      <c r="A29" s="7" t="s">
        <v>10</v>
      </c>
      <c r="B29" s="59" t="s">
        <v>11</v>
      </c>
      <c r="C29" s="59"/>
      <c r="D29" s="13"/>
    </row>
    <row r="30" spans="1:4" x14ac:dyDescent="0.2">
      <c r="A30" s="7" t="s">
        <v>12</v>
      </c>
      <c r="B30" s="59" t="s">
        <v>13</v>
      </c>
      <c r="C30" s="59"/>
      <c r="D30" s="13"/>
    </row>
    <row r="31" spans="1:4" x14ac:dyDescent="0.2">
      <c r="A31" s="7"/>
      <c r="B31" s="59"/>
      <c r="C31" s="59"/>
      <c r="D31" s="13"/>
    </row>
    <row r="32" spans="1:4" x14ac:dyDescent="0.2">
      <c r="A32" s="7" t="s">
        <v>14</v>
      </c>
      <c r="B32" s="59" t="s">
        <v>15</v>
      </c>
      <c r="C32" s="59"/>
      <c r="D32" s="13"/>
    </row>
    <row r="33" spans="1:4" x14ac:dyDescent="0.2">
      <c r="A33" s="60" t="s">
        <v>16</v>
      </c>
      <c r="B33" s="60"/>
      <c r="C33" s="60"/>
      <c r="D33" s="20">
        <f>SUM(D26:D32)</f>
        <v>2465.2199999999998</v>
      </c>
    </row>
    <row r="36" spans="1:4" x14ac:dyDescent="0.2">
      <c r="A36" s="63" t="s">
        <v>17</v>
      </c>
      <c r="B36" s="63"/>
      <c r="C36" s="63"/>
      <c r="D36" s="63"/>
    </row>
    <row r="37" spans="1:4" x14ac:dyDescent="0.2">
      <c r="A37" s="3"/>
    </row>
    <row r="38" spans="1:4" x14ac:dyDescent="0.2">
      <c r="A38" s="61" t="s">
        <v>18</v>
      </c>
      <c r="B38" s="61"/>
      <c r="C38" s="61"/>
      <c r="D38" s="61"/>
    </row>
    <row r="40" spans="1:4" x14ac:dyDescent="0.2">
      <c r="A40" s="6" t="s">
        <v>19</v>
      </c>
      <c r="B40" s="60" t="s">
        <v>20</v>
      </c>
      <c r="C40" s="60"/>
      <c r="D40" s="6" t="s">
        <v>3</v>
      </c>
    </row>
    <row r="41" spans="1:4" x14ac:dyDescent="0.2">
      <c r="A41" s="7" t="s">
        <v>4</v>
      </c>
      <c r="B41" s="8" t="s">
        <v>21</v>
      </c>
      <c r="C41" s="12">
        <f>TRUNC(1/12,4)</f>
        <v>8.3299999999999999E-2</v>
      </c>
      <c r="D41" s="13">
        <f>TRUNC($D$33*C41,2)</f>
        <v>205.35</v>
      </c>
    </row>
    <row r="42" spans="1:4" x14ac:dyDescent="0.2">
      <c r="A42" s="7" t="s">
        <v>6</v>
      </c>
      <c r="B42" s="8" t="s">
        <v>22</v>
      </c>
      <c r="C42" s="12">
        <f>TRUNC(((1+1/3)/12),4)</f>
        <v>0.1111</v>
      </c>
      <c r="D42" s="13">
        <f>TRUNC($D$33*C42,2)</f>
        <v>273.88</v>
      </c>
    </row>
    <row r="43" spans="1:4" x14ac:dyDescent="0.2">
      <c r="A43" s="60" t="s">
        <v>16</v>
      </c>
      <c r="B43" s="60"/>
      <c r="C43" s="31">
        <f>SUM(C41:C42)</f>
        <v>0.19440000000000002</v>
      </c>
      <c r="D43" s="19">
        <f>SUM(D41:D42)</f>
        <v>479.23</v>
      </c>
    </row>
    <row r="46" spans="1:4" x14ac:dyDescent="0.2">
      <c r="A46" s="65" t="s">
        <v>23</v>
      </c>
      <c r="B46" s="65"/>
      <c r="C46" s="65"/>
      <c r="D46" s="65"/>
    </row>
    <row r="48" spans="1:4" x14ac:dyDescent="0.2">
      <c r="A48" s="6" t="s">
        <v>24</v>
      </c>
      <c r="B48" s="6" t="s">
        <v>25</v>
      </c>
      <c r="C48" s="6" t="s">
        <v>26</v>
      </c>
      <c r="D48" s="6" t="s">
        <v>3</v>
      </c>
    </row>
    <row r="49" spans="1:4" x14ac:dyDescent="0.2">
      <c r="A49" s="7" t="s">
        <v>4</v>
      </c>
      <c r="B49" s="8" t="s">
        <v>27</v>
      </c>
      <c r="C49" s="9">
        <v>0.2</v>
      </c>
      <c r="D49" s="13">
        <f>TRUNC(($D$33+$D$43)*C49,2)</f>
        <v>588.89</v>
      </c>
    </row>
    <row r="50" spans="1:4" x14ac:dyDescent="0.2">
      <c r="A50" s="7" t="s">
        <v>6</v>
      </c>
      <c r="B50" s="8" t="s">
        <v>28</v>
      </c>
      <c r="C50" s="9">
        <v>2.5000000000000001E-2</v>
      </c>
      <c r="D50" s="13">
        <f t="shared" ref="D50:D56" si="0">TRUNC(($D$33+$D$43)*C50,2)</f>
        <v>73.61</v>
      </c>
    </row>
    <row r="51" spans="1:4" x14ac:dyDescent="0.2">
      <c r="A51" s="7" t="s">
        <v>8</v>
      </c>
      <c r="B51" s="8" t="s">
        <v>29</v>
      </c>
      <c r="C51" s="16">
        <v>0.03</v>
      </c>
      <c r="D51" s="13">
        <f t="shared" si="0"/>
        <v>88.33</v>
      </c>
    </row>
    <row r="52" spans="1:4" x14ac:dyDescent="0.2">
      <c r="A52" s="7" t="s">
        <v>10</v>
      </c>
      <c r="B52" s="8" t="s">
        <v>30</v>
      </c>
      <c r="C52" s="9">
        <v>1.4999999999999999E-2</v>
      </c>
      <c r="D52" s="13">
        <f t="shared" si="0"/>
        <v>44.16</v>
      </c>
    </row>
    <row r="53" spans="1:4" x14ac:dyDescent="0.2">
      <c r="A53" s="7" t="s">
        <v>12</v>
      </c>
      <c r="B53" s="8" t="s">
        <v>31</v>
      </c>
      <c r="C53" s="9">
        <v>0.01</v>
      </c>
      <c r="D53" s="13">
        <f t="shared" si="0"/>
        <v>29.44</v>
      </c>
    </row>
    <row r="54" spans="1:4" x14ac:dyDescent="0.2">
      <c r="A54" s="7" t="s">
        <v>32</v>
      </c>
      <c r="B54" s="8" t="s">
        <v>33</v>
      </c>
      <c r="C54" s="9">
        <v>6.0000000000000001E-3</v>
      </c>
      <c r="D54" s="13">
        <f t="shared" si="0"/>
        <v>17.66</v>
      </c>
    </row>
    <row r="55" spans="1:4" x14ac:dyDescent="0.2">
      <c r="A55" s="7" t="s">
        <v>14</v>
      </c>
      <c r="B55" s="8" t="s">
        <v>34</v>
      </c>
      <c r="C55" s="9">
        <v>2E-3</v>
      </c>
      <c r="D55" s="13">
        <f t="shared" si="0"/>
        <v>5.88</v>
      </c>
    </row>
    <row r="56" spans="1:4" x14ac:dyDescent="0.2">
      <c r="A56" s="7" t="s">
        <v>35</v>
      </c>
      <c r="B56" s="8" t="s">
        <v>36</v>
      </c>
      <c r="C56" s="9">
        <v>0.08</v>
      </c>
      <c r="D56" s="13">
        <f t="shared" si="0"/>
        <v>235.55</v>
      </c>
    </row>
    <row r="57" spans="1:4" x14ac:dyDescent="0.2">
      <c r="A57" s="60" t="s">
        <v>37</v>
      </c>
      <c r="B57" s="60"/>
      <c r="C57" s="15">
        <f>SUM(C49:C56)</f>
        <v>0.36800000000000005</v>
      </c>
      <c r="D57" s="19">
        <f>SUM(D49:D56)</f>
        <v>1083.52</v>
      </c>
    </row>
    <row r="60" spans="1:4" x14ac:dyDescent="0.2">
      <c r="A60" s="61" t="s">
        <v>38</v>
      </c>
      <c r="B60" s="61"/>
      <c r="C60" s="61"/>
      <c r="D60" s="61"/>
    </row>
    <row r="62" spans="1:4" x14ac:dyDescent="0.2">
      <c r="A62" s="6" t="s">
        <v>39</v>
      </c>
      <c r="B62" s="62" t="s">
        <v>40</v>
      </c>
      <c r="C62" s="62"/>
      <c r="D62" s="6" t="s">
        <v>3</v>
      </c>
    </row>
    <row r="63" spans="1:4" x14ac:dyDescent="0.2">
      <c r="A63" s="7" t="s">
        <v>4</v>
      </c>
      <c r="B63" s="59" t="s">
        <v>41</v>
      </c>
      <c r="C63" s="59"/>
      <c r="D63" s="13">
        <f>IF((22*2*4)-(D26*0.06)&lt;0,0,(22*2*4)-(D26*0.06))</f>
        <v>28.086800000000011</v>
      </c>
    </row>
    <row r="64" spans="1:4" x14ac:dyDescent="0.2">
      <c r="A64" s="7" t="s">
        <v>6</v>
      </c>
      <c r="B64" s="59" t="s">
        <v>42</v>
      </c>
      <c r="C64" s="59"/>
      <c r="D64" s="13">
        <v>0</v>
      </c>
    </row>
    <row r="65" spans="1:5" x14ac:dyDescent="0.2">
      <c r="A65" s="7" t="s">
        <v>8</v>
      </c>
      <c r="B65" s="59" t="s">
        <v>43</v>
      </c>
      <c r="C65" s="59"/>
      <c r="D65" s="13"/>
    </row>
    <row r="66" spans="1:5" x14ac:dyDescent="0.2">
      <c r="A66" s="7" t="s">
        <v>10</v>
      </c>
      <c r="B66" s="59" t="s">
        <v>15</v>
      </c>
      <c r="C66" s="59"/>
      <c r="D66" s="13"/>
    </row>
    <row r="67" spans="1:5" x14ac:dyDescent="0.2">
      <c r="A67" s="60" t="s">
        <v>16</v>
      </c>
      <c r="B67" s="60"/>
      <c r="C67" s="60"/>
      <c r="D67" s="19">
        <f>SUM(D63:D66)</f>
        <v>28.086800000000011</v>
      </c>
    </row>
    <row r="70" spans="1:5" x14ac:dyDescent="0.2">
      <c r="A70" s="61" t="s">
        <v>44</v>
      </c>
      <c r="B70" s="61"/>
      <c r="C70" s="61"/>
      <c r="D70" s="61"/>
    </row>
    <row r="72" spans="1:5" x14ac:dyDescent="0.2">
      <c r="A72" s="6">
        <v>2</v>
      </c>
      <c r="B72" s="62" t="s">
        <v>45</v>
      </c>
      <c r="C72" s="62"/>
      <c r="D72" s="6" t="s">
        <v>3</v>
      </c>
    </row>
    <row r="73" spans="1:5" x14ac:dyDescent="0.2">
      <c r="A73" s="7" t="s">
        <v>19</v>
      </c>
      <c r="B73" s="59" t="s">
        <v>20</v>
      </c>
      <c r="C73" s="59"/>
      <c r="D73" s="14">
        <f>D43</f>
        <v>479.23</v>
      </c>
    </row>
    <row r="74" spans="1:5" x14ac:dyDescent="0.2">
      <c r="A74" s="7" t="s">
        <v>24</v>
      </c>
      <c r="B74" s="59" t="s">
        <v>25</v>
      </c>
      <c r="C74" s="59"/>
      <c r="D74" s="14">
        <f>D57</f>
        <v>1083.52</v>
      </c>
    </row>
    <row r="75" spans="1:5" x14ac:dyDescent="0.2">
      <c r="A75" s="7" t="s">
        <v>39</v>
      </c>
      <c r="B75" s="59" t="s">
        <v>40</v>
      </c>
      <c r="C75" s="59"/>
      <c r="D75" s="14">
        <f>D67</f>
        <v>28.086800000000011</v>
      </c>
    </row>
    <row r="76" spans="1:5" x14ac:dyDescent="0.2">
      <c r="A76" s="60" t="s">
        <v>16</v>
      </c>
      <c r="B76" s="60"/>
      <c r="C76" s="60"/>
      <c r="D76" s="19">
        <f>SUM(D73:D75)</f>
        <v>1590.8368</v>
      </c>
    </row>
    <row r="77" spans="1:5" x14ac:dyDescent="0.2">
      <c r="A77" s="4"/>
      <c r="E77" s="18"/>
    </row>
    <row r="79" spans="1:5" x14ac:dyDescent="0.2">
      <c r="A79" s="63" t="s">
        <v>46</v>
      </c>
      <c r="B79" s="63"/>
      <c r="C79" s="63"/>
      <c r="D79" s="63"/>
      <c r="E79" s="17"/>
    </row>
    <row r="80" spans="1:5" ht="12.75" customHeight="1" x14ac:dyDescent="0.2">
      <c r="E80" s="18"/>
    </row>
    <row r="81" spans="1:4" x14ac:dyDescent="0.2">
      <c r="A81" s="6">
        <v>3</v>
      </c>
      <c r="B81" s="62" t="s">
        <v>47</v>
      </c>
      <c r="C81" s="62"/>
      <c r="D81" s="6" t="s">
        <v>3</v>
      </c>
    </row>
    <row r="82" spans="1:4" x14ac:dyDescent="0.2">
      <c r="A82" s="7" t="s">
        <v>4</v>
      </c>
      <c r="B82" s="10" t="s">
        <v>48</v>
      </c>
      <c r="C82" s="9">
        <f>TRUNC(((1/12)*5%),4)</f>
        <v>4.1000000000000003E-3</v>
      </c>
      <c r="D82" s="13">
        <f>TRUNC($D$33*C82,2)</f>
        <v>10.1</v>
      </c>
    </row>
    <row r="83" spans="1:4" x14ac:dyDescent="0.2">
      <c r="A83" s="7" t="s">
        <v>6</v>
      </c>
      <c r="B83" s="10" t="s">
        <v>49</v>
      </c>
      <c r="C83" s="9">
        <v>0.08</v>
      </c>
      <c r="D83" s="13">
        <f>TRUNC(D82*C83,2)</f>
        <v>0.8</v>
      </c>
    </row>
    <row r="84" spans="1:4" x14ac:dyDescent="0.2">
      <c r="A84" s="7" t="s">
        <v>8</v>
      </c>
      <c r="B84" s="10" t="s">
        <v>50</v>
      </c>
      <c r="C84" s="9">
        <f>TRUNC(8%*5%*50%,4)</f>
        <v>2E-3</v>
      </c>
      <c r="D84" s="13">
        <f>TRUNC($D$33*C84,2)</f>
        <v>4.93</v>
      </c>
    </row>
    <row r="85" spans="1:4" x14ac:dyDescent="0.2">
      <c r="A85" s="7" t="s">
        <v>10</v>
      </c>
      <c r="B85" s="10" t="s">
        <v>51</v>
      </c>
      <c r="C85" s="9">
        <f>TRUNC(((7/30)/12)*95%,4)</f>
        <v>1.84E-2</v>
      </c>
      <c r="D85" s="13">
        <f>TRUNC($D$33*C85,2)</f>
        <v>45.36</v>
      </c>
    </row>
    <row r="86" spans="1:4" ht="25.5" x14ac:dyDescent="0.2">
      <c r="A86" s="7" t="s">
        <v>12</v>
      </c>
      <c r="B86" s="10" t="s">
        <v>101</v>
      </c>
      <c r="C86" s="9">
        <f>C57</f>
        <v>0.36800000000000005</v>
      </c>
      <c r="D86" s="13">
        <f>TRUNC(D85*C86,2)</f>
        <v>16.690000000000001</v>
      </c>
    </row>
    <row r="87" spans="1:4" x14ac:dyDescent="0.2">
      <c r="A87" s="7" t="s">
        <v>32</v>
      </c>
      <c r="B87" s="10" t="s">
        <v>52</v>
      </c>
      <c r="C87" s="9">
        <f>TRUNC(8%*95%*50%,4)</f>
        <v>3.7999999999999999E-2</v>
      </c>
      <c r="D87" s="13">
        <f t="shared" ref="D87" si="1">TRUNC($D$33*C87,2)</f>
        <v>93.67</v>
      </c>
    </row>
    <row r="88" spans="1:4" x14ac:dyDescent="0.2">
      <c r="A88" s="67" t="s">
        <v>16</v>
      </c>
      <c r="B88" s="68"/>
      <c r="C88" s="69"/>
      <c r="D88" s="19">
        <f>SUM(D82:D87)</f>
        <v>171.55</v>
      </c>
    </row>
    <row r="91" spans="1:4" x14ac:dyDescent="0.2">
      <c r="A91" s="63" t="s">
        <v>53</v>
      </c>
      <c r="B91" s="63"/>
      <c r="C91" s="63"/>
      <c r="D91" s="63"/>
    </row>
    <row r="94" spans="1:4" x14ac:dyDescent="0.2">
      <c r="A94" s="61" t="s">
        <v>80</v>
      </c>
      <c r="B94" s="61"/>
      <c r="C94" s="61"/>
      <c r="D94" s="61"/>
    </row>
    <row r="95" spans="1:4" x14ac:dyDescent="0.2">
      <c r="A95" s="3"/>
    </row>
    <row r="96" spans="1:4" x14ac:dyDescent="0.2">
      <c r="A96" s="6" t="s">
        <v>54</v>
      </c>
      <c r="B96" s="62" t="s">
        <v>81</v>
      </c>
      <c r="C96" s="62"/>
      <c r="D96" s="6" t="s">
        <v>3</v>
      </c>
    </row>
    <row r="97" spans="1:6" x14ac:dyDescent="0.2">
      <c r="A97" s="7" t="s">
        <v>4</v>
      </c>
      <c r="B97" s="8" t="s">
        <v>82</v>
      </c>
      <c r="C97" s="9">
        <f>TRUNC(((1+1/3)/12)/12,4)</f>
        <v>9.1999999999999998E-3</v>
      </c>
      <c r="D97" s="13">
        <f>TRUNC(($D$33+$D$76+$D$88)*C97,2)</f>
        <v>38.89</v>
      </c>
    </row>
    <row r="98" spans="1:6" x14ac:dyDescent="0.2">
      <c r="A98" s="7" t="s">
        <v>6</v>
      </c>
      <c r="B98" s="8" t="s">
        <v>83</v>
      </c>
      <c r="C98" s="9">
        <f>TRUNC(((2/30)/12),4)</f>
        <v>5.4999999999999997E-3</v>
      </c>
      <c r="D98" s="13">
        <f t="shared" ref="D98:D102" si="2">TRUNC(($D$33+$D$76+$D$88)*C98,2)</f>
        <v>23.25</v>
      </c>
    </row>
    <row r="99" spans="1:6" x14ac:dyDescent="0.2">
      <c r="A99" s="7" t="s">
        <v>8</v>
      </c>
      <c r="B99" s="8" t="s">
        <v>84</v>
      </c>
      <c r="C99" s="9">
        <f>TRUNC(((5/30)/12)*2%,4)</f>
        <v>2.0000000000000001E-4</v>
      </c>
      <c r="D99" s="13">
        <f t="shared" si="2"/>
        <v>0.84</v>
      </c>
    </row>
    <row r="100" spans="1:6" x14ac:dyDescent="0.2">
      <c r="A100" s="7" t="s">
        <v>10</v>
      </c>
      <c r="B100" s="8" t="s">
        <v>85</v>
      </c>
      <c r="C100" s="9">
        <f>TRUNC(((15/30)/12)*8%,4)</f>
        <v>3.3E-3</v>
      </c>
      <c r="D100" s="13">
        <f t="shared" si="2"/>
        <v>13.95</v>
      </c>
    </row>
    <row r="101" spans="1:6" x14ac:dyDescent="0.2">
      <c r="A101" s="7" t="s">
        <v>12</v>
      </c>
      <c r="B101" s="8" t="s">
        <v>86</v>
      </c>
      <c r="C101" s="9">
        <f>((1+1/3)/12)*3%*(4/12)</f>
        <v>1.1111111111111109E-3</v>
      </c>
      <c r="D101" s="13">
        <f t="shared" si="2"/>
        <v>4.6900000000000004</v>
      </c>
    </row>
    <row r="102" spans="1:6" x14ac:dyDescent="0.2">
      <c r="A102" s="7" t="s">
        <v>32</v>
      </c>
      <c r="B102" s="8" t="s">
        <v>87</v>
      </c>
      <c r="C102" s="9"/>
      <c r="D102" s="13">
        <f t="shared" si="2"/>
        <v>0</v>
      </c>
    </row>
    <row r="103" spans="1:6" x14ac:dyDescent="0.2">
      <c r="A103" s="60" t="s">
        <v>37</v>
      </c>
      <c r="B103" s="60"/>
      <c r="C103" s="60"/>
      <c r="D103" s="19">
        <f>SUM(D97:D102)</f>
        <v>81.62</v>
      </c>
      <c r="E103" s="17"/>
      <c r="F103" s="17"/>
    </row>
    <row r="106" spans="1:6" x14ac:dyDescent="0.2">
      <c r="A106" s="61" t="s">
        <v>88</v>
      </c>
      <c r="B106" s="61"/>
      <c r="C106" s="61"/>
      <c r="D106" s="61"/>
    </row>
    <row r="107" spans="1:6" x14ac:dyDescent="0.2">
      <c r="A107" s="3"/>
    </row>
    <row r="108" spans="1:6" x14ac:dyDescent="0.2">
      <c r="A108" s="6" t="s">
        <v>55</v>
      </c>
      <c r="B108" s="62" t="s">
        <v>89</v>
      </c>
      <c r="C108" s="62"/>
      <c r="D108" s="6" t="s">
        <v>3</v>
      </c>
    </row>
    <row r="109" spans="1:6" x14ac:dyDescent="0.2">
      <c r="A109" s="7" t="s">
        <v>4</v>
      </c>
      <c r="B109" s="70" t="s">
        <v>90</v>
      </c>
      <c r="C109" s="71"/>
      <c r="D109" s="13">
        <f>((D33+D76+D88)/220)*22*0</f>
        <v>0</v>
      </c>
    </row>
    <row r="110" spans="1:6" x14ac:dyDescent="0.2">
      <c r="A110" s="60" t="s">
        <v>16</v>
      </c>
      <c r="B110" s="60"/>
      <c r="C110" s="60"/>
      <c r="D110" s="19">
        <f>SUM(D109)</f>
        <v>0</v>
      </c>
    </row>
    <row r="113" spans="1:4" x14ac:dyDescent="0.2">
      <c r="A113" s="61" t="s">
        <v>56</v>
      </c>
      <c r="B113" s="61"/>
      <c r="C113" s="61"/>
      <c r="D113" s="61"/>
    </row>
    <row r="114" spans="1:4" x14ac:dyDescent="0.2">
      <c r="A114" s="3"/>
    </row>
    <row r="115" spans="1:4" x14ac:dyDescent="0.2">
      <c r="A115" s="6">
        <v>4</v>
      </c>
      <c r="B115" s="60" t="s">
        <v>57</v>
      </c>
      <c r="C115" s="60"/>
      <c r="D115" s="6" t="s">
        <v>3</v>
      </c>
    </row>
    <row r="116" spans="1:4" x14ac:dyDescent="0.2">
      <c r="A116" s="7" t="s">
        <v>54</v>
      </c>
      <c r="B116" s="59" t="s">
        <v>81</v>
      </c>
      <c r="C116" s="59"/>
      <c r="D116" s="14">
        <f>D103</f>
        <v>81.62</v>
      </c>
    </row>
    <row r="117" spans="1:4" x14ac:dyDescent="0.2">
      <c r="A117" s="7" t="s">
        <v>55</v>
      </c>
      <c r="B117" s="59" t="s">
        <v>89</v>
      </c>
      <c r="C117" s="59"/>
      <c r="D117" s="14">
        <f>D110</f>
        <v>0</v>
      </c>
    </row>
    <row r="118" spans="1:4" x14ac:dyDescent="0.2">
      <c r="A118" s="60" t="s">
        <v>16</v>
      </c>
      <c r="B118" s="60"/>
      <c r="C118" s="60"/>
      <c r="D118" s="19">
        <f>SUM(D116:D117)</f>
        <v>81.62</v>
      </c>
    </row>
    <row r="121" spans="1:4" x14ac:dyDescent="0.2">
      <c r="A121" s="63" t="s">
        <v>58</v>
      </c>
      <c r="B121" s="63"/>
      <c r="C121" s="63"/>
      <c r="D121" s="63"/>
    </row>
    <row r="123" spans="1:4" x14ac:dyDescent="0.2">
      <c r="A123" s="6">
        <v>5</v>
      </c>
      <c r="B123" s="72" t="s">
        <v>59</v>
      </c>
      <c r="C123" s="72"/>
      <c r="D123" s="6" t="s">
        <v>3</v>
      </c>
    </row>
    <row r="124" spans="1:4" x14ac:dyDescent="0.2">
      <c r="A124" s="7" t="s">
        <v>4</v>
      </c>
      <c r="B124" s="8" t="s">
        <v>60</v>
      </c>
      <c r="C124" s="8"/>
      <c r="D124" s="13"/>
    </row>
    <row r="125" spans="1:4" x14ac:dyDescent="0.2">
      <c r="A125" s="7" t="s">
        <v>6</v>
      </c>
      <c r="B125" s="8" t="s">
        <v>61</v>
      </c>
      <c r="C125" s="8"/>
      <c r="D125" s="13"/>
    </row>
    <row r="126" spans="1:4" x14ac:dyDescent="0.2">
      <c r="A126" s="7" t="s">
        <v>8</v>
      </c>
      <c r="B126" s="8" t="s">
        <v>62</v>
      </c>
      <c r="C126" s="8"/>
      <c r="D126" s="13"/>
    </row>
    <row r="127" spans="1:4" x14ac:dyDescent="0.2">
      <c r="A127" s="7" t="s">
        <v>10</v>
      </c>
      <c r="B127" s="8" t="s">
        <v>15</v>
      </c>
      <c r="C127" s="8"/>
      <c r="D127" s="13"/>
    </row>
    <row r="128" spans="1:4" x14ac:dyDescent="0.2">
      <c r="A128" s="60" t="s">
        <v>37</v>
      </c>
      <c r="B128" s="60"/>
      <c r="C128" s="60"/>
      <c r="D128" s="20"/>
    </row>
    <row r="131" spans="1:4" x14ac:dyDescent="0.2">
      <c r="A131" s="63" t="s">
        <v>63</v>
      </c>
      <c r="B131" s="63"/>
      <c r="C131" s="63"/>
      <c r="D131" s="63"/>
    </row>
    <row r="133" spans="1:4" x14ac:dyDescent="0.2">
      <c r="A133" s="6">
        <v>6</v>
      </c>
      <c r="B133" s="11" t="s">
        <v>64</v>
      </c>
      <c r="C133" s="6" t="s">
        <v>26</v>
      </c>
      <c r="D133" s="6" t="s">
        <v>3</v>
      </c>
    </row>
    <row r="134" spans="1:4" x14ac:dyDescent="0.2">
      <c r="A134" s="7" t="s">
        <v>4</v>
      </c>
      <c r="B134" s="8" t="s">
        <v>65</v>
      </c>
      <c r="C134" s="9">
        <v>0.05</v>
      </c>
      <c r="D134" s="14">
        <f>TRUNC(D154*C134,2)</f>
        <v>215.46</v>
      </c>
    </row>
    <row r="135" spans="1:4" x14ac:dyDescent="0.2">
      <c r="A135" s="7" t="s">
        <v>6</v>
      </c>
      <c r="B135" s="8" t="s">
        <v>66</v>
      </c>
      <c r="C135" s="9">
        <v>0.06</v>
      </c>
      <c r="D135" s="13">
        <f>TRUNC((D154+D134)*C135,2)</f>
        <v>271.48</v>
      </c>
    </row>
    <row r="136" spans="1:4" x14ac:dyDescent="0.2">
      <c r="A136" s="7" t="s">
        <v>8</v>
      </c>
      <c r="B136" s="8" t="s">
        <v>67</v>
      </c>
      <c r="C136" s="12">
        <f>SUM(C137:C142)</f>
        <v>8.6499999999999994E-2</v>
      </c>
      <c r="D136" s="13">
        <f>TRUNC(((D154+D134+D135)*C136/(1-C136)),2)</f>
        <v>454.15</v>
      </c>
    </row>
    <row r="137" spans="1:4" x14ac:dyDescent="0.2">
      <c r="A137" s="7"/>
      <c r="B137" s="8" t="s">
        <v>68</v>
      </c>
      <c r="C137" s="9"/>
      <c r="D137" s="14">
        <f>$D$156*C137</f>
        <v>0</v>
      </c>
    </row>
    <row r="138" spans="1:4" x14ac:dyDescent="0.2">
      <c r="A138" s="7"/>
      <c r="B138" s="25" t="s">
        <v>103</v>
      </c>
      <c r="C138" s="9">
        <v>6.4999999999999997E-3</v>
      </c>
      <c r="D138" s="14">
        <f>TRUNC($D$156*C138,2)</f>
        <v>34.119999999999997</v>
      </c>
    </row>
    <row r="139" spans="1:4" x14ac:dyDescent="0.2">
      <c r="A139" s="7"/>
      <c r="B139" s="25" t="s">
        <v>104</v>
      </c>
      <c r="C139" s="9">
        <v>0.03</v>
      </c>
      <c r="D139" s="14">
        <f t="shared" ref="D139:D142" si="3">TRUNC($D$156*C139,2)</f>
        <v>157.5</v>
      </c>
    </row>
    <row r="140" spans="1:4" x14ac:dyDescent="0.2">
      <c r="A140" s="7"/>
      <c r="B140" s="8" t="s">
        <v>69</v>
      </c>
      <c r="C140" s="7"/>
      <c r="D140" s="14">
        <f t="shared" si="3"/>
        <v>0</v>
      </c>
    </row>
    <row r="141" spans="1:4" x14ac:dyDescent="0.2">
      <c r="A141" s="7"/>
      <c r="B141" s="8" t="s">
        <v>70</v>
      </c>
      <c r="C141" s="9"/>
      <c r="D141" s="14">
        <f t="shared" si="3"/>
        <v>0</v>
      </c>
    </row>
    <row r="142" spans="1:4" x14ac:dyDescent="0.2">
      <c r="A142" s="7"/>
      <c r="B142" s="25" t="s">
        <v>105</v>
      </c>
      <c r="C142" s="9">
        <v>0.05</v>
      </c>
      <c r="D142" s="14">
        <f t="shared" si="3"/>
        <v>262.51</v>
      </c>
    </row>
    <row r="143" spans="1:4" ht="13.5" x14ac:dyDescent="0.2">
      <c r="A143" s="67" t="s">
        <v>37</v>
      </c>
      <c r="B143" s="68"/>
      <c r="C143" s="21">
        <f>(1+C135)*(1+C134)/(1-C136)-1</f>
        <v>0.21839080459770144</v>
      </c>
      <c r="D143" s="19">
        <f>SUM(D134:D136)</f>
        <v>941.09</v>
      </c>
    </row>
    <row r="146" spans="1:4" x14ac:dyDescent="0.2">
      <c r="A146" s="63" t="s">
        <v>71</v>
      </c>
      <c r="B146" s="63"/>
      <c r="C146" s="63"/>
      <c r="D146" s="63"/>
    </row>
    <row r="148" spans="1:4" x14ac:dyDescent="0.2">
      <c r="A148" s="6"/>
      <c r="B148" s="60" t="s">
        <v>72</v>
      </c>
      <c r="C148" s="60"/>
      <c r="D148" s="6" t="s">
        <v>3</v>
      </c>
    </row>
    <row r="149" spans="1:4" x14ac:dyDescent="0.2">
      <c r="A149" s="6" t="s">
        <v>4</v>
      </c>
      <c r="B149" s="59" t="s">
        <v>1</v>
      </c>
      <c r="C149" s="59"/>
      <c r="D149" s="22">
        <f>D33</f>
        <v>2465.2199999999998</v>
      </c>
    </row>
    <row r="150" spans="1:4" x14ac:dyDescent="0.2">
      <c r="A150" s="6" t="s">
        <v>6</v>
      </c>
      <c r="B150" s="59" t="s">
        <v>17</v>
      </c>
      <c r="C150" s="59"/>
      <c r="D150" s="22">
        <f>D76</f>
        <v>1590.8368</v>
      </c>
    </row>
    <row r="151" spans="1:4" x14ac:dyDescent="0.2">
      <c r="A151" s="6" t="s">
        <v>8</v>
      </c>
      <c r="B151" s="59" t="s">
        <v>46</v>
      </c>
      <c r="C151" s="59"/>
      <c r="D151" s="22">
        <f>D88</f>
        <v>171.55</v>
      </c>
    </row>
    <row r="152" spans="1:4" x14ac:dyDescent="0.2">
      <c r="A152" s="6" t="s">
        <v>10</v>
      </c>
      <c r="B152" s="59" t="s">
        <v>53</v>
      </c>
      <c r="C152" s="59"/>
      <c r="D152" s="22">
        <f>D118</f>
        <v>81.62</v>
      </c>
    </row>
    <row r="153" spans="1:4" x14ac:dyDescent="0.2">
      <c r="A153" s="6" t="s">
        <v>12</v>
      </c>
      <c r="B153" s="59" t="s">
        <v>58</v>
      </c>
      <c r="C153" s="59"/>
      <c r="D153" s="22">
        <f>D128</f>
        <v>0</v>
      </c>
    </row>
    <row r="154" spans="1:4" x14ac:dyDescent="0.2">
      <c r="A154" s="60" t="s">
        <v>102</v>
      </c>
      <c r="B154" s="60"/>
      <c r="C154" s="60"/>
      <c r="D154" s="23">
        <f>SUM(D149:D153)</f>
        <v>4309.2267999999995</v>
      </c>
    </row>
    <row r="155" spans="1:4" x14ac:dyDescent="0.2">
      <c r="A155" s="6" t="s">
        <v>32</v>
      </c>
      <c r="B155" s="59" t="s">
        <v>73</v>
      </c>
      <c r="C155" s="59"/>
      <c r="D155" s="24">
        <f>D143</f>
        <v>941.09</v>
      </c>
    </row>
    <row r="156" spans="1:4" x14ac:dyDescent="0.2">
      <c r="A156" s="60" t="s">
        <v>74</v>
      </c>
      <c r="B156" s="60"/>
      <c r="C156" s="60"/>
      <c r="D156" s="23">
        <f>SUM(D154:D155)</f>
        <v>5250.3167999999996</v>
      </c>
    </row>
  </sheetData>
  <mergeCells count="71">
    <mergeCell ref="A12:B12"/>
    <mergeCell ref="A13:B13"/>
    <mergeCell ref="C18:D18"/>
    <mergeCell ref="A43:B43"/>
    <mergeCell ref="B28:C28"/>
    <mergeCell ref="C17:D17"/>
    <mergeCell ref="C19:D19"/>
    <mergeCell ref="C20:D20"/>
    <mergeCell ref="C21:D21"/>
    <mergeCell ref="A23:D23"/>
    <mergeCell ref="A36:D36"/>
    <mergeCell ref="B155:C155"/>
    <mergeCell ref="A156:C156"/>
    <mergeCell ref="A131:D131"/>
    <mergeCell ref="B109:C109"/>
    <mergeCell ref="B117:C117"/>
    <mergeCell ref="A118:C118"/>
    <mergeCell ref="A121:D121"/>
    <mergeCell ref="B123:C123"/>
    <mergeCell ref="A128:C128"/>
    <mergeCell ref="A143:B143"/>
    <mergeCell ref="A146:D146"/>
    <mergeCell ref="B148:C148"/>
    <mergeCell ref="B149:C149"/>
    <mergeCell ref="B150:C150"/>
    <mergeCell ref="B151:C151"/>
    <mergeCell ref="B152:C152"/>
    <mergeCell ref="B108:C108"/>
    <mergeCell ref="A110:C110"/>
    <mergeCell ref="A113:D113"/>
    <mergeCell ref="B115:C115"/>
    <mergeCell ref="B116:C116"/>
    <mergeCell ref="A94:D94"/>
    <mergeCell ref="B96:C96"/>
    <mergeCell ref="B65:C65"/>
    <mergeCell ref="B66:C66"/>
    <mergeCell ref="A67:C67"/>
    <mergeCell ref="A91:D91"/>
    <mergeCell ref="A88:C88"/>
    <mergeCell ref="A1:D1"/>
    <mergeCell ref="A46:D46"/>
    <mergeCell ref="A57:B57"/>
    <mergeCell ref="A38:D38"/>
    <mergeCell ref="B40:C40"/>
    <mergeCell ref="B29:C29"/>
    <mergeCell ref="B30:C30"/>
    <mergeCell ref="B32:C32"/>
    <mergeCell ref="B31:C31"/>
    <mergeCell ref="A33:C33"/>
    <mergeCell ref="A15:D15"/>
    <mergeCell ref="B25:C25"/>
    <mergeCell ref="B26:C26"/>
    <mergeCell ref="B27:C27"/>
    <mergeCell ref="A3:D3"/>
    <mergeCell ref="A10:D10"/>
    <mergeCell ref="B153:C153"/>
    <mergeCell ref="A154:C154"/>
    <mergeCell ref="A60:D60"/>
    <mergeCell ref="B62:C62"/>
    <mergeCell ref="B63:C63"/>
    <mergeCell ref="B64:C64"/>
    <mergeCell ref="A70:D70"/>
    <mergeCell ref="B72:C72"/>
    <mergeCell ref="B73:C73"/>
    <mergeCell ref="B74:C74"/>
    <mergeCell ref="B75:C75"/>
    <mergeCell ref="A76:C76"/>
    <mergeCell ref="A79:D79"/>
    <mergeCell ref="B81:C81"/>
    <mergeCell ref="A103:C103"/>
    <mergeCell ref="A106:D10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6"/>
  <sheetViews>
    <sheetView topLeftCell="A13" zoomScale="115" zoomScaleNormal="115" workbookViewId="0">
      <selection activeCell="D64" sqref="D64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64" t="s">
        <v>0</v>
      </c>
      <c r="B1" s="64"/>
      <c r="C1" s="64"/>
      <c r="D1" s="64"/>
    </row>
    <row r="2" spans="1:4" ht="15.75" x14ac:dyDescent="0.25">
      <c r="A2" s="26"/>
      <c r="B2" s="26"/>
      <c r="C2" s="26"/>
      <c r="D2" s="26"/>
    </row>
    <row r="3" spans="1:4" x14ac:dyDescent="0.2">
      <c r="A3" s="66" t="s">
        <v>91</v>
      </c>
      <c r="B3" s="66"/>
      <c r="C3" s="66"/>
      <c r="D3" s="66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92</v>
      </c>
      <c r="C5" s="27"/>
      <c r="D5" s="28"/>
    </row>
    <row r="6" spans="1:4" x14ac:dyDescent="0.2">
      <c r="A6" s="5" t="s">
        <v>6</v>
      </c>
      <c r="B6" s="29" t="s">
        <v>93</v>
      </c>
      <c r="C6" s="27"/>
      <c r="D6" s="28"/>
    </row>
    <row r="7" spans="1:4" x14ac:dyDescent="0.2">
      <c r="A7" s="5" t="s">
        <v>8</v>
      </c>
      <c r="B7" s="29" t="s">
        <v>94</v>
      </c>
      <c r="C7" s="27"/>
      <c r="D7" s="28"/>
    </row>
    <row r="8" spans="1:4" x14ac:dyDescent="0.2">
      <c r="A8" s="5" t="s">
        <v>10</v>
      </c>
      <c r="B8" s="29" t="s">
        <v>95</v>
      </c>
      <c r="C8" s="27"/>
      <c r="D8" s="28"/>
    </row>
    <row r="10" spans="1:4" x14ac:dyDescent="0.2">
      <c r="A10" s="66" t="s">
        <v>96</v>
      </c>
      <c r="B10" s="66"/>
      <c r="C10" s="66"/>
      <c r="D10" s="66"/>
    </row>
    <row r="11" spans="1:4" x14ac:dyDescent="0.2">
      <c r="A11" s="2"/>
      <c r="B11" s="2"/>
      <c r="C11" s="2"/>
      <c r="D11" s="2"/>
    </row>
    <row r="12" spans="1:4" ht="38.25" x14ac:dyDescent="0.2">
      <c r="A12" s="73" t="s">
        <v>97</v>
      </c>
      <c r="B12" s="73"/>
      <c r="C12" s="32" t="s">
        <v>98</v>
      </c>
      <c r="D12" s="30" t="s">
        <v>99</v>
      </c>
    </row>
    <row r="13" spans="1:4" x14ac:dyDescent="0.2">
      <c r="A13" s="74" t="s">
        <v>110</v>
      </c>
      <c r="B13" s="74"/>
      <c r="C13" s="36" t="s">
        <v>108</v>
      </c>
      <c r="D13" s="36" t="s">
        <v>109</v>
      </c>
    </row>
    <row r="15" spans="1:4" x14ac:dyDescent="0.2">
      <c r="A15" s="66" t="s">
        <v>75</v>
      </c>
      <c r="B15" s="66"/>
      <c r="C15" s="66"/>
      <c r="D15" s="66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76</v>
      </c>
      <c r="C17" s="75" t="s">
        <v>110</v>
      </c>
      <c r="D17" s="76"/>
    </row>
    <row r="18" spans="1:4" x14ac:dyDescent="0.2">
      <c r="A18" s="5">
        <v>2</v>
      </c>
      <c r="B18" s="5" t="s">
        <v>100</v>
      </c>
      <c r="C18" s="75" t="s">
        <v>111</v>
      </c>
      <c r="D18" s="76"/>
    </row>
    <row r="19" spans="1:4" x14ac:dyDescent="0.2">
      <c r="A19" s="5">
        <v>3</v>
      </c>
      <c r="B19" s="5" t="s">
        <v>77</v>
      </c>
      <c r="C19" s="75"/>
      <c r="D19" s="76"/>
    </row>
    <row r="20" spans="1:4" x14ac:dyDescent="0.2">
      <c r="A20" s="5">
        <v>4</v>
      </c>
      <c r="B20" s="5" t="s">
        <v>78</v>
      </c>
      <c r="C20" s="75"/>
      <c r="D20" s="76"/>
    </row>
    <row r="21" spans="1:4" x14ac:dyDescent="0.2">
      <c r="A21" s="5">
        <v>5</v>
      </c>
      <c r="B21" s="5" t="s">
        <v>79</v>
      </c>
      <c r="C21" s="75"/>
      <c r="D21" s="76"/>
    </row>
    <row r="23" spans="1:4" x14ac:dyDescent="0.2">
      <c r="A23" s="66" t="s">
        <v>1</v>
      </c>
      <c r="B23" s="66"/>
      <c r="C23" s="66"/>
      <c r="D23" s="66"/>
    </row>
    <row r="25" spans="1:4" x14ac:dyDescent="0.2">
      <c r="A25" s="33">
        <v>1</v>
      </c>
      <c r="B25" s="60" t="s">
        <v>2</v>
      </c>
      <c r="C25" s="60"/>
      <c r="D25" s="33" t="s">
        <v>3</v>
      </c>
    </row>
    <row r="26" spans="1:4" x14ac:dyDescent="0.2">
      <c r="A26" s="32" t="s">
        <v>4</v>
      </c>
      <c r="B26" s="59" t="s">
        <v>5</v>
      </c>
      <c r="C26" s="59"/>
      <c r="D26" s="13">
        <v>1983.5</v>
      </c>
    </row>
    <row r="27" spans="1:4" x14ac:dyDescent="0.2">
      <c r="A27" s="32" t="s">
        <v>6</v>
      </c>
      <c r="B27" s="59" t="s">
        <v>7</v>
      </c>
      <c r="C27" s="59"/>
      <c r="D27" s="13"/>
    </row>
    <row r="28" spans="1:4" x14ac:dyDescent="0.2">
      <c r="A28" s="32" t="s">
        <v>8</v>
      </c>
      <c r="B28" s="59" t="s">
        <v>9</v>
      </c>
      <c r="C28" s="59"/>
      <c r="D28" s="13"/>
    </row>
    <row r="29" spans="1:4" x14ac:dyDescent="0.2">
      <c r="A29" s="32" t="s">
        <v>10</v>
      </c>
      <c r="B29" s="59" t="s">
        <v>11</v>
      </c>
      <c r="C29" s="59"/>
      <c r="D29" s="13"/>
    </row>
    <row r="30" spans="1:4" x14ac:dyDescent="0.2">
      <c r="A30" s="32" t="s">
        <v>12</v>
      </c>
      <c r="B30" s="59" t="s">
        <v>13</v>
      </c>
      <c r="C30" s="59"/>
      <c r="D30" s="13"/>
    </row>
    <row r="31" spans="1:4" x14ac:dyDescent="0.2">
      <c r="A31" s="32"/>
      <c r="B31" s="59"/>
      <c r="C31" s="59"/>
      <c r="D31" s="13"/>
    </row>
    <row r="32" spans="1:4" x14ac:dyDescent="0.2">
      <c r="A32" s="32" t="s">
        <v>14</v>
      </c>
      <c r="B32" s="59" t="s">
        <v>15</v>
      </c>
      <c r="C32" s="59"/>
      <c r="D32" s="13"/>
    </row>
    <row r="33" spans="1:4" x14ac:dyDescent="0.2">
      <c r="A33" s="60" t="s">
        <v>16</v>
      </c>
      <c r="B33" s="60"/>
      <c r="C33" s="60"/>
      <c r="D33" s="20">
        <f>SUM(D26:D32)</f>
        <v>1983.5</v>
      </c>
    </row>
    <row r="36" spans="1:4" x14ac:dyDescent="0.2">
      <c r="A36" s="63" t="s">
        <v>17</v>
      </c>
      <c r="B36" s="63"/>
      <c r="C36" s="63"/>
      <c r="D36" s="63"/>
    </row>
    <row r="37" spans="1:4" x14ac:dyDescent="0.2">
      <c r="A37" s="3"/>
    </row>
    <row r="38" spans="1:4" x14ac:dyDescent="0.2">
      <c r="A38" s="61" t="s">
        <v>18</v>
      </c>
      <c r="B38" s="61"/>
      <c r="C38" s="61"/>
      <c r="D38" s="61"/>
    </row>
    <row r="40" spans="1:4" x14ac:dyDescent="0.2">
      <c r="A40" s="33" t="s">
        <v>19</v>
      </c>
      <c r="B40" s="60" t="s">
        <v>20</v>
      </c>
      <c r="C40" s="60"/>
      <c r="D40" s="33" t="s">
        <v>3</v>
      </c>
    </row>
    <row r="41" spans="1:4" x14ac:dyDescent="0.2">
      <c r="A41" s="32" t="s">
        <v>4</v>
      </c>
      <c r="B41" s="34" t="s">
        <v>21</v>
      </c>
      <c r="C41" s="12">
        <f>TRUNC(1/12,4)</f>
        <v>8.3299999999999999E-2</v>
      </c>
      <c r="D41" s="13">
        <f>TRUNC($D$33*C41,2)</f>
        <v>165.22</v>
      </c>
    </row>
    <row r="42" spans="1:4" x14ac:dyDescent="0.2">
      <c r="A42" s="32" t="s">
        <v>6</v>
      </c>
      <c r="B42" s="34" t="s">
        <v>22</v>
      </c>
      <c r="C42" s="12">
        <f>TRUNC(((1+1/3)/12),4)</f>
        <v>0.1111</v>
      </c>
      <c r="D42" s="13">
        <f>TRUNC($D$33*C42,2)</f>
        <v>220.36</v>
      </c>
    </row>
    <row r="43" spans="1:4" x14ac:dyDescent="0.2">
      <c r="A43" s="60" t="s">
        <v>16</v>
      </c>
      <c r="B43" s="60"/>
      <c r="C43" s="31">
        <f>SUM(C41:C42)</f>
        <v>0.19440000000000002</v>
      </c>
      <c r="D43" s="19">
        <f>SUM(D41:D42)</f>
        <v>385.58000000000004</v>
      </c>
    </row>
    <row r="46" spans="1:4" x14ac:dyDescent="0.2">
      <c r="A46" s="65" t="s">
        <v>23</v>
      </c>
      <c r="B46" s="65"/>
      <c r="C46" s="65"/>
      <c r="D46" s="65"/>
    </row>
    <row r="48" spans="1:4" x14ac:dyDescent="0.2">
      <c r="A48" s="33" t="s">
        <v>24</v>
      </c>
      <c r="B48" s="33" t="s">
        <v>25</v>
      </c>
      <c r="C48" s="33" t="s">
        <v>26</v>
      </c>
      <c r="D48" s="33" t="s">
        <v>3</v>
      </c>
    </row>
    <row r="49" spans="1:4" x14ac:dyDescent="0.2">
      <c r="A49" s="32" t="s">
        <v>4</v>
      </c>
      <c r="B49" s="34" t="s">
        <v>27</v>
      </c>
      <c r="C49" s="9">
        <v>0.2</v>
      </c>
      <c r="D49" s="13">
        <f>TRUNC(($D$33+$D$43)*C49,2)</f>
        <v>473.81</v>
      </c>
    </row>
    <row r="50" spans="1:4" x14ac:dyDescent="0.2">
      <c r="A50" s="32" t="s">
        <v>6</v>
      </c>
      <c r="B50" s="34" t="s">
        <v>28</v>
      </c>
      <c r="C50" s="9">
        <v>2.5000000000000001E-2</v>
      </c>
      <c r="D50" s="13">
        <f t="shared" ref="D50:D56" si="0">TRUNC(($D$33+$D$43)*C50,2)</f>
        <v>59.22</v>
      </c>
    </row>
    <row r="51" spans="1:4" x14ac:dyDescent="0.2">
      <c r="A51" s="32" t="s">
        <v>8</v>
      </c>
      <c r="B51" s="34" t="s">
        <v>29</v>
      </c>
      <c r="C51" s="16">
        <v>0.03</v>
      </c>
      <c r="D51" s="13">
        <f t="shared" si="0"/>
        <v>71.069999999999993</v>
      </c>
    </row>
    <row r="52" spans="1:4" x14ac:dyDescent="0.2">
      <c r="A52" s="32" t="s">
        <v>10</v>
      </c>
      <c r="B52" s="34" t="s">
        <v>30</v>
      </c>
      <c r="C52" s="9">
        <v>1.4999999999999999E-2</v>
      </c>
      <c r="D52" s="13">
        <f t="shared" si="0"/>
        <v>35.53</v>
      </c>
    </row>
    <row r="53" spans="1:4" x14ac:dyDescent="0.2">
      <c r="A53" s="32" t="s">
        <v>12</v>
      </c>
      <c r="B53" s="34" t="s">
        <v>31</v>
      </c>
      <c r="C53" s="9">
        <v>0.01</v>
      </c>
      <c r="D53" s="13">
        <f t="shared" si="0"/>
        <v>23.69</v>
      </c>
    </row>
    <row r="54" spans="1:4" x14ac:dyDescent="0.2">
      <c r="A54" s="32" t="s">
        <v>32</v>
      </c>
      <c r="B54" s="34" t="s">
        <v>33</v>
      </c>
      <c r="C54" s="9">
        <v>6.0000000000000001E-3</v>
      </c>
      <c r="D54" s="13">
        <f t="shared" si="0"/>
        <v>14.21</v>
      </c>
    </row>
    <row r="55" spans="1:4" x14ac:dyDescent="0.2">
      <c r="A55" s="32" t="s">
        <v>14</v>
      </c>
      <c r="B55" s="34" t="s">
        <v>34</v>
      </c>
      <c r="C55" s="9">
        <v>2E-3</v>
      </c>
      <c r="D55" s="13">
        <f t="shared" si="0"/>
        <v>4.7300000000000004</v>
      </c>
    </row>
    <row r="56" spans="1:4" x14ac:dyDescent="0.2">
      <c r="A56" s="32" t="s">
        <v>35</v>
      </c>
      <c r="B56" s="34" t="s">
        <v>36</v>
      </c>
      <c r="C56" s="9">
        <v>0.08</v>
      </c>
      <c r="D56" s="13">
        <f t="shared" si="0"/>
        <v>189.52</v>
      </c>
    </row>
    <row r="57" spans="1:4" x14ac:dyDescent="0.2">
      <c r="A57" s="60" t="s">
        <v>37</v>
      </c>
      <c r="B57" s="60"/>
      <c r="C57" s="15">
        <f>SUM(C49:C56)</f>
        <v>0.36800000000000005</v>
      </c>
      <c r="D57" s="19">
        <f>SUM(D49:D56)</f>
        <v>871.78</v>
      </c>
    </row>
    <row r="60" spans="1:4" x14ac:dyDescent="0.2">
      <c r="A60" s="61" t="s">
        <v>38</v>
      </c>
      <c r="B60" s="61"/>
      <c r="C60" s="61"/>
      <c r="D60" s="61"/>
    </row>
    <row r="62" spans="1:4" x14ac:dyDescent="0.2">
      <c r="A62" s="33" t="s">
        <v>39</v>
      </c>
      <c r="B62" s="62" t="s">
        <v>40</v>
      </c>
      <c r="C62" s="62"/>
      <c r="D62" s="33" t="s">
        <v>3</v>
      </c>
    </row>
    <row r="63" spans="1:4" x14ac:dyDescent="0.2">
      <c r="A63" s="32" t="s">
        <v>4</v>
      </c>
      <c r="B63" s="59" t="s">
        <v>41</v>
      </c>
      <c r="C63" s="59"/>
      <c r="D63" s="13">
        <f>IF((22*2*4)-(D26*0.06)&lt;0,0,(22*2*4)-(D26*0.06))</f>
        <v>56.990000000000009</v>
      </c>
    </row>
    <row r="64" spans="1:4" x14ac:dyDescent="0.2">
      <c r="A64" s="32" t="s">
        <v>6</v>
      </c>
      <c r="B64" s="59" t="s">
        <v>42</v>
      </c>
      <c r="C64" s="59"/>
      <c r="D64" s="13">
        <v>0</v>
      </c>
    </row>
    <row r="65" spans="1:5" x14ac:dyDescent="0.2">
      <c r="A65" s="32" t="s">
        <v>8</v>
      </c>
      <c r="B65" s="59" t="s">
        <v>43</v>
      </c>
      <c r="C65" s="59"/>
      <c r="D65" s="13"/>
    </row>
    <row r="66" spans="1:5" x14ac:dyDescent="0.2">
      <c r="A66" s="32" t="s">
        <v>10</v>
      </c>
      <c r="B66" s="59" t="s">
        <v>15</v>
      </c>
      <c r="C66" s="59"/>
      <c r="D66" s="13"/>
    </row>
    <row r="67" spans="1:5" x14ac:dyDescent="0.2">
      <c r="A67" s="60" t="s">
        <v>16</v>
      </c>
      <c r="B67" s="60"/>
      <c r="C67" s="60"/>
      <c r="D67" s="19">
        <f>SUM(D63:D66)</f>
        <v>56.990000000000009</v>
      </c>
    </row>
    <row r="70" spans="1:5" x14ac:dyDescent="0.2">
      <c r="A70" s="61" t="s">
        <v>44</v>
      </c>
      <c r="B70" s="61"/>
      <c r="C70" s="61"/>
      <c r="D70" s="61"/>
    </row>
    <row r="72" spans="1:5" x14ac:dyDescent="0.2">
      <c r="A72" s="33">
        <v>2</v>
      </c>
      <c r="B72" s="62" t="s">
        <v>45</v>
      </c>
      <c r="C72" s="62"/>
      <c r="D72" s="33" t="s">
        <v>3</v>
      </c>
    </row>
    <row r="73" spans="1:5" x14ac:dyDescent="0.2">
      <c r="A73" s="32" t="s">
        <v>19</v>
      </c>
      <c r="B73" s="59" t="s">
        <v>20</v>
      </c>
      <c r="C73" s="59"/>
      <c r="D73" s="14">
        <f>D43</f>
        <v>385.58000000000004</v>
      </c>
    </row>
    <row r="74" spans="1:5" x14ac:dyDescent="0.2">
      <c r="A74" s="32" t="s">
        <v>24</v>
      </c>
      <c r="B74" s="59" t="s">
        <v>25</v>
      </c>
      <c r="C74" s="59"/>
      <c r="D74" s="14">
        <f>D57</f>
        <v>871.78</v>
      </c>
    </row>
    <row r="75" spans="1:5" x14ac:dyDescent="0.2">
      <c r="A75" s="32" t="s">
        <v>39</v>
      </c>
      <c r="B75" s="59" t="s">
        <v>40</v>
      </c>
      <c r="C75" s="59"/>
      <c r="D75" s="14">
        <f>D67</f>
        <v>56.990000000000009</v>
      </c>
    </row>
    <row r="76" spans="1:5" x14ac:dyDescent="0.2">
      <c r="A76" s="60" t="s">
        <v>16</v>
      </c>
      <c r="B76" s="60"/>
      <c r="C76" s="60"/>
      <c r="D76" s="19">
        <f>SUM(D73:D75)</f>
        <v>1314.3500000000001</v>
      </c>
    </row>
    <row r="77" spans="1:5" x14ac:dyDescent="0.2">
      <c r="A77" s="4"/>
      <c r="E77" s="18"/>
    </row>
    <row r="79" spans="1:5" x14ac:dyDescent="0.2">
      <c r="A79" s="63" t="s">
        <v>46</v>
      </c>
      <c r="B79" s="63"/>
      <c r="C79" s="63"/>
      <c r="D79" s="63"/>
      <c r="E79" s="17"/>
    </row>
    <row r="80" spans="1:5" ht="12.75" customHeight="1" x14ac:dyDescent="0.2">
      <c r="E80" s="18"/>
    </row>
    <row r="81" spans="1:4" x14ac:dyDescent="0.2">
      <c r="A81" s="33">
        <v>3</v>
      </c>
      <c r="B81" s="62" t="s">
        <v>47</v>
      </c>
      <c r="C81" s="62"/>
      <c r="D81" s="33" t="s">
        <v>3</v>
      </c>
    </row>
    <row r="82" spans="1:4" x14ac:dyDescent="0.2">
      <c r="A82" s="32" t="s">
        <v>4</v>
      </c>
      <c r="B82" s="10" t="s">
        <v>48</v>
      </c>
      <c r="C82" s="9">
        <f>TRUNC(((1/12)*5%),4)</f>
        <v>4.1000000000000003E-3</v>
      </c>
      <c r="D82" s="13">
        <f>TRUNC($D$33*C82,2)</f>
        <v>8.1300000000000008</v>
      </c>
    </row>
    <row r="83" spans="1:4" x14ac:dyDescent="0.2">
      <c r="A83" s="32" t="s">
        <v>6</v>
      </c>
      <c r="B83" s="10" t="s">
        <v>49</v>
      </c>
      <c r="C83" s="9">
        <v>0.08</v>
      </c>
      <c r="D83" s="13">
        <f>TRUNC(D82*C83,2)</f>
        <v>0.65</v>
      </c>
    </row>
    <row r="84" spans="1:4" x14ac:dyDescent="0.2">
      <c r="A84" s="32" t="s">
        <v>8</v>
      </c>
      <c r="B84" s="10" t="s">
        <v>50</v>
      </c>
      <c r="C84" s="9">
        <f>TRUNC(8%*5%*50%,4)</f>
        <v>2E-3</v>
      </c>
      <c r="D84" s="13">
        <f>TRUNC($D$33*C84,2)</f>
        <v>3.96</v>
      </c>
    </row>
    <row r="85" spans="1:4" x14ac:dyDescent="0.2">
      <c r="A85" s="32" t="s">
        <v>10</v>
      </c>
      <c r="B85" s="10" t="s">
        <v>51</v>
      </c>
      <c r="C85" s="9">
        <f>TRUNC(((7/30)/12)*95%,4)</f>
        <v>1.84E-2</v>
      </c>
      <c r="D85" s="13">
        <f>TRUNC($D$33*C85,2)</f>
        <v>36.49</v>
      </c>
    </row>
    <row r="86" spans="1:4" ht="25.5" x14ac:dyDescent="0.2">
      <c r="A86" s="32" t="s">
        <v>12</v>
      </c>
      <c r="B86" s="10" t="s">
        <v>101</v>
      </c>
      <c r="C86" s="9">
        <f>C57</f>
        <v>0.36800000000000005</v>
      </c>
      <c r="D86" s="13">
        <f>TRUNC(D85*C86,2)</f>
        <v>13.42</v>
      </c>
    </row>
    <row r="87" spans="1:4" x14ac:dyDescent="0.2">
      <c r="A87" s="32" t="s">
        <v>32</v>
      </c>
      <c r="B87" s="10" t="s">
        <v>52</v>
      </c>
      <c r="C87" s="9">
        <f>TRUNC(8%*95%*50%,4)</f>
        <v>3.7999999999999999E-2</v>
      </c>
      <c r="D87" s="13">
        <f t="shared" ref="D87" si="1">TRUNC($D$33*C87,2)</f>
        <v>75.37</v>
      </c>
    </row>
    <row r="88" spans="1:4" x14ac:dyDescent="0.2">
      <c r="A88" s="67" t="s">
        <v>16</v>
      </c>
      <c r="B88" s="68"/>
      <c r="C88" s="69"/>
      <c r="D88" s="19">
        <f>SUM(D82:D87)</f>
        <v>138.02000000000001</v>
      </c>
    </row>
    <row r="91" spans="1:4" x14ac:dyDescent="0.2">
      <c r="A91" s="63" t="s">
        <v>53</v>
      </c>
      <c r="B91" s="63"/>
      <c r="C91" s="63"/>
      <c r="D91" s="63"/>
    </row>
    <row r="94" spans="1:4" x14ac:dyDescent="0.2">
      <c r="A94" s="61" t="s">
        <v>80</v>
      </c>
      <c r="B94" s="61"/>
      <c r="C94" s="61"/>
      <c r="D94" s="61"/>
    </row>
    <row r="95" spans="1:4" x14ac:dyDescent="0.2">
      <c r="A95" s="3"/>
    </row>
    <row r="96" spans="1:4" x14ac:dyDescent="0.2">
      <c r="A96" s="33" t="s">
        <v>54</v>
      </c>
      <c r="B96" s="62" t="s">
        <v>81</v>
      </c>
      <c r="C96" s="62"/>
      <c r="D96" s="33" t="s">
        <v>3</v>
      </c>
    </row>
    <row r="97" spans="1:6" x14ac:dyDescent="0.2">
      <c r="A97" s="32" t="s">
        <v>4</v>
      </c>
      <c r="B97" s="34" t="s">
        <v>82</v>
      </c>
      <c r="C97" s="9">
        <f>TRUNC(((1+1/3)/12)/12,4)</f>
        <v>9.1999999999999998E-3</v>
      </c>
      <c r="D97" s="13">
        <f>TRUNC(($D$33+$D$76+$D$88)*C97,2)</f>
        <v>31.61</v>
      </c>
    </row>
    <row r="98" spans="1:6" x14ac:dyDescent="0.2">
      <c r="A98" s="32" t="s">
        <v>6</v>
      </c>
      <c r="B98" s="34" t="s">
        <v>83</v>
      </c>
      <c r="C98" s="9">
        <f>TRUNC(((2/30)/12),4)</f>
        <v>5.4999999999999997E-3</v>
      </c>
      <c r="D98" s="13">
        <f t="shared" ref="D98:D102" si="2">TRUNC(($D$33+$D$76+$D$88)*C98,2)</f>
        <v>18.89</v>
      </c>
    </row>
    <row r="99" spans="1:6" x14ac:dyDescent="0.2">
      <c r="A99" s="32" t="s">
        <v>8</v>
      </c>
      <c r="B99" s="34" t="s">
        <v>84</v>
      </c>
      <c r="C99" s="9">
        <f>TRUNC(((5/30)/12)*2%,4)</f>
        <v>2.0000000000000001E-4</v>
      </c>
      <c r="D99" s="13">
        <f t="shared" si="2"/>
        <v>0.68</v>
      </c>
    </row>
    <row r="100" spans="1:6" x14ac:dyDescent="0.2">
      <c r="A100" s="32" t="s">
        <v>10</v>
      </c>
      <c r="B100" s="34" t="s">
        <v>85</v>
      </c>
      <c r="C100" s="9">
        <f>TRUNC(((15/30)/12)*8%,4)</f>
        <v>3.3E-3</v>
      </c>
      <c r="D100" s="13">
        <f t="shared" si="2"/>
        <v>11.33</v>
      </c>
    </row>
    <row r="101" spans="1:6" x14ac:dyDescent="0.2">
      <c r="A101" s="32" t="s">
        <v>12</v>
      </c>
      <c r="B101" s="34" t="s">
        <v>86</v>
      </c>
      <c r="C101" s="9">
        <f>((1+1/3)/12)*3%*(4/12)</f>
        <v>1.1111111111111109E-3</v>
      </c>
      <c r="D101" s="13">
        <f t="shared" si="2"/>
        <v>3.81</v>
      </c>
    </row>
    <row r="102" spans="1:6" x14ac:dyDescent="0.2">
      <c r="A102" s="32" t="s">
        <v>32</v>
      </c>
      <c r="B102" s="34" t="s">
        <v>87</v>
      </c>
      <c r="C102" s="9"/>
      <c r="D102" s="13">
        <f t="shared" si="2"/>
        <v>0</v>
      </c>
    </row>
    <row r="103" spans="1:6" x14ac:dyDescent="0.2">
      <c r="A103" s="60" t="s">
        <v>37</v>
      </c>
      <c r="B103" s="60"/>
      <c r="C103" s="60"/>
      <c r="D103" s="19">
        <f>SUM(D97:D102)</f>
        <v>66.319999999999993</v>
      </c>
      <c r="E103" s="17"/>
      <c r="F103" s="17"/>
    </row>
    <row r="106" spans="1:6" x14ac:dyDescent="0.2">
      <c r="A106" s="61" t="s">
        <v>88</v>
      </c>
      <c r="B106" s="61"/>
      <c r="C106" s="61"/>
      <c r="D106" s="61"/>
    </row>
    <row r="107" spans="1:6" x14ac:dyDescent="0.2">
      <c r="A107" s="3"/>
    </row>
    <row r="108" spans="1:6" x14ac:dyDescent="0.2">
      <c r="A108" s="33" t="s">
        <v>55</v>
      </c>
      <c r="B108" s="62" t="s">
        <v>89</v>
      </c>
      <c r="C108" s="62"/>
      <c r="D108" s="33" t="s">
        <v>3</v>
      </c>
    </row>
    <row r="109" spans="1:6" x14ac:dyDescent="0.2">
      <c r="A109" s="32" t="s">
        <v>4</v>
      </c>
      <c r="B109" s="70" t="s">
        <v>90</v>
      </c>
      <c r="C109" s="71"/>
      <c r="D109" s="13">
        <f>((D33+D76+D88)/220)*22*0</f>
        <v>0</v>
      </c>
    </row>
    <row r="110" spans="1:6" x14ac:dyDescent="0.2">
      <c r="A110" s="60" t="s">
        <v>16</v>
      </c>
      <c r="B110" s="60"/>
      <c r="C110" s="60"/>
      <c r="D110" s="19">
        <f>SUM(D109)</f>
        <v>0</v>
      </c>
    </row>
    <row r="113" spans="1:4" x14ac:dyDescent="0.2">
      <c r="A113" s="61" t="s">
        <v>56</v>
      </c>
      <c r="B113" s="61"/>
      <c r="C113" s="61"/>
      <c r="D113" s="61"/>
    </row>
    <row r="114" spans="1:4" x14ac:dyDescent="0.2">
      <c r="A114" s="3"/>
    </row>
    <row r="115" spans="1:4" x14ac:dyDescent="0.2">
      <c r="A115" s="33">
        <v>4</v>
      </c>
      <c r="B115" s="60" t="s">
        <v>57</v>
      </c>
      <c r="C115" s="60"/>
      <c r="D115" s="33" t="s">
        <v>3</v>
      </c>
    </row>
    <row r="116" spans="1:4" x14ac:dyDescent="0.2">
      <c r="A116" s="32" t="s">
        <v>54</v>
      </c>
      <c r="B116" s="59" t="s">
        <v>81</v>
      </c>
      <c r="C116" s="59"/>
      <c r="D116" s="14">
        <f>D103</f>
        <v>66.319999999999993</v>
      </c>
    </row>
    <row r="117" spans="1:4" x14ac:dyDescent="0.2">
      <c r="A117" s="32" t="s">
        <v>55</v>
      </c>
      <c r="B117" s="59" t="s">
        <v>89</v>
      </c>
      <c r="C117" s="59"/>
      <c r="D117" s="14">
        <f>D110</f>
        <v>0</v>
      </c>
    </row>
    <row r="118" spans="1:4" x14ac:dyDescent="0.2">
      <c r="A118" s="60" t="s">
        <v>16</v>
      </c>
      <c r="B118" s="60"/>
      <c r="C118" s="60"/>
      <c r="D118" s="19">
        <f>SUM(D116:D117)</f>
        <v>66.319999999999993</v>
      </c>
    </row>
    <row r="121" spans="1:4" x14ac:dyDescent="0.2">
      <c r="A121" s="63" t="s">
        <v>58</v>
      </c>
      <c r="B121" s="63"/>
      <c r="C121" s="63"/>
      <c r="D121" s="63"/>
    </row>
    <row r="123" spans="1:4" x14ac:dyDescent="0.2">
      <c r="A123" s="33">
        <v>5</v>
      </c>
      <c r="B123" s="72" t="s">
        <v>59</v>
      </c>
      <c r="C123" s="72"/>
      <c r="D123" s="33" t="s">
        <v>3</v>
      </c>
    </row>
    <row r="124" spans="1:4" x14ac:dyDescent="0.2">
      <c r="A124" s="32" t="s">
        <v>4</v>
      </c>
      <c r="B124" s="34" t="s">
        <v>60</v>
      </c>
      <c r="C124" s="34"/>
      <c r="D124" s="13"/>
    </row>
    <row r="125" spans="1:4" x14ac:dyDescent="0.2">
      <c r="A125" s="32" t="s">
        <v>6</v>
      </c>
      <c r="B125" s="34" t="s">
        <v>61</v>
      </c>
      <c r="C125" s="34"/>
      <c r="D125" s="13"/>
    </row>
    <row r="126" spans="1:4" x14ac:dyDescent="0.2">
      <c r="A126" s="32" t="s">
        <v>8</v>
      </c>
      <c r="B126" s="34" t="s">
        <v>62</v>
      </c>
      <c r="C126" s="34"/>
      <c r="D126" s="13"/>
    </row>
    <row r="127" spans="1:4" x14ac:dyDescent="0.2">
      <c r="A127" s="32" t="s">
        <v>10</v>
      </c>
      <c r="B127" s="34" t="s">
        <v>15</v>
      </c>
      <c r="C127" s="34"/>
      <c r="D127" s="13"/>
    </row>
    <row r="128" spans="1:4" x14ac:dyDescent="0.2">
      <c r="A128" s="60" t="s">
        <v>37</v>
      </c>
      <c r="B128" s="60"/>
      <c r="C128" s="60"/>
      <c r="D128" s="20"/>
    </row>
    <row r="131" spans="1:4" x14ac:dyDescent="0.2">
      <c r="A131" s="63" t="s">
        <v>63</v>
      </c>
      <c r="B131" s="63"/>
      <c r="C131" s="63"/>
      <c r="D131" s="63"/>
    </row>
    <row r="133" spans="1:4" x14ac:dyDescent="0.2">
      <c r="A133" s="33">
        <v>6</v>
      </c>
      <c r="B133" s="35" t="s">
        <v>64</v>
      </c>
      <c r="C133" s="33" t="s">
        <v>26</v>
      </c>
      <c r="D133" s="33" t="s">
        <v>3</v>
      </c>
    </row>
    <row r="134" spans="1:4" x14ac:dyDescent="0.2">
      <c r="A134" s="32" t="s">
        <v>4</v>
      </c>
      <c r="B134" s="34" t="s">
        <v>65</v>
      </c>
      <c r="C134" s="9">
        <v>0.05</v>
      </c>
      <c r="D134" s="14">
        <f>TRUNC(D154*C134,2)</f>
        <v>175.1</v>
      </c>
    </row>
    <row r="135" spans="1:4" x14ac:dyDescent="0.2">
      <c r="A135" s="32" t="s">
        <v>6</v>
      </c>
      <c r="B135" s="34" t="s">
        <v>66</v>
      </c>
      <c r="C135" s="9">
        <v>0.06</v>
      </c>
      <c r="D135" s="13">
        <f>TRUNC((D154+D134)*C135,2)</f>
        <v>220.63</v>
      </c>
    </row>
    <row r="136" spans="1:4" x14ac:dyDescent="0.2">
      <c r="A136" s="32" t="s">
        <v>8</v>
      </c>
      <c r="B136" s="34" t="s">
        <v>67</v>
      </c>
      <c r="C136" s="12">
        <f>SUM(C137:C142)</f>
        <v>8.6499999999999994E-2</v>
      </c>
      <c r="D136" s="13">
        <f>TRUNC(((D154+D134+D135)*C136/(1-C136)),2)</f>
        <v>369.09</v>
      </c>
    </row>
    <row r="137" spans="1:4" x14ac:dyDescent="0.2">
      <c r="A137" s="32"/>
      <c r="B137" s="34" t="s">
        <v>68</v>
      </c>
      <c r="C137" s="9"/>
      <c r="D137" s="14">
        <f>$D$156*C137</f>
        <v>0</v>
      </c>
    </row>
    <row r="138" spans="1:4" x14ac:dyDescent="0.2">
      <c r="A138" s="32"/>
      <c r="B138" s="34" t="s">
        <v>103</v>
      </c>
      <c r="C138" s="9">
        <v>6.4999999999999997E-3</v>
      </c>
      <c r="D138" s="14">
        <f>TRUNC($D$156*C138,2)</f>
        <v>27.73</v>
      </c>
    </row>
    <row r="139" spans="1:4" x14ac:dyDescent="0.2">
      <c r="A139" s="32"/>
      <c r="B139" s="34" t="s">
        <v>104</v>
      </c>
      <c r="C139" s="9">
        <v>0.03</v>
      </c>
      <c r="D139" s="14">
        <f t="shared" ref="D139:D142" si="3">TRUNC($D$156*C139,2)</f>
        <v>128.01</v>
      </c>
    </row>
    <row r="140" spans="1:4" x14ac:dyDescent="0.2">
      <c r="A140" s="32"/>
      <c r="B140" s="34" t="s">
        <v>69</v>
      </c>
      <c r="C140" s="32"/>
      <c r="D140" s="14">
        <f t="shared" si="3"/>
        <v>0</v>
      </c>
    </row>
    <row r="141" spans="1:4" x14ac:dyDescent="0.2">
      <c r="A141" s="32"/>
      <c r="B141" s="34" t="s">
        <v>70</v>
      </c>
      <c r="C141" s="9"/>
      <c r="D141" s="14">
        <f t="shared" si="3"/>
        <v>0</v>
      </c>
    </row>
    <row r="142" spans="1:4" x14ac:dyDescent="0.2">
      <c r="A142" s="32"/>
      <c r="B142" s="34" t="s">
        <v>105</v>
      </c>
      <c r="C142" s="9">
        <v>0.05</v>
      </c>
      <c r="D142" s="14">
        <f t="shared" si="3"/>
        <v>213.35</v>
      </c>
    </row>
    <row r="143" spans="1:4" ht="13.5" x14ac:dyDescent="0.2">
      <c r="A143" s="67" t="s">
        <v>37</v>
      </c>
      <c r="B143" s="68"/>
      <c r="C143" s="21">
        <f>(1+C135)*(1+C134)/(1-C136)-1</f>
        <v>0.21839080459770144</v>
      </c>
      <c r="D143" s="19">
        <f>SUM(D134:D136)</f>
        <v>764.81999999999994</v>
      </c>
    </row>
    <row r="146" spans="1:4" x14ac:dyDescent="0.2">
      <c r="A146" s="63" t="s">
        <v>71</v>
      </c>
      <c r="B146" s="63"/>
      <c r="C146" s="63"/>
      <c r="D146" s="63"/>
    </row>
    <row r="148" spans="1:4" x14ac:dyDescent="0.2">
      <c r="A148" s="33"/>
      <c r="B148" s="60" t="s">
        <v>72</v>
      </c>
      <c r="C148" s="60"/>
      <c r="D148" s="33" t="s">
        <v>3</v>
      </c>
    </row>
    <row r="149" spans="1:4" x14ac:dyDescent="0.2">
      <c r="A149" s="33" t="s">
        <v>4</v>
      </c>
      <c r="B149" s="59" t="s">
        <v>1</v>
      </c>
      <c r="C149" s="59"/>
      <c r="D149" s="22">
        <f>D33</f>
        <v>1983.5</v>
      </c>
    </row>
    <row r="150" spans="1:4" x14ac:dyDescent="0.2">
      <c r="A150" s="33" t="s">
        <v>6</v>
      </c>
      <c r="B150" s="59" t="s">
        <v>17</v>
      </c>
      <c r="C150" s="59"/>
      <c r="D150" s="22">
        <f>D76</f>
        <v>1314.3500000000001</v>
      </c>
    </row>
    <row r="151" spans="1:4" x14ac:dyDescent="0.2">
      <c r="A151" s="33" t="s">
        <v>8</v>
      </c>
      <c r="B151" s="59" t="s">
        <v>46</v>
      </c>
      <c r="C151" s="59"/>
      <c r="D151" s="22">
        <f>D88</f>
        <v>138.02000000000001</v>
      </c>
    </row>
    <row r="152" spans="1:4" x14ac:dyDescent="0.2">
      <c r="A152" s="33" t="s">
        <v>10</v>
      </c>
      <c r="B152" s="59" t="s">
        <v>53</v>
      </c>
      <c r="C152" s="59"/>
      <c r="D152" s="22">
        <f>D118</f>
        <v>66.319999999999993</v>
      </c>
    </row>
    <row r="153" spans="1:4" x14ac:dyDescent="0.2">
      <c r="A153" s="33" t="s">
        <v>12</v>
      </c>
      <c r="B153" s="59" t="s">
        <v>58</v>
      </c>
      <c r="C153" s="59"/>
      <c r="D153" s="22">
        <f>D128</f>
        <v>0</v>
      </c>
    </row>
    <row r="154" spans="1:4" x14ac:dyDescent="0.2">
      <c r="A154" s="60" t="s">
        <v>102</v>
      </c>
      <c r="B154" s="60"/>
      <c r="C154" s="60"/>
      <c r="D154" s="23">
        <f>SUM(D149:D153)</f>
        <v>3502.1900000000005</v>
      </c>
    </row>
    <row r="155" spans="1:4" x14ac:dyDescent="0.2">
      <c r="A155" s="33" t="s">
        <v>32</v>
      </c>
      <c r="B155" s="59" t="s">
        <v>73</v>
      </c>
      <c r="C155" s="59"/>
      <c r="D155" s="24">
        <f>D143</f>
        <v>764.81999999999994</v>
      </c>
    </row>
    <row r="156" spans="1:4" x14ac:dyDescent="0.2">
      <c r="A156" s="60" t="s">
        <v>74</v>
      </c>
      <c r="B156" s="60"/>
      <c r="C156" s="60"/>
      <c r="D156" s="23">
        <f>SUM(D154:D155)</f>
        <v>4267.01</v>
      </c>
    </row>
  </sheetData>
  <mergeCells count="71">
    <mergeCell ref="B152:C152"/>
    <mergeCell ref="B153:C153"/>
    <mergeCell ref="A154:C154"/>
    <mergeCell ref="B155:C155"/>
    <mergeCell ref="A156:C156"/>
    <mergeCell ref="B151:C151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16:C116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81:C81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A15:D15"/>
    <mergeCell ref="A1:D1"/>
    <mergeCell ref="A3:D3"/>
    <mergeCell ref="A10:D10"/>
    <mergeCell ref="A12:B12"/>
    <mergeCell ref="A13:B13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6"/>
  <sheetViews>
    <sheetView topLeftCell="A130" zoomScale="115" zoomScaleNormal="115" workbookViewId="0">
      <selection activeCell="D27" sqref="D2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64" t="s">
        <v>0</v>
      </c>
      <c r="B1" s="64"/>
      <c r="C1" s="64"/>
      <c r="D1" s="64"/>
    </row>
    <row r="2" spans="1:4" ht="15.75" x14ac:dyDescent="0.25">
      <c r="A2" s="26"/>
      <c r="B2" s="26"/>
      <c r="C2" s="26"/>
      <c r="D2" s="26"/>
    </row>
    <row r="3" spans="1:4" x14ac:dyDescent="0.2">
      <c r="A3" s="66" t="s">
        <v>91</v>
      </c>
      <c r="B3" s="66"/>
      <c r="C3" s="66"/>
      <c r="D3" s="66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92</v>
      </c>
      <c r="C5" s="27"/>
      <c r="D5" s="28"/>
    </row>
    <row r="6" spans="1:4" x14ac:dyDescent="0.2">
      <c r="A6" s="5" t="s">
        <v>6</v>
      </c>
      <c r="B6" s="29" t="s">
        <v>93</v>
      </c>
      <c r="C6" s="27"/>
      <c r="D6" s="28"/>
    </row>
    <row r="7" spans="1:4" x14ac:dyDescent="0.2">
      <c r="A7" s="5" t="s">
        <v>8</v>
      </c>
      <c r="B7" s="29" t="s">
        <v>94</v>
      </c>
      <c r="C7" s="27"/>
      <c r="D7" s="28"/>
    </row>
    <row r="8" spans="1:4" x14ac:dyDescent="0.2">
      <c r="A8" s="5" t="s">
        <v>10</v>
      </c>
      <c r="B8" s="29" t="s">
        <v>95</v>
      </c>
      <c r="C8" s="27"/>
      <c r="D8" s="28"/>
    </row>
    <row r="10" spans="1:4" x14ac:dyDescent="0.2">
      <c r="A10" s="66" t="s">
        <v>96</v>
      </c>
      <c r="B10" s="66"/>
      <c r="C10" s="66"/>
      <c r="D10" s="66"/>
    </row>
    <row r="11" spans="1:4" x14ac:dyDescent="0.2">
      <c r="A11" s="2"/>
      <c r="B11" s="2"/>
      <c r="C11" s="2"/>
      <c r="D11" s="2"/>
    </row>
    <row r="12" spans="1:4" ht="38.25" x14ac:dyDescent="0.2">
      <c r="A12" s="73" t="s">
        <v>97</v>
      </c>
      <c r="B12" s="73"/>
      <c r="C12" s="32" t="s">
        <v>98</v>
      </c>
      <c r="D12" s="30" t="s">
        <v>99</v>
      </c>
    </row>
    <row r="13" spans="1:4" x14ac:dyDescent="0.2">
      <c r="A13" s="74" t="s">
        <v>169</v>
      </c>
      <c r="B13" s="74"/>
      <c r="C13" s="36" t="s">
        <v>108</v>
      </c>
      <c r="D13" s="36" t="s">
        <v>109</v>
      </c>
    </row>
    <row r="15" spans="1:4" x14ac:dyDescent="0.2">
      <c r="A15" s="66" t="s">
        <v>75</v>
      </c>
      <c r="B15" s="66"/>
      <c r="C15" s="66"/>
      <c r="D15" s="66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76</v>
      </c>
      <c r="C17" s="75" t="s">
        <v>169</v>
      </c>
      <c r="D17" s="76"/>
    </row>
    <row r="18" spans="1:4" x14ac:dyDescent="0.2">
      <c r="A18" s="5">
        <v>2</v>
      </c>
      <c r="B18" s="5" t="s">
        <v>100</v>
      </c>
      <c r="C18" s="75" t="s">
        <v>171</v>
      </c>
      <c r="D18" s="76"/>
    </row>
    <row r="19" spans="1:4" x14ac:dyDescent="0.2">
      <c r="A19" s="5">
        <v>3</v>
      </c>
      <c r="B19" s="5" t="s">
        <v>77</v>
      </c>
      <c r="C19" s="75"/>
      <c r="D19" s="76"/>
    </row>
    <row r="20" spans="1:4" x14ac:dyDescent="0.2">
      <c r="A20" s="5">
        <v>4</v>
      </c>
      <c r="B20" s="5" t="s">
        <v>78</v>
      </c>
      <c r="C20" s="75"/>
      <c r="D20" s="76"/>
    </row>
    <row r="21" spans="1:4" x14ac:dyDescent="0.2">
      <c r="A21" s="5">
        <v>5</v>
      </c>
      <c r="B21" s="5" t="s">
        <v>79</v>
      </c>
      <c r="C21" s="75"/>
      <c r="D21" s="76"/>
    </row>
    <row r="23" spans="1:4" x14ac:dyDescent="0.2">
      <c r="A23" s="66" t="s">
        <v>1</v>
      </c>
      <c r="B23" s="66"/>
      <c r="C23" s="66"/>
      <c r="D23" s="66"/>
    </row>
    <row r="25" spans="1:4" x14ac:dyDescent="0.2">
      <c r="A25" s="33">
        <v>1</v>
      </c>
      <c r="B25" s="60" t="s">
        <v>2</v>
      </c>
      <c r="C25" s="60"/>
      <c r="D25" s="33" t="s">
        <v>3</v>
      </c>
    </row>
    <row r="26" spans="1:4" x14ac:dyDescent="0.2">
      <c r="A26" s="32" t="s">
        <v>4</v>
      </c>
      <c r="B26" s="59" t="s">
        <v>5</v>
      </c>
      <c r="C26" s="59"/>
      <c r="D26" s="13">
        <v>1765.7</v>
      </c>
    </row>
    <row r="27" spans="1:4" x14ac:dyDescent="0.2">
      <c r="A27" s="32" t="s">
        <v>6</v>
      </c>
      <c r="B27" s="59" t="s">
        <v>7</v>
      </c>
      <c r="C27" s="59"/>
      <c r="D27" s="13"/>
    </row>
    <row r="28" spans="1:4" x14ac:dyDescent="0.2">
      <c r="A28" s="32" t="s">
        <v>8</v>
      </c>
      <c r="B28" s="59" t="s">
        <v>9</v>
      </c>
      <c r="C28" s="59"/>
      <c r="D28" s="13"/>
    </row>
    <row r="29" spans="1:4" x14ac:dyDescent="0.2">
      <c r="A29" s="32" t="s">
        <v>10</v>
      </c>
      <c r="B29" s="59" t="s">
        <v>11</v>
      </c>
      <c r="C29" s="59"/>
      <c r="D29" s="13"/>
    </row>
    <row r="30" spans="1:4" x14ac:dyDescent="0.2">
      <c r="A30" s="32" t="s">
        <v>12</v>
      </c>
      <c r="B30" s="59" t="s">
        <v>13</v>
      </c>
      <c r="C30" s="59"/>
      <c r="D30" s="13"/>
    </row>
    <row r="31" spans="1:4" x14ac:dyDescent="0.2">
      <c r="A31" s="32"/>
      <c r="B31" s="59"/>
      <c r="C31" s="59"/>
      <c r="D31" s="13"/>
    </row>
    <row r="32" spans="1:4" x14ac:dyDescent="0.2">
      <c r="A32" s="32" t="s">
        <v>14</v>
      </c>
      <c r="B32" s="59" t="s">
        <v>15</v>
      </c>
      <c r="C32" s="59"/>
      <c r="D32" s="13"/>
    </row>
    <row r="33" spans="1:4" x14ac:dyDescent="0.2">
      <c r="A33" s="60" t="s">
        <v>16</v>
      </c>
      <c r="B33" s="60"/>
      <c r="C33" s="60"/>
      <c r="D33" s="20">
        <f>SUM(D26:D32)</f>
        <v>1765.7</v>
      </c>
    </row>
    <row r="36" spans="1:4" x14ac:dyDescent="0.2">
      <c r="A36" s="63" t="s">
        <v>17</v>
      </c>
      <c r="B36" s="63"/>
      <c r="C36" s="63"/>
      <c r="D36" s="63"/>
    </row>
    <row r="37" spans="1:4" x14ac:dyDescent="0.2">
      <c r="A37" s="3"/>
    </row>
    <row r="38" spans="1:4" x14ac:dyDescent="0.2">
      <c r="A38" s="61" t="s">
        <v>18</v>
      </c>
      <c r="B38" s="61"/>
      <c r="C38" s="61"/>
      <c r="D38" s="61"/>
    </row>
    <row r="40" spans="1:4" x14ac:dyDescent="0.2">
      <c r="A40" s="33" t="s">
        <v>19</v>
      </c>
      <c r="B40" s="60" t="s">
        <v>20</v>
      </c>
      <c r="C40" s="60"/>
      <c r="D40" s="33" t="s">
        <v>3</v>
      </c>
    </row>
    <row r="41" spans="1:4" x14ac:dyDescent="0.2">
      <c r="A41" s="32" t="s">
        <v>4</v>
      </c>
      <c r="B41" s="34" t="s">
        <v>21</v>
      </c>
      <c r="C41" s="12">
        <f>TRUNC(1/12,4)</f>
        <v>8.3299999999999999E-2</v>
      </c>
      <c r="D41" s="13">
        <f>TRUNC($D$33*C41,2)</f>
        <v>147.08000000000001</v>
      </c>
    </row>
    <row r="42" spans="1:4" x14ac:dyDescent="0.2">
      <c r="A42" s="32" t="s">
        <v>6</v>
      </c>
      <c r="B42" s="34" t="s">
        <v>22</v>
      </c>
      <c r="C42" s="12">
        <f>TRUNC(((1+1/3)/12),4)</f>
        <v>0.1111</v>
      </c>
      <c r="D42" s="13">
        <f>TRUNC($D$33*C42,2)</f>
        <v>196.16</v>
      </c>
    </row>
    <row r="43" spans="1:4" x14ac:dyDescent="0.2">
      <c r="A43" s="60" t="s">
        <v>16</v>
      </c>
      <c r="B43" s="60"/>
      <c r="C43" s="31">
        <f>SUM(C41:C42)</f>
        <v>0.19440000000000002</v>
      </c>
      <c r="D43" s="19">
        <f>SUM(D41:D42)</f>
        <v>343.24</v>
      </c>
    </row>
    <row r="46" spans="1:4" x14ac:dyDescent="0.2">
      <c r="A46" s="65" t="s">
        <v>23</v>
      </c>
      <c r="B46" s="65"/>
      <c r="C46" s="65"/>
      <c r="D46" s="65"/>
    </row>
    <row r="48" spans="1:4" x14ac:dyDescent="0.2">
      <c r="A48" s="33" t="s">
        <v>24</v>
      </c>
      <c r="B48" s="33" t="s">
        <v>25</v>
      </c>
      <c r="C48" s="33" t="s">
        <v>26</v>
      </c>
      <c r="D48" s="33" t="s">
        <v>3</v>
      </c>
    </row>
    <row r="49" spans="1:4" x14ac:dyDescent="0.2">
      <c r="A49" s="32" t="s">
        <v>4</v>
      </c>
      <c r="B49" s="34" t="s">
        <v>27</v>
      </c>
      <c r="C49" s="9">
        <v>0.2</v>
      </c>
      <c r="D49" s="13">
        <f>TRUNC(($D$33+$D$43)*C49,2)</f>
        <v>421.78</v>
      </c>
    </row>
    <row r="50" spans="1:4" x14ac:dyDescent="0.2">
      <c r="A50" s="32" t="s">
        <v>6</v>
      </c>
      <c r="B50" s="34" t="s">
        <v>28</v>
      </c>
      <c r="C50" s="9">
        <v>2.5000000000000001E-2</v>
      </c>
      <c r="D50" s="13">
        <f t="shared" ref="D50:D56" si="0">TRUNC(($D$33+$D$43)*C50,2)</f>
        <v>52.72</v>
      </c>
    </row>
    <row r="51" spans="1:4" x14ac:dyDescent="0.2">
      <c r="A51" s="32" t="s">
        <v>8</v>
      </c>
      <c r="B51" s="34" t="s">
        <v>29</v>
      </c>
      <c r="C51" s="16">
        <v>0.03</v>
      </c>
      <c r="D51" s="13">
        <f t="shared" si="0"/>
        <v>63.26</v>
      </c>
    </row>
    <row r="52" spans="1:4" x14ac:dyDescent="0.2">
      <c r="A52" s="32" t="s">
        <v>10</v>
      </c>
      <c r="B52" s="34" t="s">
        <v>30</v>
      </c>
      <c r="C52" s="9">
        <v>1.4999999999999999E-2</v>
      </c>
      <c r="D52" s="13">
        <f t="shared" si="0"/>
        <v>31.63</v>
      </c>
    </row>
    <row r="53" spans="1:4" x14ac:dyDescent="0.2">
      <c r="A53" s="32" t="s">
        <v>12</v>
      </c>
      <c r="B53" s="34" t="s">
        <v>31</v>
      </c>
      <c r="C53" s="9">
        <v>0.01</v>
      </c>
      <c r="D53" s="13">
        <f t="shared" si="0"/>
        <v>21.08</v>
      </c>
    </row>
    <row r="54" spans="1:4" x14ac:dyDescent="0.2">
      <c r="A54" s="32" t="s">
        <v>32</v>
      </c>
      <c r="B54" s="34" t="s">
        <v>33</v>
      </c>
      <c r="C54" s="9">
        <v>6.0000000000000001E-3</v>
      </c>
      <c r="D54" s="13">
        <f t="shared" si="0"/>
        <v>12.65</v>
      </c>
    </row>
    <row r="55" spans="1:4" x14ac:dyDescent="0.2">
      <c r="A55" s="32" t="s">
        <v>14</v>
      </c>
      <c r="B55" s="34" t="s">
        <v>34</v>
      </c>
      <c r="C55" s="9">
        <v>2E-3</v>
      </c>
      <c r="D55" s="13">
        <f t="shared" si="0"/>
        <v>4.21</v>
      </c>
    </row>
    <row r="56" spans="1:4" x14ac:dyDescent="0.2">
      <c r="A56" s="32" t="s">
        <v>35</v>
      </c>
      <c r="B56" s="34" t="s">
        <v>36</v>
      </c>
      <c r="C56" s="9">
        <v>0.08</v>
      </c>
      <c r="D56" s="13">
        <f t="shared" si="0"/>
        <v>168.71</v>
      </c>
    </row>
    <row r="57" spans="1:4" x14ac:dyDescent="0.2">
      <c r="A57" s="60" t="s">
        <v>37</v>
      </c>
      <c r="B57" s="60"/>
      <c r="C57" s="15">
        <f>SUM(C49:C56)</f>
        <v>0.36800000000000005</v>
      </c>
      <c r="D57" s="19">
        <f>SUM(D49:D56)</f>
        <v>776.04000000000008</v>
      </c>
    </row>
    <row r="60" spans="1:4" x14ac:dyDescent="0.2">
      <c r="A60" s="61" t="s">
        <v>38</v>
      </c>
      <c r="B60" s="61"/>
      <c r="C60" s="61"/>
      <c r="D60" s="61"/>
    </row>
    <row r="62" spans="1:4" x14ac:dyDescent="0.2">
      <c r="A62" s="33" t="s">
        <v>39</v>
      </c>
      <c r="B62" s="62" t="s">
        <v>40</v>
      </c>
      <c r="C62" s="62"/>
      <c r="D62" s="33" t="s">
        <v>3</v>
      </c>
    </row>
    <row r="63" spans="1:4" x14ac:dyDescent="0.2">
      <c r="A63" s="32" t="s">
        <v>4</v>
      </c>
      <c r="B63" s="59" t="s">
        <v>41</v>
      </c>
      <c r="C63" s="59"/>
      <c r="D63" s="13">
        <f>IF((22*2*4)-(D26*0.06)&lt;0,0,(22*2*4)-(D26*0.06))</f>
        <v>70.058000000000007</v>
      </c>
    </row>
    <row r="64" spans="1:4" x14ac:dyDescent="0.2">
      <c r="A64" s="32" t="s">
        <v>6</v>
      </c>
      <c r="B64" s="59" t="s">
        <v>42</v>
      </c>
      <c r="C64" s="59"/>
      <c r="D64" s="13">
        <v>0</v>
      </c>
    </row>
    <row r="65" spans="1:5" x14ac:dyDescent="0.2">
      <c r="A65" s="32" t="s">
        <v>8</v>
      </c>
      <c r="B65" s="59" t="s">
        <v>43</v>
      </c>
      <c r="C65" s="59"/>
      <c r="D65" s="13"/>
    </row>
    <row r="66" spans="1:5" x14ac:dyDescent="0.2">
      <c r="A66" s="32" t="s">
        <v>10</v>
      </c>
      <c r="B66" s="59" t="s">
        <v>15</v>
      </c>
      <c r="C66" s="59"/>
      <c r="D66" s="13"/>
    </row>
    <row r="67" spans="1:5" x14ac:dyDescent="0.2">
      <c r="A67" s="60" t="s">
        <v>16</v>
      </c>
      <c r="B67" s="60"/>
      <c r="C67" s="60"/>
      <c r="D67" s="19">
        <f>SUM(D63:D66)</f>
        <v>70.058000000000007</v>
      </c>
    </row>
    <row r="70" spans="1:5" x14ac:dyDescent="0.2">
      <c r="A70" s="61" t="s">
        <v>44</v>
      </c>
      <c r="B70" s="61"/>
      <c r="C70" s="61"/>
      <c r="D70" s="61"/>
    </row>
    <row r="72" spans="1:5" x14ac:dyDescent="0.2">
      <c r="A72" s="33">
        <v>2</v>
      </c>
      <c r="B72" s="62" t="s">
        <v>45</v>
      </c>
      <c r="C72" s="62"/>
      <c r="D72" s="33" t="s">
        <v>3</v>
      </c>
    </row>
    <row r="73" spans="1:5" x14ac:dyDescent="0.2">
      <c r="A73" s="32" t="s">
        <v>19</v>
      </c>
      <c r="B73" s="59" t="s">
        <v>20</v>
      </c>
      <c r="C73" s="59"/>
      <c r="D73" s="14">
        <f>D43</f>
        <v>343.24</v>
      </c>
    </row>
    <row r="74" spans="1:5" x14ac:dyDescent="0.2">
      <c r="A74" s="32" t="s">
        <v>24</v>
      </c>
      <c r="B74" s="59" t="s">
        <v>25</v>
      </c>
      <c r="C74" s="59"/>
      <c r="D74" s="14">
        <f>D57</f>
        <v>776.04000000000008</v>
      </c>
    </row>
    <row r="75" spans="1:5" x14ac:dyDescent="0.2">
      <c r="A75" s="32" t="s">
        <v>39</v>
      </c>
      <c r="B75" s="59" t="s">
        <v>40</v>
      </c>
      <c r="C75" s="59"/>
      <c r="D75" s="14">
        <f>D67</f>
        <v>70.058000000000007</v>
      </c>
    </row>
    <row r="76" spans="1:5" x14ac:dyDescent="0.2">
      <c r="A76" s="60" t="s">
        <v>16</v>
      </c>
      <c r="B76" s="60"/>
      <c r="C76" s="60"/>
      <c r="D76" s="19">
        <f>SUM(D73:D75)</f>
        <v>1189.3380000000002</v>
      </c>
    </row>
    <row r="77" spans="1:5" x14ac:dyDescent="0.2">
      <c r="A77" s="4"/>
      <c r="E77" s="18"/>
    </row>
    <row r="79" spans="1:5" x14ac:dyDescent="0.2">
      <c r="A79" s="63" t="s">
        <v>46</v>
      </c>
      <c r="B79" s="63"/>
      <c r="C79" s="63"/>
      <c r="D79" s="63"/>
      <c r="E79" s="17"/>
    </row>
    <row r="80" spans="1:5" ht="12.75" customHeight="1" x14ac:dyDescent="0.2">
      <c r="E80" s="18"/>
    </row>
    <row r="81" spans="1:4" x14ac:dyDescent="0.2">
      <c r="A81" s="33">
        <v>3</v>
      </c>
      <c r="B81" s="62" t="s">
        <v>47</v>
      </c>
      <c r="C81" s="62"/>
      <c r="D81" s="33" t="s">
        <v>3</v>
      </c>
    </row>
    <row r="82" spans="1:4" x14ac:dyDescent="0.2">
      <c r="A82" s="32" t="s">
        <v>4</v>
      </c>
      <c r="B82" s="10" t="s">
        <v>48</v>
      </c>
      <c r="C82" s="9">
        <f>TRUNC(((1/12)*5%),4)</f>
        <v>4.1000000000000003E-3</v>
      </c>
      <c r="D82" s="13">
        <f>TRUNC($D$33*C82,2)</f>
        <v>7.23</v>
      </c>
    </row>
    <row r="83" spans="1:4" x14ac:dyDescent="0.2">
      <c r="A83" s="32" t="s">
        <v>6</v>
      </c>
      <c r="B83" s="10" t="s">
        <v>49</v>
      </c>
      <c r="C83" s="9">
        <v>0.08</v>
      </c>
      <c r="D83" s="13">
        <f>TRUNC(D82*C83,2)</f>
        <v>0.56999999999999995</v>
      </c>
    </row>
    <row r="84" spans="1:4" x14ac:dyDescent="0.2">
      <c r="A84" s="32" t="s">
        <v>8</v>
      </c>
      <c r="B84" s="10" t="s">
        <v>50</v>
      </c>
      <c r="C84" s="9">
        <f>TRUNC(8%*5%*50%,4)</f>
        <v>2E-3</v>
      </c>
      <c r="D84" s="13">
        <f>TRUNC($D$33*C84,2)</f>
        <v>3.53</v>
      </c>
    </row>
    <row r="85" spans="1:4" x14ac:dyDescent="0.2">
      <c r="A85" s="32" t="s">
        <v>10</v>
      </c>
      <c r="B85" s="10" t="s">
        <v>51</v>
      </c>
      <c r="C85" s="9">
        <f>TRUNC(((7/30)/12)*95%,4)</f>
        <v>1.84E-2</v>
      </c>
      <c r="D85" s="13">
        <f>TRUNC($D$33*C85,2)</f>
        <v>32.479999999999997</v>
      </c>
    </row>
    <row r="86" spans="1:4" ht="25.5" x14ac:dyDescent="0.2">
      <c r="A86" s="32" t="s">
        <v>12</v>
      </c>
      <c r="B86" s="10" t="s">
        <v>101</v>
      </c>
      <c r="C86" s="9">
        <f>C57</f>
        <v>0.36800000000000005</v>
      </c>
      <c r="D86" s="13">
        <f>TRUNC(D85*C86,2)</f>
        <v>11.95</v>
      </c>
    </row>
    <row r="87" spans="1:4" x14ac:dyDescent="0.2">
      <c r="A87" s="32" t="s">
        <v>32</v>
      </c>
      <c r="B87" s="10" t="s">
        <v>52</v>
      </c>
      <c r="C87" s="9">
        <f>TRUNC(8%*95%*50%,4)</f>
        <v>3.7999999999999999E-2</v>
      </c>
      <c r="D87" s="13">
        <f t="shared" ref="D87" si="1">TRUNC($D$33*C87,2)</f>
        <v>67.09</v>
      </c>
    </row>
    <row r="88" spans="1:4" x14ac:dyDescent="0.2">
      <c r="A88" s="67" t="s">
        <v>16</v>
      </c>
      <c r="B88" s="68"/>
      <c r="C88" s="69"/>
      <c r="D88" s="19">
        <f>SUM(D82:D87)</f>
        <v>122.85</v>
      </c>
    </row>
    <row r="91" spans="1:4" x14ac:dyDescent="0.2">
      <c r="A91" s="63" t="s">
        <v>53</v>
      </c>
      <c r="B91" s="63"/>
      <c r="C91" s="63"/>
      <c r="D91" s="63"/>
    </row>
    <row r="94" spans="1:4" x14ac:dyDescent="0.2">
      <c r="A94" s="61" t="s">
        <v>80</v>
      </c>
      <c r="B94" s="61"/>
      <c r="C94" s="61"/>
      <c r="D94" s="61"/>
    </row>
    <row r="95" spans="1:4" x14ac:dyDescent="0.2">
      <c r="A95" s="3"/>
    </row>
    <row r="96" spans="1:4" x14ac:dyDescent="0.2">
      <c r="A96" s="33" t="s">
        <v>54</v>
      </c>
      <c r="B96" s="62" t="s">
        <v>81</v>
      </c>
      <c r="C96" s="62"/>
      <c r="D96" s="33" t="s">
        <v>3</v>
      </c>
    </row>
    <row r="97" spans="1:6" x14ac:dyDescent="0.2">
      <c r="A97" s="32" t="s">
        <v>4</v>
      </c>
      <c r="B97" s="34" t="s">
        <v>82</v>
      </c>
      <c r="C97" s="9">
        <f>TRUNC(((1+1/3)/12)/12,4)</f>
        <v>9.1999999999999998E-3</v>
      </c>
      <c r="D97" s="13">
        <f>TRUNC(($D$33+$D$76+$D$88)*C97,2)</f>
        <v>28.31</v>
      </c>
    </row>
    <row r="98" spans="1:6" x14ac:dyDescent="0.2">
      <c r="A98" s="32" t="s">
        <v>6</v>
      </c>
      <c r="B98" s="34" t="s">
        <v>83</v>
      </c>
      <c r="C98" s="9">
        <f>TRUNC(((2/30)/12),4)</f>
        <v>5.4999999999999997E-3</v>
      </c>
      <c r="D98" s="13">
        <f t="shared" ref="D98:D102" si="2">TRUNC(($D$33+$D$76+$D$88)*C98,2)</f>
        <v>16.920000000000002</v>
      </c>
    </row>
    <row r="99" spans="1:6" x14ac:dyDescent="0.2">
      <c r="A99" s="32" t="s">
        <v>8</v>
      </c>
      <c r="B99" s="34" t="s">
        <v>84</v>
      </c>
      <c r="C99" s="9">
        <f>TRUNC(((5/30)/12)*2%,4)</f>
        <v>2.0000000000000001E-4</v>
      </c>
      <c r="D99" s="13">
        <f t="shared" si="2"/>
        <v>0.61</v>
      </c>
    </row>
    <row r="100" spans="1:6" x14ac:dyDescent="0.2">
      <c r="A100" s="32" t="s">
        <v>10</v>
      </c>
      <c r="B100" s="34" t="s">
        <v>85</v>
      </c>
      <c r="C100" s="9">
        <f>TRUNC(((15/30)/12)*8%,4)</f>
        <v>3.3E-3</v>
      </c>
      <c r="D100" s="13">
        <f t="shared" si="2"/>
        <v>10.15</v>
      </c>
    </row>
    <row r="101" spans="1:6" x14ac:dyDescent="0.2">
      <c r="A101" s="32" t="s">
        <v>12</v>
      </c>
      <c r="B101" s="34" t="s">
        <v>86</v>
      </c>
      <c r="C101" s="9">
        <f>((1+1/3)/12)*3%*(4/12)</f>
        <v>1.1111111111111109E-3</v>
      </c>
      <c r="D101" s="13">
        <f t="shared" si="2"/>
        <v>3.41</v>
      </c>
    </row>
    <row r="102" spans="1:6" x14ac:dyDescent="0.2">
      <c r="A102" s="32" t="s">
        <v>32</v>
      </c>
      <c r="B102" s="34" t="s">
        <v>87</v>
      </c>
      <c r="C102" s="9"/>
      <c r="D102" s="13">
        <f t="shared" si="2"/>
        <v>0</v>
      </c>
    </row>
    <row r="103" spans="1:6" x14ac:dyDescent="0.2">
      <c r="A103" s="60" t="s">
        <v>37</v>
      </c>
      <c r="B103" s="60"/>
      <c r="C103" s="60"/>
      <c r="D103" s="19">
        <f>SUM(D97:D102)</f>
        <v>59.400000000000006</v>
      </c>
      <c r="E103" s="17"/>
      <c r="F103" s="17"/>
    </row>
    <row r="106" spans="1:6" x14ac:dyDescent="0.2">
      <c r="A106" s="61" t="s">
        <v>88</v>
      </c>
      <c r="B106" s="61"/>
      <c r="C106" s="61"/>
      <c r="D106" s="61"/>
    </row>
    <row r="107" spans="1:6" x14ac:dyDescent="0.2">
      <c r="A107" s="3"/>
    </row>
    <row r="108" spans="1:6" x14ac:dyDescent="0.2">
      <c r="A108" s="33" t="s">
        <v>55</v>
      </c>
      <c r="B108" s="62" t="s">
        <v>89</v>
      </c>
      <c r="C108" s="62"/>
      <c r="D108" s="33" t="s">
        <v>3</v>
      </c>
    </row>
    <row r="109" spans="1:6" x14ac:dyDescent="0.2">
      <c r="A109" s="32" t="s">
        <v>4</v>
      </c>
      <c r="B109" s="70" t="s">
        <v>90</v>
      </c>
      <c r="C109" s="71"/>
      <c r="D109" s="13">
        <f>((D33+D76+D88)/220)*22*0</f>
        <v>0</v>
      </c>
    </row>
    <row r="110" spans="1:6" x14ac:dyDescent="0.2">
      <c r="A110" s="60" t="s">
        <v>16</v>
      </c>
      <c r="B110" s="60"/>
      <c r="C110" s="60"/>
      <c r="D110" s="19">
        <f>SUM(D109)</f>
        <v>0</v>
      </c>
    </row>
    <row r="113" spans="1:4" x14ac:dyDescent="0.2">
      <c r="A113" s="61" t="s">
        <v>56</v>
      </c>
      <c r="B113" s="61"/>
      <c r="C113" s="61"/>
      <c r="D113" s="61"/>
    </row>
    <row r="114" spans="1:4" x14ac:dyDescent="0.2">
      <c r="A114" s="3"/>
    </row>
    <row r="115" spans="1:4" x14ac:dyDescent="0.2">
      <c r="A115" s="33">
        <v>4</v>
      </c>
      <c r="B115" s="60" t="s">
        <v>57</v>
      </c>
      <c r="C115" s="60"/>
      <c r="D115" s="33" t="s">
        <v>3</v>
      </c>
    </row>
    <row r="116" spans="1:4" x14ac:dyDescent="0.2">
      <c r="A116" s="32" t="s">
        <v>54</v>
      </c>
      <c r="B116" s="59" t="s">
        <v>81</v>
      </c>
      <c r="C116" s="59"/>
      <c r="D116" s="14">
        <f>D103</f>
        <v>59.400000000000006</v>
      </c>
    </row>
    <row r="117" spans="1:4" x14ac:dyDescent="0.2">
      <c r="A117" s="32" t="s">
        <v>55</v>
      </c>
      <c r="B117" s="59" t="s">
        <v>89</v>
      </c>
      <c r="C117" s="59"/>
      <c r="D117" s="14">
        <f>D110</f>
        <v>0</v>
      </c>
    </row>
    <row r="118" spans="1:4" x14ac:dyDescent="0.2">
      <c r="A118" s="60" t="s">
        <v>16</v>
      </c>
      <c r="B118" s="60"/>
      <c r="C118" s="60"/>
      <c r="D118" s="19">
        <f>SUM(D116:D117)</f>
        <v>59.400000000000006</v>
      </c>
    </row>
    <row r="121" spans="1:4" x14ac:dyDescent="0.2">
      <c r="A121" s="63" t="s">
        <v>58</v>
      </c>
      <c r="B121" s="63"/>
      <c r="C121" s="63"/>
      <c r="D121" s="63"/>
    </row>
    <row r="123" spans="1:4" x14ac:dyDescent="0.2">
      <c r="A123" s="33">
        <v>5</v>
      </c>
      <c r="B123" s="72" t="s">
        <v>59</v>
      </c>
      <c r="C123" s="72"/>
      <c r="D123" s="33" t="s">
        <v>3</v>
      </c>
    </row>
    <row r="124" spans="1:4" x14ac:dyDescent="0.2">
      <c r="A124" s="32" t="s">
        <v>4</v>
      </c>
      <c r="B124" s="34" t="s">
        <v>60</v>
      </c>
      <c r="C124" s="34"/>
      <c r="D124" s="13"/>
    </row>
    <row r="125" spans="1:4" x14ac:dyDescent="0.2">
      <c r="A125" s="32" t="s">
        <v>6</v>
      </c>
      <c r="B125" s="34" t="s">
        <v>61</v>
      </c>
      <c r="C125" s="34"/>
      <c r="D125" s="13"/>
    </row>
    <row r="126" spans="1:4" x14ac:dyDescent="0.2">
      <c r="A126" s="32" t="s">
        <v>8</v>
      </c>
      <c r="B126" s="34" t="s">
        <v>62</v>
      </c>
      <c r="C126" s="34"/>
      <c r="D126" s="13"/>
    </row>
    <row r="127" spans="1:4" x14ac:dyDescent="0.2">
      <c r="A127" s="32" t="s">
        <v>10</v>
      </c>
      <c r="B127" s="34" t="s">
        <v>15</v>
      </c>
      <c r="C127" s="34"/>
      <c r="D127" s="13"/>
    </row>
    <row r="128" spans="1:4" x14ac:dyDescent="0.2">
      <c r="A128" s="60" t="s">
        <v>37</v>
      </c>
      <c r="B128" s="60"/>
      <c r="C128" s="60"/>
      <c r="D128" s="20"/>
    </row>
    <row r="131" spans="1:4" x14ac:dyDescent="0.2">
      <c r="A131" s="63" t="s">
        <v>63</v>
      </c>
      <c r="B131" s="63"/>
      <c r="C131" s="63"/>
      <c r="D131" s="63"/>
    </row>
    <row r="133" spans="1:4" x14ac:dyDescent="0.2">
      <c r="A133" s="33">
        <v>6</v>
      </c>
      <c r="B133" s="35" t="s">
        <v>64</v>
      </c>
      <c r="C133" s="33" t="s">
        <v>26</v>
      </c>
      <c r="D133" s="33" t="s">
        <v>3</v>
      </c>
    </row>
    <row r="134" spans="1:4" x14ac:dyDescent="0.2">
      <c r="A134" s="32" t="s">
        <v>4</v>
      </c>
      <c r="B134" s="34" t="s">
        <v>65</v>
      </c>
      <c r="C134" s="9">
        <v>0.05</v>
      </c>
      <c r="D134" s="14">
        <f>TRUNC(D154*C134,2)</f>
        <v>156.86000000000001</v>
      </c>
    </row>
    <row r="135" spans="1:4" x14ac:dyDescent="0.2">
      <c r="A135" s="32" t="s">
        <v>6</v>
      </c>
      <c r="B135" s="34" t="s">
        <v>66</v>
      </c>
      <c r="C135" s="9">
        <v>0.06</v>
      </c>
      <c r="D135" s="13">
        <f>TRUNC((D154+D134)*C135,2)</f>
        <v>197.64</v>
      </c>
    </row>
    <row r="136" spans="1:4" x14ac:dyDescent="0.2">
      <c r="A136" s="32" t="s">
        <v>8</v>
      </c>
      <c r="B136" s="34" t="s">
        <v>67</v>
      </c>
      <c r="C136" s="12">
        <f>SUM(C137:C142)</f>
        <v>8.6499999999999994E-2</v>
      </c>
      <c r="D136" s="13">
        <f>TRUNC(((D154+D134+D135)*C136/(1-C136)),2)</f>
        <v>330.64</v>
      </c>
    </row>
    <row r="137" spans="1:4" x14ac:dyDescent="0.2">
      <c r="A137" s="32"/>
      <c r="B137" s="34" t="s">
        <v>68</v>
      </c>
      <c r="C137" s="9"/>
      <c r="D137" s="14">
        <f>$D$156*C137</f>
        <v>0</v>
      </c>
    </row>
    <row r="138" spans="1:4" x14ac:dyDescent="0.2">
      <c r="A138" s="32"/>
      <c r="B138" s="34" t="s">
        <v>103</v>
      </c>
      <c r="C138" s="9">
        <v>6.4999999999999997E-3</v>
      </c>
      <c r="D138" s="14">
        <f>TRUNC($D$156*C138,2)</f>
        <v>24.84</v>
      </c>
    </row>
    <row r="139" spans="1:4" x14ac:dyDescent="0.2">
      <c r="A139" s="32"/>
      <c r="B139" s="34" t="s">
        <v>104</v>
      </c>
      <c r="C139" s="9">
        <v>0.03</v>
      </c>
      <c r="D139" s="14">
        <f t="shared" ref="D139:D142" si="3">TRUNC($D$156*C139,2)</f>
        <v>114.67</v>
      </c>
    </row>
    <row r="140" spans="1:4" x14ac:dyDescent="0.2">
      <c r="A140" s="32"/>
      <c r="B140" s="34" t="s">
        <v>69</v>
      </c>
      <c r="C140" s="32"/>
      <c r="D140" s="14">
        <f t="shared" si="3"/>
        <v>0</v>
      </c>
    </row>
    <row r="141" spans="1:4" x14ac:dyDescent="0.2">
      <c r="A141" s="32"/>
      <c r="B141" s="34" t="s">
        <v>70</v>
      </c>
      <c r="C141" s="9"/>
      <c r="D141" s="14">
        <f t="shared" si="3"/>
        <v>0</v>
      </c>
    </row>
    <row r="142" spans="1:4" x14ac:dyDescent="0.2">
      <c r="A142" s="32"/>
      <c r="B142" s="34" t="s">
        <v>105</v>
      </c>
      <c r="C142" s="9">
        <v>0.05</v>
      </c>
      <c r="D142" s="14">
        <f t="shared" si="3"/>
        <v>191.12</v>
      </c>
    </row>
    <row r="143" spans="1:4" ht="13.5" x14ac:dyDescent="0.2">
      <c r="A143" s="67" t="s">
        <v>37</v>
      </c>
      <c r="B143" s="68"/>
      <c r="C143" s="21">
        <f>(1+C135)*(1+C134)/(1-C136)-1</f>
        <v>0.21839080459770144</v>
      </c>
      <c r="D143" s="19">
        <f>SUM(D134:D136)</f>
        <v>685.14</v>
      </c>
    </row>
    <row r="146" spans="1:4" x14ac:dyDescent="0.2">
      <c r="A146" s="63" t="s">
        <v>71</v>
      </c>
      <c r="B146" s="63"/>
      <c r="C146" s="63"/>
      <c r="D146" s="63"/>
    </row>
    <row r="148" spans="1:4" x14ac:dyDescent="0.2">
      <c r="A148" s="33"/>
      <c r="B148" s="60" t="s">
        <v>72</v>
      </c>
      <c r="C148" s="60"/>
      <c r="D148" s="33" t="s">
        <v>3</v>
      </c>
    </row>
    <row r="149" spans="1:4" x14ac:dyDescent="0.2">
      <c r="A149" s="33" t="s">
        <v>4</v>
      </c>
      <c r="B149" s="59" t="s">
        <v>1</v>
      </c>
      <c r="C149" s="59"/>
      <c r="D149" s="22">
        <f>D33</f>
        <v>1765.7</v>
      </c>
    </row>
    <row r="150" spans="1:4" x14ac:dyDescent="0.2">
      <c r="A150" s="33" t="s">
        <v>6</v>
      </c>
      <c r="B150" s="59" t="s">
        <v>17</v>
      </c>
      <c r="C150" s="59"/>
      <c r="D150" s="22">
        <f>D76</f>
        <v>1189.3380000000002</v>
      </c>
    </row>
    <row r="151" spans="1:4" x14ac:dyDescent="0.2">
      <c r="A151" s="33" t="s">
        <v>8</v>
      </c>
      <c r="B151" s="59" t="s">
        <v>46</v>
      </c>
      <c r="C151" s="59"/>
      <c r="D151" s="22">
        <f>D88</f>
        <v>122.85</v>
      </c>
    </row>
    <row r="152" spans="1:4" x14ac:dyDescent="0.2">
      <c r="A152" s="33" t="s">
        <v>10</v>
      </c>
      <c r="B152" s="59" t="s">
        <v>53</v>
      </c>
      <c r="C152" s="59"/>
      <c r="D152" s="22">
        <f>D118</f>
        <v>59.400000000000006</v>
      </c>
    </row>
    <row r="153" spans="1:4" x14ac:dyDescent="0.2">
      <c r="A153" s="33" t="s">
        <v>12</v>
      </c>
      <c r="B153" s="59" t="s">
        <v>58</v>
      </c>
      <c r="C153" s="59"/>
      <c r="D153" s="22">
        <f>D128</f>
        <v>0</v>
      </c>
    </row>
    <row r="154" spans="1:4" x14ac:dyDescent="0.2">
      <c r="A154" s="60" t="s">
        <v>102</v>
      </c>
      <c r="B154" s="60"/>
      <c r="C154" s="60"/>
      <c r="D154" s="23">
        <f>SUM(D149:D153)</f>
        <v>3137.2880000000005</v>
      </c>
    </row>
    <row r="155" spans="1:4" x14ac:dyDescent="0.2">
      <c r="A155" s="33" t="s">
        <v>32</v>
      </c>
      <c r="B155" s="59" t="s">
        <v>73</v>
      </c>
      <c r="C155" s="59"/>
      <c r="D155" s="24">
        <f>D143</f>
        <v>685.14</v>
      </c>
    </row>
    <row r="156" spans="1:4" x14ac:dyDescent="0.2">
      <c r="A156" s="60" t="s">
        <v>74</v>
      </c>
      <c r="B156" s="60"/>
      <c r="C156" s="60"/>
      <c r="D156" s="23">
        <f>SUM(D154:D155)</f>
        <v>3822.4280000000003</v>
      </c>
    </row>
  </sheetData>
  <mergeCells count="71">
    <mergeCell ref="B152:C152"/>
    <mergeCell ref="B153:C153"/>
    <mergeCell ref="A154:C154"/>
    <mergeCell ref="B155:C155"/>
    <mergeCell ref="A156:C156"/>
    <mergeCell ref="B151:C151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16:C116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81:C81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A15:D15"/>
    <mergeCell ref="A1:D1"/>
    <mergeCell ref="A3:D3"/>
    <mergeCell ref="A10:D10"/>
    <mergeCell ref="A12:B12"/>
    <mergeCell ref="A13:B13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6"/>
  <sheetViews>
    <sheetView topLeftCell="A85" zoomScale="115" zoomScaleNormal="115" workbookViewId="0">
      <selection activeCell="A14" sqref="A14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64" t="s">
        <v>0</v>
      </c>
      <c r="B1" s="64"/>
      <c r="C1" s="64"/>
      <c r="D1" s="64"/>
    </row>
    <row r="2" spans="1:4" ht="15.75" x14ac:dyDescent="0.25">
      <c r="A2" s="26"/>
      <c r="B2" s="26"/>
      <c r="C2" s="26"/>
      <c r="D2" s="26"/>
    </row>
    <row r="3" spans="1:4" x14ac:dyDescent="0.2">
      <c r="A3" s="66" t="s">
        <v>91</v>
      </c>
      <c r="B3" s="66"/>
      <c r="C3" s="66"/>
      <c r="D3" s="66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92</v>
      </c>
      <c r="C5" s="27"/>
      <c r="D5" s="28"/>
    </row>
    <row r="6" spans="1:4" x14ac:dyDescent="0.2">
      <c r="A6" s="5" t="s">
        <v>6</v>
      </c>
      <c r="B6" s="29" t="s">
        <v>93</v>
      </c>
      <c r="C6" s="27"/>
      <c r="D6" s="28"/>
    </row>
    <row r="7" spans="1:4" x14ac:dyDescent="0.2">
      <c r="A7" s="5" t="s">
        <v>8</v>
      </c>
      <c r="B7" s="29" t="s">
        <v>94</v>
      </c>
      <c r="C7" s="27"/>
      <c r="D7" s="28"/>
    </row>
    <row r="8" spans="1:4" x14ac:dyDescent="0.2">
      <c r="A8" s="5" t="s">
        <v>10</v>
      </c>
      <c r="B8" s="29" t="s">
        <v>95</v>
      </c>
      <c r="C8" s="27"/>
      <c r="D8" s="28"/>
    </row>
    <row r="10" spans="1:4" x14ac:dyDescent="0.2">
      <c r="A10" s="66" t="s">
        <v>96</v>
      </c>
      <c r="B10" s="66"/>
      <c r="C10" s="66"/>
      <c r="D10" s="66"/>
    </row>
    <row r="11" spans="1:4" x14ac:dyDescent="0.2">
      <c r="A11" s="2"/>
      <c r="B11" s="2"/>
      <c r="C11" s="2"/>
      <c r="D11" s="2"/>
    </row>
    <row r="12" spans="1:4" ht="38.25" x14ac:dyDescent="0.2">
      <c r="A12" s="73" t="s">
        <v>97</v>
      </c>
      <c r="B12" s="73"/>
      <c r="C12" s="32" t="s">
        <v>98</v>
      </c>
      <c r="D12" s="30" t="s">
        <v>99</v>
      </c>
    </row>
    <row r="13" spans="1:4" x14ac:dyDescent="0.2">
      <c r="A13" s="74" t="s">
        <v>170</v>
      </c>
      <c r="B13" s="74"/>
      <c r="C13" s="36" t="s">
        <v>108</v>
      </c>
      <c r="D13" s="36" t="s">
        <v>109</v>
      </c>
    </row>
    <row r="15" spans="1:4" x14ac:dyDescent="0.2">
      <c r="A15" s="66" t="s">
        <v>75</v>
      </c>
      <c r="B15" s="66"/>
      <c r="C15" s="66"/>
      <c r="D15" s="66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76</v>
      </c>
      <c r="C17" s="75" t="s">
        <v>110</v>
      </c>
      <c r="D17" s="76"/>
    </row>
    <row r="18" spans="1:4" x14ac:dyDescent="0.2">
      <c r="A18" s="5">
        <v>2</v>
      </c>
      <c r="B18" s="5" t="s">
        <v>100</v>
      </c>
      <c r="C18" s="75" t="s">
        <v>111</v>
      </c>
      <c r="D18" s="76"/>
    </row>
    <row r="19" spans="1:4" x14ac:dyDescent="0.2">
      <c r="A19" s="5">
        <v>3</v>
      </c>
      <c r="B19" s="5" t="s">
        <v>77</v>
      </c>
      <c r="C19" s="75"/>
      <c r="D19" s="76"/>
    </row>
    <row r="20" spans="1:4" x14ac:dyDescent="0.2">
      <c r="A20" s="5">
        <v>4</v>
      </c>
      <c r="B20" s="5" t="s">
        <v>78</v>
      </c>
      <c r="C20" s="75"/>
      <c r="D20" s="76"/>
    </row>
    <row r="21" spans="1:4" x14ac:dyDescent="0.2">
      <c r="A21" s="5">
        <v>5</v>
      </c>
      <c r="B21" s="5" t="s">
        <v>79</v>
      </c>
      <c r="C21" s="75"/>
      <c r="D21" s="76"/>
    </row>
    <row r="23" spans="1:4" x14ac:dyDescent="0.2">
      <c r="A23" s="66" t="s">
        <v>1</v>
      </c>
      <c r="B23" s="66"/>
      <c r="C23" s="66"/>
      <c r="D23" s="66"/>
    </row>
    <row r="25" spans="1:4" x14ac:dyDescent="0.2">
      <c r="A25" s="33">
        <v>1</v>
      </c>
      <c r="B25" s="60" t="s">
        <v>2</v>
      </c>
      <c r="C25" s="60"/>
      <c r="D25" s="33" t="s">
        <v>3</v>
      </c>
    </row>
    <row r="26" spans="1:4" x14ac:dyDescent="0.2">
      <c r="A26" s="32" t="s">
        <v>4</v>
      </c>
      <c r="B26" s="59" t="s">
        <v>5</v>
      </c>
      <c r="C26" s="59"/>
      <c r="D26" s="13">
        <v>1983.5</v>
      </c>
    </row>
    <row r="27" spans="1:4" x14ac:dyDescent="0.2">
      <c r="A27" s="32" t="s">
        <v>6</v>
      </c>
      <c r="B27" s="59" t="s">
        <v>7</v>
      </c>
      <c r="C27" s="59"/>
      <c r="D27" s="13"/>
    </row>
    <row r="28" spans="1:4" x14ac:dyDescent="0.2">
      <c r="A28" s="32" t="s">
        <v>8</v>
      </c>
      <c r="B28" s="59" t="s">
        <v>9</v>
      </c>
      <c r="C28" s="59"/>
      <c r="D28" s="13"/>
    </row>
    <row r="29" spans="1:4" x14ac:dyDescent="0.2">
      <c r="A29" s="32" t="s">
        <v>10</v>
      </c>
      <c r="B29" s="59" t="s">
        <v>11</v>
      </c>
      <c r="C29" s="59"/>
      <c r="D29" s="13"/>
    </row>
    <row r="30" spans="1:4" x14ac:dyDescent="0.2">
      <c r="A30" s="32" t="s">
        <v>12</v>
      </c>
      <c r="B30" s="59" t="s">
        <v>13</v>
      </c>
      <c r="C30" s="59"/>
      <c r="D30" s="13"/>
    </row>
    <row r="31" spans="1:4" x14ac:dyDescent="0.2">
      <c r="A31" s="32"/>
      <c r="B31" s="59"/>
      <c r="C31" s="59"/>
      <c r="D31" s="13"/>
    </row>
    <row r="32" spans="1:4" x14ac:dyDescent="0.2">
      <c r="A32" s="32" t="s">
        <v>14</v>
      </c>
      <c r="B32" s="59" t="s">
        <v>15</v>
      </c>
      <c r="C32" s="59"/>
      <c r="D32" s="13"/>
    </row>
    <row r="33" spans="1:4" x14ac:dyDescent="0.2">
      <c r="A33" s="60" t="s">
        <v>16</v>
      </c>
      <c r="B33" s="60"/>
      <c r="C33" s="60"/>
      <c r="D33" s="20">
        <f>SUM(D26:D32)</f>
        <v>1983.5</v>
      </c>
    </row>
    <row r="36" spans="1:4" x14ac:dyDescent="0.2">
      <c r="A36" s="63" t="s">
        <v>17</v>
      </c>
      <c r="B36" s="63"/>
      <c r="C36" s="63"/>
      <c r="D36" s="63"/>
    </row>
    <row r="37" spans="1:4" x14ac:dyDescent="0.2">
      <c r="A37" s="3"/>
    </row>
    <row r="38" spans="1:4" x14ac:dyDescent="0.2">
      <c r="A38" s="61" t="s">
        <v>18</v>
      </c>
      <c r="B38" s="61"/>
      <c r="C38" s="61"/>
      <c r="D38" s="61"/>
    </row>
    <row r="40" spans="1:4" x14ac:dyDescent="0.2">
      <c r="A40" s="33" t="s">
        <v>19</v>
      </c>
      <c r="B40" s="60" t="s">
        <v>20</v>
      </c>
      <c r="C40" s="60"/>
      <c r="D40" s="33" t="s">
        <v>3</v>
      </c>
    </row>
    <row r="41" spans="1:4" x14ac:dyDescent="0.2">
      <c r="A41" s="32" t="s">
        <v>4</v>
      </c>
      <c r="B41" s="34" t="s">
        <v>21</v>
      </c>
      <c r="C41" s="12">
        <f>TRUNC(1/12,4)</f>
        <v>8.3299999999999999E-2</v>
      </c>
      <c r="D41" s="13">
        <f>TRUNC($D$33*C41,2)</f>
        <v>165.22</v>
      </c>
    </row>
    <row r="42" spans="1:4" x14ac:dyDescent="0.2">
      <c r="A42" s="32" t="s">
        <v>6</v>
      </c>
      <c r="B42" s="34" t="s">
        <v>22</v>
      </c>
      <c r="C42" s="12">
        <f>TRUNC(((1+1/3)/12),4)</f>
        <v>0.1111</v>
      </c>
      <c r="D42" s="13">
        <f>TRUNC($D$33*C42,2)</f>
        <v>220.36</v>
      </c>
    </row>
    <row r="43" spans="1:4" x14ac:dyDescent="0.2">
      <c r="A43" s="60" t="s">
        <v>16</v>
      </c>
      <c r="B43" s="60"/>
      <c r="C43" s="31">
        <f>SUM(C41:C42)</f>
        <v>0.19440000000000002</v>
      </c>
      <c r="D43" s="19">
        <f>SUM(D41:D42)</f>
        <v>385.58000000000004</v>
      </c>
    </row>
    <row r="46" spans="1:4" x14ac:dyDescent="0.2">
      <c r="A46" s="65" t="s">
        <v>23</v>
      </c>
      <c r="B46" s="65"/>
      <c r="C46" s="65"/>
      <c r="D46" s="65"/>
    </row>
    <row r="48" spans="1:4" x14ac:dyDescent="0.2">
      <c r="A48" s="33" t="s">
        <v>24</v>
      </c>
      <c r="B48" s="33" t="s">
        <v>25</v>
      </c>
      <c r="C48" s="33" t="s">
        <v>26</v>
      </c>
      <c r="D48" s="33" t="s">
        <v>3</v>
      </c>
    </row>
    <row r="49" spans="1:4" x14ac:dyDescent="0.2">
      <c r="A49" s="32" t="s">
        <v>4</v>
      </c>
      <c r="B49" s="34" t="s">
        <v>27</v>
      </c>
      <c r="C49" s="9">
        <v>0.2</v>
      </c>
      <c r="D49" s="13">
        <f>TRUNC(($D$33+$D$43)*C49,2)</f>
        <v>473.81</v>
      </c>
    </row>
    <row r="50" spans="1:4" x14ac:dyDescent="0.2">
      <c r="A50" s="32" t="s">
        <v>6</v>
      </c>
      <c r="B50" s="34" t="s">
        <v>28</v>
      </c>
      <c r="C50" s="9">
        <v>2.5000000000000001E-2</v>
      </c>
      <c r="D50" s="13">
        <f t="shared" ref="D50:D56" si="0">TRUNC(($D$33+$D$43)*C50,2)</f>
        <v>59.22</v>
      </c>
    </row>
    <row r="51" spans="1:4" x14ac:dyDescent="0.2">
      <c r="A51" s="32" t="s">
        <v>8</v>
      </c>
      <c r="B51" s="34" t="s">
        <v>29</v>
      </c>
      <c r="C51" s="16">
        <v>0.03</v>
      </c>
      <c r="D51" s="13">
        <f t="shared" si="0"/>
        <v>71.069999999999993</v>
      </c>
    </row>
    <row r="52" spans="1:4" x14ac:dyDescent="0.2">
      <c r="A52" s="32" t="s">
        <v>10</v>
      </c>
      <c r="B52" s="34" t="s">
        <v>30</v>
      </c>
      <c r="C52" s="9">
        <v>1.4999999999999999E-2</v>
      </c>
      <c r="D52" s="13">
        <f t="shared" si="0"/>
        <v>35.53</v>
      </c>
    </row>
    <row r="53" spans="1:4" x14ac:dyDescent="0.2">
      <c r="A53" s="32" t="s">
        <v>12</v>
      </c>
      <c r="B53" s="34" t="s">
        <v>31</v>
      </c>
      <c r="C53" s="9">
        <v>0.01</v>
      </c>
      <c r="D53" s="13">
        <f t="shared" si="0"/>
        <v>23.69</v>
      </c>
    </row>
    <row r="54" spans="1:4" x14ac:dyDescent="0.2">
      <c r="A54" s="32" t="s">
        <v>32</v>
      </c>
      <c r="B54" s="34" t="s">
        <v>33</v>
      </c>
      <c r="C54" s="9">
        <v>6.0000000000000001E-3</v>
      </c>
      <c r="D54" s="13">
        <f t="shared" si="0"/>
        <v>14.21</v>
      </c>
    </row>
    <row r="55" spans="1:4" x14ac:dyDescent="0.2">
      <c r="A55" s="32" t="s">
        <v>14</v>
      </c>
      <c r="B55" s="34" t="s">
        <v>34</v>
      </c>
      <c r="C55" s="9">
        <v>2E-3</v>
      </c>
      <c r="D55" s="13">
        <f t="shared" si="0"/>
        <v>4.7300000000000004</v>
      </c>
    </row>
    <row r="56" spans="1:4" x14ac:dyDescent="0.2">
      <c r="A56" s="32" t="s">
        <v>35</v>
      </c>
      <c r="B56" s="34" t="s">
        <v>36</v>
      </c>
      <c r="C56" s="9">
        <v>0.08</v>
      </c>
      <c r="D56" s="13">
        <f t="shared" si="0"/>
        <v>189.52</v>
      </c>
    </row>
    <row r="57" spans="1:4" x14ac:dyDescent="0.2">
      <c r="A57" s="60" t="s">
        <v>37</v>
      </c>
      <c r="B57" s="60"/>
      <c r="C57" s="15">
        <f>SUM(C49:C56)</f>
        <v>0.36800000000000005</v>
      </c>
      <c r="D57" s="19">
        <f>SUM(D49:D56)</f>
        <v>871.78</v>
      </c>
    </row>
    <row r="60" spans="1:4" x14ac:dyDescent="0.2">
      <c r="A60" s="61" t="s">
        <v>38</v>
      </c>
      <c r="B60" s="61"/>
      <c r="C60" s="61"/>
      <c r="D60" s="61"/>
    </row>
    <row r="62" spans="1:4" x14ac:dyDescent="0.2">
      <c r="A62" s="33" t="s">
        <v>39</v>
      </c>
      <c r="B62" s="62" t="s">
        <v>40</v>
      </c>
      <c r="C62" s="62"/>
      <c r="D62" s="33" t="s">
        <v>3</v>
      </c>
    </row>
    <row r="63" spans="1:4" x14ac:dyDescent="0.2">
      <c r="A63" s="32" t="s">
        <v>4</v>
      </c>
      <c r="B63" s="59" t="s">
        <v>41</v>
      </c>
      <c r="C63" s="59"/>
      <c r="D63" s="13">
        <f>IF((22*2*4)-(D26*0.06)&lt;0,0,(22*2*4)-(D26*0.06))</f>
        <v>56.990000000000009</v>
      </c>
    </row>
    <row r="64" spans="1:4" x14ac:dyDescent="0.2">
      <c r="A64" s="32" t="s">
        <v>6</v>
      </c>
      <c r="B64" s="59" t="s">
        <v>42</v>
      </c>
      <c r="C64" s="59"/>
      <c r="D64" s="13">
        <v>0</v>
      </c>
    </row>
    <row r="65" spans="1:5" x14ac:dyDescent="0.2">
      <c r="A65" s="32" t="s">
        <v>8</v>
      </c>
      <c r="B65" s="59" t="s">
        <v>43</v>
      </c>
      <c r="C65" s="59"/>
      <c r="D65" s="13"/>
    </row>
    <row r="66" spans="1:5" x14ac:dyDescent="0.2">
      <c r="A66" s="32" t="s">
        <v>10</v>
      </c>
      <c r="B66" s="59" t="s">
        <v>15</v>
      </c>
      <c r="C66" s="59"/>
      <c r="D66" s="13"/>
    </row>
    <row r="67" spans="1:5" x14ac:dyDescent="0.2">
      <c r="A67" s="60" t="s">
        <v>16</v>
      </c>
      <c r="B67" s="60"/>
      <c r="C67" s="60"/>
      <c r="D67" s="19">
        <f>SUM(D63:D66)</f>
        <v>56.990000000000009</v>
      </c>
    </row>
    <row r="70" spans="1:5" x14ac:dyDescent="0.2">
      <c r="A70" s="61" t="s">
        <v>44</v>
      </c>
      <c r="B70" s="61"/>
      <c r="C70" s="61"/>
      <c r="D70" s="61"/>
    </row>
    <row r="72" spans="1:5" x14ac:dyDescent="0.2">
      <c r="A72" s="33">
        <v>2</v>
      </c>
      <c r="B72" s="62" t="s">
        <v>45</v>
      </c>
      <c r="C72" s="62"/>
      <c r="D72" s="33" t="s">
        <v>3</v>
      </c>
    </row>
    <row r="73" spans="1:5" x14ac:dyDescent="0.2">
      <c r="A73" s="32" t="s">
        <v>19</v>
      </c>
      <c r="B73" s="59" t="s">
        <v>20</v>
      </c>
      <c r="C73" s="59"/>
      <c r="D73" s="14">
        <f>D43</f>
        <v>385.58000000000004</v>
      </c>
    </row>
    <row r="74" spans="1:5" x14ac:dyDescent="0.2">
      <c r="A74" s="32" t="s">
        <v>24</v>
      </c>
      <c r="B74" s="59" t="s">
        <v>25</v>
      </c>
      <c r="C74" s="59"/>
      <c r="D74" s="14">
        <f>D57</f>
        <v>871.78</v>
      </c>
    </row>
    <row r="75" spans="1:5" x14ac:dyDescent="0.2">
      <c r="A75" s="32" t="s">
        <v>39</v>
      </c>
      <c r="B75" s="59" t="s">
        <v>40</v>
      </c>
      <c r="C75" s="59"/>
      <c r="D75" s="14">
        <f>D67</f>
        <v>56.990000000000009</v>
      </c>
    </row>
    <row r="76" spans="1:5" x14ac:dyDescent="0.2">
      <c r="A76" s="60" t="s">
        <v>16</v>
      </c>
      <c r="B76" s="60"/>
      <c r="C76" s="60"/>
      <c r="D76" s="19">
        <f>SUM(D73:D75)</f>
        <v>1314.3500000000001</v>
      </c>
    </row>
    <row r="77" spans="1:5" x14ac:dyDescent="0.2">
      <c r="A77" s="4"/>
      <c r="E77" s="18"/>
    </row>
    <row r="79" spans="1:5" x14ac:dyDescent="0.2">
      <c r="A79" s="63" t="s">
        <v>46</v>
      </c>
      <c r="B79" s="63"/>
      <c r="C79" s="63"/>
      <c r="D79" s="63"/>
      <c r="E79" s="17"/>
    </row>
    <row r="80" spans="1:5" ht="12.75" customHeight="1" x14ac:dyDescent="0.2">
      <c r="E80" s="18"/>
    </row>
    <row r="81" spans="1:4" x14ac:dyDescent="0.2">
      <c r="A81" s="33">
        <v>3</v>
      </c>
      <c r="B81" s="62" t="s">
        <v>47</v>
      </c>
      <c r="C81" s="62"/>
      <c r="D81" s="33" t="s">
        <v>3</v>
      </c>
    </row>
    <row r="82" spans="1:4" x14ac:dyDescent="0.2">
      <c r="A82" s="32" t="s">
        <v>4</v>
      </c>
      <c r="B82" s="10" t="s">
        <v>48</v>
      </c>
      <c r="C82" s="9">
        <f>TRUNC(((1/12)*0%),4)</f>
        <v>0</v>
      </c>
      <c r="D82" s="13">
        <f>TRUNC($D$33*C82,2)</f>
        <v>0</v>
      </c>
    </row>
    <row r="83" spans="1:4" x14ac:dyDescent="0.2">
      <c r="A83" s="32" t="s">
        <v>6</v>
      </c>
      <c r="B83" s="10" t="s">
        <v>49</v>
      </c>
      <c r="C83" s="9">
        <v>0.08</v>
      </c>
      <c r="D83" s="13">
        <f>TRUNC(D82*C83,2)</f>
        <v>0</v>
      </c>
    </row>
    <row r="84" spans="1:4" x14ac:dyDescent="0.2">
      <c r="A84" s="32" t="s">
        <v>8</v>
      </c>
      <c r="B84" s="10" t="s">
        <v>50</v>
      </c>
      <c r="C84" s="9">
        <f>TRUNC(8%*0%*50%,4)</f>
        <v>0</v>
      </c>
      <c r="D84" s="13">
        <f>TRUNC($D$33*C84,2)</f>
        <v>0</v>
      </c>
    </row>
    <row r="85" spans="1:4" x14ac:dyDescent="0.2">
      <c r="A85" s="32" t="s">
        <v>10</v>
      </c>
      <c r="B85" s="10" t="s">
        <v>51</v>
      </c>
      <c r="C85" s="9">
        <f>TRUNC(((7/30)/12)*0%,4)</f>
        <v>0</v>
      </c>
      <c r="D85" s="13">
        <f>TRUNC($D$33*C85,2)</f>
        <v>0</v>
      </c>
    </row>
    <row r="86" spans="1:4" ht="25.5" x14ac:dyDescent="0.2">
      <c r="A86" s="32" t="s">
        <v>12</v>
      </c>
      <c r="B86" s="10" t="s">
        <v>101</v>
      </c>
      <c r="C86" s="9">
        <f>C57</f>
        <v>0.36800000000000005</v>
      </c>
      <c r="D86" s="13">
        <f>TRUNC(D85*C86,2)</f>
        <v>0</v>
      </c>
    </row>
    <row r="87" spans="1:4" x14ac:dyDescent="0.2">
      <c r="A87" s="32" t="s">
        <v>32</v>
      </c>
      <c r="B87" s="10" t="s">
        <v>52</v>
      </c>
      <c r="C87" s="9">
        <f>TRUNC(8%*0%*50%,4)</f>
        <v>0</v>
      </c>
      <c r="D87" s="13">
        <f t="shared" ref="D87" si="1">TRUNC($D$33*C87,2)</f>
        <v>0</v>
      </c>
    </row>
    <row r="88" spans="1:4" x14ac:dyDescent="0.2">
      <c r="A88" s="67" t="s">
        <v>16</v>
      </c>
      <c r="B88" s="68"/>
      <c r="C88" s="69"/>
      <c r="D88" s="19">
        <f>SUM(D82:D87)</f>
        <v>0</v>
      </c>
    </row>
    <row r="91" spans="1:4" x14ac:dyDescent="0.2">
      <c r="A91" s="63" t="s">
        <v>53</v>
      </c>
      <c r="B91" s="63"/>
      <c r="C91" s="63"/>
      <c r="D91" s="63"/>
    </row>
    <row r="94" spans="1:4" x14ac:dyDescent="0.2">
      <c r="A94" s="61" t="s">
        <v>80</v>
      </c>
      <c r="B94" s="61"/>
      <c r="C94" s="61"/>
      <c r="D94" s="61"/>
    </row>
    <row r="95" spans="1:4" x14ac:dyDescent="0.2">
      <c r="A95" s="3"/>
    </row>
    <row r="96" spans="1:4" x14ac:dyDescent="0.2">
      <c r="A96" s="33" t="s">
        <v>54</v>
      </c>
      <c r="B96" s="62" t="s">
        <v>81</v>
      </c>
      <c r="C96" s="62"/>
      <c r="D96" s="33" t="s">
        <v>3</v>
      </c>
    </row>
    <row r="97" spans="1:6" x14ac:dyDescent="0.2">
      <c r="A97" s="32" t="s">
        <v>4</v>
      </c>
      <c r="B97" s="34" t="s">
        <v>82</v>
      </c>
      <c r="C97" s="9">
        <f>TRUNC(((1+1/3)/12)/12,4)*0</f>
        <v>0</v>
      </c>
      <c r="D97" s="13">
        <f>TRUNC(($D$33+$D$76+$D$88)*C97,2)</f>
        <v>0</v>
      </c>
    </row>
    <row r="98" spans="1:6" x14ac:dyDescent="0.2">
      <c r="A98" s="32" t="s">
        <v>6</v>
      </c>
      <c r="B98" s="34" t="s">
        <v>83</v>
      </c>
      <c r="C98" s="9">
        <f>TRUNC(((2/30)/12),4)</f>
        <v>5.4999999999999997E-3</v>
      </c>
      <c r="D98" s="13">
        <f t="shared" ref="D98:D102" si="2">TRUNC(($D$33+$D$76+$D$88)*C98,2)</f>
        <v>18.13</v>
      </c>
    </row>
    <row r="99" spans="1:6" x14ac:dyDescent="0.2">
      <c r="A99" s="32" t="s">
        <v>8</v>
      </c>
      <c r="B99" s="34" t="s">
        <v>84</v>
      </c>
      <c r="C99" s="9">
        <f>TRUNC(((5/30)/12)*0%,4)</f>
        <v>0</v>
      </c>
      <c r="D99" s="13">
        <f t="shared" si="2"/>
        <v>0</v>
      </c>
    </row>
    <row r="100" spans="1:6" x14ac:dyDescent="0.2">
      <c r="A100" s="32" t="s">
        <v>10</v>
      </c>
      <c r="B100" s="34" t="s">
        <v>85</v>
      </c>
      <c r="C100" s="9">
        <f>TRUNC(((15/30)/12)*0%,4)</f>
        <v>0</v>
      </c>
      <c r="D100" s="13">
        <f t="shared" si="2"/>
        <v>0</v>
      </c>
    </row>
    <row r="101" spans="1:6" x14ac:dyDescent="0.2">
      <c r="A101" s="32" t="s">
        <v>12</v>
      </c>
      <c r="B101" s="34" t="s">
        <v>86</v>
      </c>
      <c r="C101" s="9">
        <f>((1+1/3)/12)*0%*(4/12)</f>
        <v>0</v>
      </c>
      <c r="D101" s="13">
        <f t="shared" si="2"/>
        <v>0</v>
      </c>
    </row>
    <row r="102" spans="1:6" x14ac:dyDescent="0.2">
      <c r="A102" s="32" t="s">
        <v>32</v>
      </c>
      <c r="B102" s="34" t="s">
        <v>87</v>
      </c>
      <c r="C102" s="9"/>
      <c r="D102" s="13">
        <f t="shared" si="2"/>
        <v>0</v>
      </c>
    </row>
    <row r="103" spans="1:6" x14ac:dyDescent="0.2">
      <c r="A103" s="60" t="s">
        <v>37</v>
      </c>
      <c r="B103" s="60"/>
      <c r="C103" s="60"/>
      <c r="D103" s="19">
        <f>SUM(D97:D102)</f>
        <v>18.13</v>
      </c>
      <c r="E103" s="17"/>
      <c r="F103" s="17"/>
    </row>
    <row r="106" spans="1:6" x14ac:dyDescent="0.2">
      <c r="A106" s="61" t="s">
        <v>88</v>
      </c>
      <c r="B106" s="61"/>
      <c r="C106" s="61"/>
      <c r="D106" s="61"/>
    </row>
    <row r="107" spans="1:6" x14ac:dyDescent="0.2">
      <c r="A107" s="3"/>
    </row>
    <row r="108" spans="1:6" x14ac:dyDescent="0.2">
      <c r="A108" s="33" t="s">
        <v>55</v>
      </c>
      <c r="B108" s="62" t="s">
        <v>89</v>
      </c>
      <c r="C108" s="62"/>
      <c r="D108" s="33" t="s">
        <v>3</v>
      </c>
    </row>
    <row r="109" spans="1:6" x14ac:dyDescent="0.2">
      <c r="A109" s="32" t="s">
        <v>4</v>
      </c>
      <c r="B109" s="70" t="s">
        <v>90</v>
      </c>
      <c r="C109" s="71"/>
      <c r="D109" s="13">
        <f>((D33+D76+D88)/220)*22*0</f>
        <v>0</v>
      </c>
    </row>
    <row r="110" spans="1:6" x14ac:dyDescent="0.2">
      <c r="A110" s="60" t="s">
        <v>16</v>
      </c>
      <c r="B110" s="60"/>
      <c r="C110" s="60"/>
      <c r="D110" s="19">
        <f>SUM(D109)</f>
        <v>0</v>
      </c>
    </row>
    <row r="113" spans="1:4" x14ac:dyDescent="0.2">
      <c r="A113" s="61" t="s">
        <v>56</v>
      </c>
      <c r="B113" s="61"/>
      <c r="C113" s="61"/>
      <c r="D113" s="61"/>
    </row>
    <row r="114" spans="1:4" x14ac:dyDescent="0.2">
      <c r="A114" s="3"/>
    </row>
    <row r="115" spans="1:4" x14ac:dyDescent="0.2">
      <c r="A115" s="33">
        <v>4</v>
      </c>
      <c r="B115" s="60" t="s">
        <v>57</v>
      </c>
      <c r="C115" s="60"/>
      <c r="D115" s="33" t="s">
        <v>3</v>
      </c>
    </row>
    <row r="116" spans="1:4" x14ac:dyDescent="0.2">
      <c r="A116" s="32" t="s">
        <v>54</v>
      </c>
      <c r="B116" s="59" t="s">
        <v>81</v>
      </c>
      <c r="C116" s="59"/>
      <c r="D116" s="14">
        <f>D103</f>
        <v>18.13</v>
      </c>
    </row>
    <row r="117" spans="1:4" x14ac:dyDescent="0.2">
      <c r="A117" s="32" t="s">
        <v>55</v>
      </c>
      <c r="B117" s="59" t="s">
        <v>89</v>
      </c>
      <c r="C117" s="59"/>
      <c r="D117" s="14">
        <f>D110</f>
        <v>0</v>
      </c>
    </row>
    <row r="118" spans="1:4" x14ac:dyDescent="0.2">
      <c r="A118" s="60" t="s">
        <v>16</v>
      </c>
      <c r="B118" s="60"/>
      <c r="C118" s="60"/>
      <c r="D118" s="19">
        <f>SUM(D116:D117)</f>
        <v>18.13</v>
      </c>
    </row>
    <row r="121" spans="1:4" x14ac:dyDescent="0.2">
      <c r="A121" s="63" t="s">
        <v>58</v>
      </c>
      <c r="B121" s="63"/>
      <c r="C121" s="63"/>
      <c r="D121" s="63"/>
    </row>
    <row r="123" spans="1:4" x14ac:dyDescent="0.2">
      <c r="A123" s="33">
        <v>5</v>
      </c>
      <c r="B123" s="72" t="s">
        <v>59</v>
      </c>
      <c r="C123" s="72"/>
      <c r="D123" s="33" t="s">
        <v>3</v>
      </c>
    </row>
    <row r="124" spans="1:4" x14ac:dyDescent="0.2">
      <c r="A124" s="32" t="s">
        <v>4</v>
      </c>
      <c r="B124" s="34" t="s">
        <v>60</v>
      </c>
      <c r="C124" s="34"/>
      <c r="D124" s="13"/>
    </row>
    <row r="125" spans="1:4" x14ac:dyDescent="0.2">
      <c r="A125" s="32" t="s">
        <v>6</v>
      </c>
      <c r="B125" s="34" t="s">
        <v>61</v>
      </c>
      <c r="C125" s="34"/>
      <c r="D125" s="13"/>
    </row>
    <row r="126" spans="1:4" x14ac:dyDescent="0.2">
      <c r="A126" s="32" t="s">
        <v>8</v>
      </c>
      <c r="B126" s="34" t="s">
        <v>62</v>
      </c>
      <c r="C126" s="34"/>
      <c r="D126" s="13"/>
    </row>
    <row r="127" spans="1:4" x14ac:dyDescent="0.2">
      <c r="A127" s="32" t="s">
        <v>10</v>
      </c>
      <c r="B127" s="34" t="s">
        <v>15</v>
      </c>
      <c r="C127" s="34"/>
      <c r="D127" s="13"/>
    </row>
    <row r="128" spans="1:4" x14ac:dyDescent="0.2">
      <c r="A128" s="60" t="s">
        <v>37</v>
      </c>
      <c r="B128" s="60"/>
      <c r="C128" s="60"/>
      <c r="D128" s="20"/>
    </row>
    <row r="131" spans="1:4" x14ac:dyDescent="0.2">
      <c r="A131" s="63" t="s">
        <v>63</v>
      </c>
      <c r="B131" s="63"/>
      <c r="C131" s="63"/>
      <c r="D131" s="63"/>
    </row>
    <row r="133" spans="1:4" x14ac:dyDescent="0.2">
      <c r="A133" s="33">
        <v>6</v>
      </c>
      <c r="B133" s="35" t="s">
        <v>64</v>
      </c>
      <c r="C133" s="33" t="s">
        <v>26</v>
      </c>
      <c r="D133" s="33" t="s">
        <v>3</v>
      </c>
    </row>
    <row r="134" spans="1:4" x14ac:dyDescent="0.2">
      <c r="A134" s="32" t="s">
        <v>4</v>
      </c>
      <c r="B134" s="34" t="s">
        <v>65</v>
      </c>
      <c r="C134" s="9">
        <v>0.05</v>
      </c>
      <c r="D134" s="14">
        <f>TRUNC(D154*C134,2)</f>
        <v>165.79</v>
      </c>
    </row>
    <row r="135" spans="1:4" x14ac:dyDescent="0.2">
      <c r="A135" s="32" t="s">
        <v>6</v>
      </c>
      <c r="B135" s="34" t="s">
        <v>66</v>
      </c>
      <c r="C135" s="9">
        <v>0.06</v>
      </c>
      <c r="D135" s="13">
        <f>TRUNC((D154+D134)*C135,2)</f>
        <v>208.9</v>
      </c>
    </row>
    <row r="136" spans="1:4" x14ac:dyDescent="0.2">
      <c r="A136" s="32" t="s">
        <v>8</v>
      </c>
      <c r="B136" s="34" t="s">
        <v>67</v>
      </c>
      <c r="C136" s="12">
        <f>SUM(C137:C142)</f>
        <v>8.6499999999999994E-2</v>
      </c>
      <c r="D136" s="13">
        <f>TRUNC(((D154+D134+D135)*C136/(1-C136)),2)</f>
        <v>349.47</v>
      </c>
    </row>
    <row r="137" spans="1:4" x14ac:dyDescent="0.2">
      <c r="A137" s="32"/>
      <c r="B137" s="34" t="s">
        <v>68</v>
      </c>
      <c r="C137" s="9"/>
      <c r="D137" s="14">
        <f>$D$156*C137</f>
        <v>0</v>
      </c>
    </row>
    <row r="138" spans="1:4" x14ac:dyDescent="0.2">
      <c r="A138" s="32"/>
      <c r="B138" s="34" t="s">
        <v>103</v>
      </c>
      <c r="C138" s="9">
        <v>6.4999999999999997E-3</v>
      </c>
      <c r="D138" s="14">
        <f>TRUNC($D$156*C138,2)</f>
        <v>26.26</v>
      </c>
    </row>
    <row r="139" spans="1:4" x14ac:dyDescent="0.2">
      <c r="A139" s="32"/>
      <c r="B139" s="34" t="s">
        <v>104</v>
      </c>
      <c r="C139" s="9">
        <v>0.03</v>
      </c>
      <c r="D139" s="14">
        <f t="shared" ref="D139:D142" si="3">TRUNC($D$156*C139,2)</f>
        <v>121.2</v>
      </c>
    </row>
    <row r="140" spans="1:4" x14ac:dyDescent="0.2">
      <c r="A140" s="32"/>
      <c r="B140" s="34" t="s">
        <v>69</v>
      </c>
      <c r="C140" s="32"/>
      <c r="D140" s="14">
        <f t="shared" si="3"/>
        <v>0</v>
      </c>
    </row>
    <row r="141" spans="1:4" x14ac:dyDescent="0.2">
      <c r="A141" s="32"/>
      <c r="B141" s="34" t="s">
        <v>70</v>
      </c>
      <c r="C141" s="9"/>
      <c r="D141" s="14">
        <f t="shared" si="3"/>
        <v>0</v>
      </c>
    </row>
    <row r="142" spans="1:4" x14ac:dyDescent="0.2">
      <c r="A142" s="32"/>
      <c r="B142" s="34" t="s">
        <v>105</v>
      </c>
      <c r="C142" s="9">
        <v>0.05</v>
      </c>
      <c r="D142" s="14">
        <f t="shared" si="3"/>
        <v>202</v>
      </c>
    </row>
    <row r="143" spans="1:4" ht="13.5" x14ac:dyDescent="0.2">
      <c r="A143" s="67" t="s">
        <v>37</v>
      </c>
      <c r="B143" s="68"/>
      <c r="C143" s="21">
        <f>(1+C135)*(1+C134)/(1-C136)-1</f>
        <v>0.21839080459770144</v>
      </c>
      <c r="D143" s="19">
        <f>SUM(D134:D136)</f>
        <v>724.16000000000008</v>
      </c>
    </row>
    <row r="146" spans="1:4" x14ac:dyDescent="0.2">
      <c r="A146" s="63" t="s">
        <v>71</v>
      </c>
      <c r="B146" s="63"/>
      <c r="C146" s="63"/>
      <c r="D146" s="63"/>
    </row>
    <row r="148" spans="1:4" x14ac:dyDescent="0.2">
      <c r="A148" s="33"/>
      <c r="B148" s="60" t="s">
        <v>72</v>
      </c>
      <c r="C148" s="60"/>
      <c r="D148" s="33" t="s">
        <v>3</v>
      </c>
    </row>
    <row r="149" spans="1:4" x14ac:dyDescent="0.2">
      <c r="A149" s="33" t="s">
        <v>4</v>
      </c>
      <c r="B149" s="59" t="s">
        <v>1</v>
      </c>
      <c r="C149" s="59"/>
      <c r="D149" s="22">
        <f>D33</f>
        <v>1983.5</v>
      </c>
    </row>
    <row r="150" spans="1:4" x14ac:dyDescent="0.2">
      <c r="A150" s="33" t="s">
        <v>6</v>
      </c>
      <c r="B150" s="59" t="s">
        <v>17</v>
      </c>
      <c r="C150" s="59"/>
      <c r="D150" s="22">
        <f>D76</f>
        <v>1314.3500000000001</v>
      </c>
    </row>
    <row r="151" spans="1:4" x14ac:dyDescent="0.2">
      <c r="A151" s="33" t="s">
        <v>8</v>
      </c>
      <c r="B151" s="59" t="s">
        <v>46</v>
      </c>
      <c r="C151" s="59"/>
      <c r="D151" s="22">
        <f>D88</f>
        <v>0</v>
      </c>
    </row>
    <row r="152" spans="1:4" x14ac:dyDescent="0.2">
      <c r="A152" s="33" t="s">
        <v>10</v>
      </c>
      <c r="B152" s="59" t="s">
        <v>53</v>
      </c>
      <c r="C152" s="59"/>
      <c r="D152" s="22">
        <f>D118</f>
        <v>18.13</v>
      </c>
    </row>
    <row r="153" spans="1:4" x14ac:dyDescent="0.2">
      <c r="A153" s="33" t="s">
        <v>12</v>
      </c>
      <c r="B153" s="59" t="s">
        <v>58</v>
      </c>
      <c r="C153" s="59"/>
      <c r="D153" s="22">
        <f>D128</f>
        <v>0</v>
      </c>
    </row>
    <row r="154" spans="1:4" x14ac:dyDescent="0.2">
      <c r="A154" s="60" t="s">
        <v>102</v>
      </c>
      <c r="B154" s="60"/>
      <c r="C154" s="60"/>
      <c r="D154" s="23">
        <f>SUM(D149:D153)</f>
        <v>3315.9800000000005</v>
      </c>
    </row>
    <row r="155" spans="1:4" x14ac:dyDescent="0.2">
      <c r="A155" s="33" t="s">
        <v>32</v>
      </c>
      <c r="B155" s="59" t="s">
        <v>73</v>
      </c>
      <c r="C155" s="59"/>
      <c r="D155" s="24">
        <f>D143</f>
        <v>724.16000000000008</v>
      </c>
    </row>
    <row r="156" spans="1:4" x14ac:dyDescent="0.2">
      <c r="A156" s="60" t="s">
        <v>74</v>
      </c>
      <c r="B156" s="60"/>
      <c r="C156" s="60"/>
      <c r="D156" s="23">
        <f>SUM(D154:D155)</f>
        <v>4040.1400000000003</v>
      </c>
    </row>
  </sheetData>
  <mergeCells count="71">
    <mergeCell ref="B152:C152"/>
    <mergeCell ref="B153:C153"/>
    <mergeCell ref="A154:C154"/>
    <mergeCell ref="B155:C155"/>
    <mergeCell ref="A156:C156"/>
    <mergeCell ref="B151:C151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16:C116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81:C81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A15:D15"/>
    <mergeCell ref="A1:D1"/>
    <mergeCell ref="A3:D3"/>
    <mergeCell ref="A10:D10"/>
    <mergeCell ref="A12:B12"/>
    <mergeCell ref="A13:B13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view="pageBreakPreview" topLeftCell="A10" zoomScaleNormal="100" zoomScaleSheetLayoutView="100" workbookViewId="0">
      <selection activeCell="A33" sqref="A33:E33"/>
    </sheetView>
  </sheetViews>
  <sheetFormatPr defaultRowHeight="15" x14ac:dyDescent="0.25"/>
  <cols>
    <col min="1" max="6" width="16.85546875" style="37" customWidth="1"/>
    <col min="7" max="16384" width="9.140625" style="37"/>
  </cols>
  <sheetData>
    <row r="1" spans="1:6" ht="15.75" x14ac:dyDescent="0.25">
      <c r="A1" s="64" t="s">
        <v>112</v>
      </c>
      <c r="B1" s="64"/>
      <c r="C1" s="64"/>
      <c r="D1" s="64"/>
      <c r="E1" s="64"/>
      <c r="F1" s="64"/>
    </row>
    <row r="3" spans="1:6" x14ac:dyDescent="0.25">
      <c r="A3" s="80" t="s">
        <v>107</v>
      </c>
      <c r="B3" s="80"/>
      <c r="C3" s="80"/>
      <c r="D3" s="80"/>
      <c r="E3" s="80"/>
      <c r="F3" s="80"/>
    </row>
    <row r="5" spans="1:6" ht="15" customHeight="1" x14ac:dyDescent="0.25">
      <c r="A5" s="77" t="s">
        <v>113</v>
      </c>
      <c r="B5" s="77" t="s">
        <v>114</v>
      </c>
      <c r="C5" s="45" t="s">
        <v>65</v>
      </c>
      <c r="D5" s="45" t="s">
        <v>66</v>
      </c>
      <c r="E5" s="45" t="s">
        <v>67</v>
      </c>
      <c r="F5" s="78" t="s">
        <v>115</v>
      </c>
    </row>
    <row r="6" spans="1:6" x14ac:dyDescent="0.25">
      <c r="A6" s="77"/>
      <c r="B6" s="77"/>
      <c r="C6" s="46">
        <f>Editor!C134</f>
        <v>0.05</v>
      </c>
      <c r="D6" s="46">
        <f>Editor!C135</f>
        <v>0.06</v>
      </c>
      <c r="E6" s="46">
        <f>Editor!C136</f>
        <v>8.6499999999999994E-2</v>
      </c>
      <c r="F6" s="78"/>
    </row>
    <row r="7" spans="1:6" x14ac:dyDescent="0.25">
      <c r="A7" s="41">
        <f>Editor!D33</f>
        <v>2465.2199999999998</v>
      </c>
      <c r="B7" s="41">
        <f>TRUNC(A7*Editor!C57,2)</f>
        <v>907.2</v>
      </c>
      <c r="C7" s="41">
        <f>TRUNC((A7+B7)*C6,2)</f>
        <v>168.62</v>
      </c>
      <c r="D7" s="41">
        <f>TRUNC((A7+B7+C7)*D6,2)</f>
        <v>212.46</v>
      </c>
      <c r="E7" s="41">
        <f>TRUNC(((A7+B7+C7+D7)*E6)/(1-E6),2)</f>
        <v>355.42</v>
      </c>
      <c r="F7" s="41">
        <f>TRUNC((A7+B7+C7+D7+E7)/150,2)</f>
        <v>27.39</v>
      </c>
    </row>
    <row r="8" spans="1:6" ht="57" x14ac:dyDescent="0.25">
      <c r="A8" s="77" t="s">
        <v>122</v>
      </c>
      <c r="B8" s="77"/>
      <c r="C8" s="47" t="s">
        <v>118</v>
      </c>
      <c r="D8" s="47" t="s">
        <v>119</v>
      </c>
      <c r="E8" s="47" t="s">
        <v>121</v>
      </c>
      <c r="F8" s="47" t="s">
        <v>120</v>
      </c>
    </row>
    <row r="9" spans="1:6" x14ac:dyDescent="0.25">
      <c r="A9" s="48" t="s">
        <v>116</v>
      </c>
      <c r="B9" s="43">
        <v>0.5</v>
      </c>
      <c r="C9" s="41">
        <f>TRUNC(F7*(1+B9),2)</f>
        <v>41.08</v>
      </c>
      <c r="D9" s="42">
        <v>20</v>
      </c>
      <c r="E9" s="42">
        <f>D9*1</f>
        <v>20</v>
      </c>
      <c r="F9" s="41">
        <f>C9*E9</f>
        <v>821.59999999999991</v>
      </c>
    </row>
    <row r="10" spans="1:6" x14ac:dyDescent="0.25">
      <c r="A10" s="48" t="s">
        <v>117</v>
      </c>
      <c r="B10" s="43">
        <v>1</v>
      </c>
      <c r="C10" s="41">
        <f>TRUNC(F7*(1+B10),2)</f>
        <v>54.78</v>
      </c>
      <c r="D10" s="42">
        <v>20</v>
      </c>
      <c r="E10" s="42">
        <f>D10*1</f>
        <v>20</v>
      </c>
      <c r="F10" s="41">
        <f>C10*E10</f>
        <v>1095.5999999999999</v>
      </c>
    </row>
    <row r="11" spans="1:6" x14ac:dyDescent="0.25">
      <c r="A11" s="81" t="s">
        <v>123</v>
      </c>
      <c r="B11" s="81"/>
      <c r="C11" s="81"/>
      <c r="D11" s="81"/>
      <c r="E11" s="81"/>
      <c r="F11" s="44">
        <f>SUM(F9:F10)</f>
        <v>1917.1999999999998</v>
      </c>
    </row>
    <row r="14" spans="1:6" x14ac:dyDescent="0.25">
      <c r="A14" s="80" t="s">
        <v>110</v>
      </c>
      <c r="B14" s="80"/>
      <c r="C14" s="80"/>
      <c r="D14" s="80"/>
      <c r="E14" s="80"/>
      <c r="F14" s="80"/>
    </row>
    <row r="16" spans="1:6" ht="15" customHeight="1" x14ac:dyDescent="0.25">
      <c r="A16" s="77" t="s">
        <v>113</v>
      </c>
      <c r="B16" s="77" t="s">
        <v>114</v>
      </c>
      <c r="C16" s="45" t="s">
        <v>65</v>
      </c>
      <c r="D16" s="45" t="s">
        <v>66</v>
      </c>
      <c r="E16" s="45" t="s">
        <v>67</v>
      </c>
      <c r="F16" s="78" t="s">
        <v>115</v>
      </c>
    </row>
    <row r="17" spans="1:6" x14ac:dyDescent="0.25">
      <c r="A17" s="77"/>
      <c r="B17" s="77"/>
      <c r="C17" s="46">
        <f>Redator!C134</f>
        <v>0.05</v>
      </c>
      <c r="D17" s="46">
        <f>Redator!C135</f>
        <v>0.06</v>
      </c>
      <c r="E17" s="46">
        <f>Redator!C136</f>
        <v>8.6499999999999994E-2</v>
      </c>
      <c r="F17" s="78"/>
    </row>
    <row r="18" spans="1:6" x14ac:dyDescent="0.25">
      <c r="A18" s="41">
        <f>Redator!D33</f>
        <v>1983.5</v>
      </c>
      <c r="B18" s="41">
        <f>TRUNC(A18*Redator!C57,2)</f>
        <v>729.92</v>
      </c>
      <c r="C18" s="41">
        <f>TRUNC((A18+B18)*C17,2)</f>
        <v>135.66999999999999</v>
      </c>
      <c r="D18" s="41">
        <f>TRUNC((A18+B18+C18)*D17,2)</f>
        <v>170.94</v>
      </c>
      <c r="E18" s="41">
        <f>TRUNC(((A18+B18+C18+D18)*E17)/(1-E17),2)</f>
        <v>285.95999999999998</v>
      </c>
      <c r="F18" s="41">
        <f>TRUNC((A18+B18+C18+D18+E18)/150,2)</f>
        <v>22.03</v>
      </c>
    </row>
    <row r="19" spans="1:6" ht="57" x14ac:dyDescent="0.25">
      <c r="A19" s="77" t="s">
        <v>122</v>
      </c>
      <c r="B19" s="77"/>
      <c r="C19" s="47" t="s">
        <v>118</v>
      </c>
      <c r="D19" s="47" t="s">
        <v>119</v>
      </c>
      <c r="E19" s="47" t="s">
        <v>121</v>
      </c>
      <c r="F19" s="47" t="s">
        <v>120</v>
      </c>
    </row>
    <row r="20" spans="1:6" x14ac:dyDescent="0.25">
      <c r="A20" s="48" t="s">
        <v>116</v>
      </c>
      <c r="B20" s="43">
        <v>0.5</v>
      </c>
      <c r="C20" s="41">
        <f>TRUNC(F18*(1+B20),2)</f>
        <v>33.04</v>
      </c>
      <c r="D20" s="42">
        <v>20</v>
      </c>
      <c r="E20" s="42">
        <f>D20*3</f>
        <v>60</v>
      </c>
      <c r="F20" s="41">
        <f>C20*E20</f>
        <v>1982.3999999999999</v>
      </c>
    </row>
    <row r="21" spans="1:6" x14ac:dyDescent="0.25">
      <c r="A21" s="48" t="s">
        <v>117</v>
      </c>
      <c r="B21" s="43">
        <v>1</v>
      </c>
      <c r="C21" s="41">
        <f>TRUNC(F18*(1+B21),2)</f>
        <v>44.06</v>
      </c>
      <c r="D21" s="42">
        <v>20</v>
      </c>
      <c r="E21" s="42">
        <f>D21*3</f>
        <v>60</v>
      </c>
      <c r="F21" s="41">
        <f>C21*E21</f>
        <v>2643.6000000000004</v>
      </c>
    </row>
    <row r="22" spans="1:6" x14ac:dyDescent="0.25">
      <c r="A22" s="81" t="s">
        <v>123</v>
      </c>
      <c r="B22" s="81"/>
      <c r="C22" s="81"/>
      <c r="D22" s="81"/>
      <c r="E22" s="81"/>
      <c r="F22" s="44">
        <f>SUM(F20:F21)</f>
        <v>4626</v>
      </c>
    </row>
    <row r="25" spans="1:6" x14ac:dyDescent="0.25">
      <c r="A25" s="80" t="s">
        <v>169</v>
      </c>
      <c r="B25" s="80"/>
      <c r="C25" s="80"/>
      <c r="D25" s="80"/>
      <c r="E25" s="80"/>
      <c r="F25" s="80"/>
    </row>
    <row r="27" spans="1:6" ht="15" customHeight="1" x14ac:dyDescent="0.25">
      <c r="A27" s="77" t="s">
        <v>113</v>
      </c>
      <c r="B27" s="77" t="s">
        <v>114</v>
      </c>
      <c r="C27" s="45" t="s">
        <v>65</v>
      </c>
      <c r="D27" s="45" t="s">
        <v>66</v>
      </c>
      <c r="E27" s="45" t="s">
        <v>67</v>
      </c>
      <c r="F27" s="78" t="s">
        <v>115</v>
      </c>
    </row>
    <row r="28" spans="1:6" x14ac:dyDescent="0.25">
      <c r="A28" s="77"/>
      <c r="B28" s="77"/>
      <c r="C28" s="46">
        <f>AssCer!C134</f>
        <v>0.05</v>
      </c>
      <c r="D28" s="46">
        <f>AssCer!C135</f>
        <v>0.06</v>
      </c>
      <c r="E28" s="46">
        <f>AssCer!C136</f>
        <v>8.6499999999999994E-2</v>
      </c>
      <c r="F28" s="78"/>
    </row>
    <row r="29" spans="1:6" x14ac:dyDescent="0.25">
      <c r="A29" s="41">
        <f>AssCer!D33</f>
        <v>1765.7</v>
      </c>
      <c r="B29" s="41">
        <f>TRUNC(A29*AssCer!C57,2)</f>
        <v>649.77</v>
      </c>
      <c r="C29" s="41">
        <f>TRUNC((A29+B29)*C28,2)</f>
        <v>120.77</v>
      </c>
      <c r="D29" s="41">
        <f>TRUNC((A29+B29+C29)*D28,2)</f>
        <v>152.16999999999999</v>
      </c>
      <c r="E29" s="41">
        <f>TRUNC(((A29+B29+C29+D29)*E28)/(1-E28),2)</f>
        <v>254.56</v>
      </c>
      <c r="F29" s="41">
        <f>TRUNC((A29+B29+C29+D29+E29)/150,2)</f>
        <v>19.61</v>
      </c>
    </row>
    <row r="30" spans="1:6" ht="57" x14ac:dyDescent="0.25">
      <c r="A30" s="77" t="s">
        <v>122</v>
      </c>
      <c r="B30" s="77"/>
      <c r="C30" s="47" t="s">
        <v>118</v>
      </c>
      <c r="D30" s="47" t="s">
        <v>119</v>
      </c>
      <c r="E30" s="47" t="s">
        <v>121</v>
      </c>
      <c r="F30" s="47" t="s">
        <v>120</v>
      </c>
    </row>
    <row r="31" spans="1:6" x14ac:dyDescent="0.25">
      <c r="A31" s="48" t="s">
        <v>116</v>
      </c>
      <c r="B31" s="43">
        <v>0.5</v>
      </c>
      <c r="C31" s="41">
        <f>TRUNC(F29*(1+B31),2)</f>
        <v>29.41</v>
      </c>
      <c r="D31" s="42">
        <v>20</v>
      </c>
      <c r="E31" s="42">
        <f>D31*2</f>
        <v>40</v>
      </c>
      <c r="F31" s="41">
        <f>C31*E31</f>
        <v>1176.4000000000001</v>
      </c>
    </row>
    <row r="32" spans="1:6" x14ac:dyDescent="0.25">
      <c r="A32" s="48" t="s">
        <v>117</v>
      </c>
      <c r="B32" s="43">
        <v>1</v>
      </c>
      <c r="C32" s="41">
        <f>TRUNC(F29*(1+B32),2)</f>
        <v>39.22</v>
      </c>
      <c r="D32" s="42">
        <v>20</v>
      </c>
      <c r="E32" s="42">
        <f>D32*2</f>
        <v>40</v>
      </c>
      <c r="F32" s="41">
        <f>C32*E32</f>
        <v>1568.8</v>
      </c>
    </row>
    <row r="33" spans="1:6" x14ac:dyDescent="0.25">
      <c r="A33" s="81" t="s">
        <v>123</v>
      </c>
      <c r="B33" s="81"/>
      <c r="C33" s="81"/>
      <c r="D33" s="81"/>
      <c r="E33" s="81"/>
      <c r="F33" s="44">
        <f>SUM(F31:F32)</f>
        <v>2745.2</v>
      </c>
    </row>
    <row r="36" spans="1:6" x14ac:dyDescent="0.25">
      <c r="A36" s="79" t="s">
        <v>167</v>
      </c>
      <c r="B36" s="79"/>
      <c r="C36" s="79"/>
      <c r="D36" s="79"/>
      <c r="E36" s="79"/>
      <c r="F36" s="58">
        <f>(F11+F22+F33)*12</f>
        <v>111460.79999999999</v>
      </c>
    </row>
  </sheetData>
  <mergeCells count="20">
    <mergeCell ref="A11:E11"/>
    <mergeCell ref="A22:E22"/>
    <mergeCell ref="A33:E33"/>
    <mergeCell ref="A19:B19"/>
    <mergeCell ref="A30:B30"/>
    <mergeCell ref="A14:F14"/>
    <mergeCell ref="A25:F25"/>
    <mergeCell ref="A16:A17"/>
    <mergeCell ref="B16:B17"/>
    <mergeCell ref="A1:F1"/>
    <mergeCell ref="B5:B6"/>
    <mergeCell ref="A5:A6"/>
    <mergeCell ref="F5:F6"/>
    <mergeCell ref="A8:B8"/>
    <mergeCell ref="A3:F3"/>
    <mergeCell ref="B27:B28"/>
    <mergeCell ref="A27:A28"/>
    <mergeCell ref="F16:F17"/>
    <mergeCell ref="F27:F28"/>
    <mergeCell ref="A36:E36"/>
  </mergeCells>
  <pageMargins left="0.511811024" right="0.511811024" top="0.78740157499999996" bottom="0.78740157499999996" header="0.31496062000000002" footer="0.31496062000000002"/>
  <pageSetup paperSize="9" scale="9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workbookViewId="0">
      <selection activeCell="D21" sqref="D21"/>
    </sheetView>
  </sheetViews>
  <sheetFormatPr defaultRowHeight="15" x14ac:dyDescent="0.25"/>
  <cols>
    <col min="1" max="4" width="20.7109375" style="37" customWidth="1"/>
    <col min="5" max="16384" width="9.140625" style="37"/>
  </cols>
  <sheetData>
    <row r="1" spans="1:4" ht="15.75" x14ac:dyDescent="0.25">
      <c r="A1" s="64" t="s">
        <v>124</v>
      </c>
      <c r="B1" s="64"/>
      <c r="C1" s="64"/>
      <c r="D1" s="64"/>
    </row>
    <row r="3" spans="1:4" x14ac:dyDescent="0.25">
      <c r="A3" s="78" t="s">
        <v>125</v>
      </c>
      <c r="B3" s="77" t="s">
        <v>126</v>
      </c>
      <c r="C3" s="77"/>
      <c r="D3" s="78" t="s">
        <v>129</v>
      </c>
    </row>
    <row r="4" spans="1:4" x14ac:dyDescent="0.25">
      <c r="A4" s="78"/>
      <c r="B4" s="45" t="s">
        <v>128</v>
      </c>
      <c r="C4" s="45" t="s">
        <v>127</v>
      </c>
      <c r="D4" s="78"/>
    </row>
    <row r="5" spans="1:4" x14ac:dyDescent="0.25">
      <c r="A5" s="41">
        <v>300</v>
      </c>
      <c r="B5" s="41">
        <f>TRUNC(2*4,2)</f>
        <v>8</v>
      </c>
      <c r="C5" s="41">
        <v>0</v>
      </c>
      <c r="D5" s="41">
        <f>A5-B5-C5</f>
        <v>292</v>
      </c>
    </row>
    <row r="7" spans="1:4" x14ac:dyDescent="0.25">
      <c r="A7" s="82" t="s">
        <v>131</v>
      </c>
      <c r="B7" s="82"/>
      <c r="C7" s="82"/>
      <c r="D7" s="82"/>
    </row>
    <row r="9" spans="1:4" x14ac:dyDescent="0.25">
      <c r="A9" s="49" t="s">
        <v>65</v>
      </c>
      <c r="B9" s="49" t="s">
        <v>66</v>
      </c>
      <c r="C9" s="49" t="s">
        <v>67</v>
      </c>
      <c r="D9" s="83" t="s">
        <v>137</v>
      </c>
    </row>
    <row r="10" spans="1:4" x14ac:dyDescent="0.25">
      <c r="A10" s="52">
        <f>Editor!C134</f>
        <v>0.05</v>
      </c>
      <c r="B10" s="52">
        <f>Editor!C135</f>
        <v>0.06</v>
      </c>
      <c r="C10" s="52">
        <f>Editor!C136</f>
        <v>8.6499999999999994E-2</v>
      </c>
      <c r="D10" s="83"/>
    </row>
    <row r="11" spans="1:4" x14ac:dyDescent="0.25">
      <c r="A11" s="41">
        <f>TRUNC(D5*A10,2)</f>
        <v>14.6</v>
      </c>
      <c r="B11" s="41">
        <f>TRUNC((D5+A11)*B10,2)</f>
        <v>18.39</v>
      </c>
      <c r="C11" s="41">
        <f>TRUNC(((D5+A11+B11)/(1-C10))*C10,2)</f>
        <v>30.77</v>
      </c>
      <c r="D11" s="41">
        <f>A11+B11+C11</f>
        <v>63.760000000000005</v>
      </c>
    </row>
    <row r="13" spans="1:4" x14ac:dyDescent="0.25">
      <c r="A13" s="82" t="s">
        <v>130</v>
      </c>
      <c r="B13" s="82"/>
      <c r="C13" s="82"/>
      <c r="D13" s="82"/>
    </row>
    <row r="15" spans="1:4" ht="42.75" x14ac:dyDescent="0.25">
      <c r="A15" s="45" t="s">
        <v>125</v>
      </c>
      <c r="B15" s="47" t="s">
        <v>129</v>
      </c>
      <c r="C15" s="47" t="s">
        <v>131</v>
      </c>
      <c r="D15" s="47" t="s">
        <v>132</v>
      </c>
    </row>
    <row r="16" spans="1:4" x14ac:dyDescent="0.25">
      <c r="A16" s="41">
        <v>300</v>
      </c>
      <c r="B16" s="51">
        <f>D5</f>
        <v>292</v>
      </c>
      <c r="C16" s="41">
        <f>D11</f>
        <v>63.760000000000005</v>
      </c>
      <c r="D16" s="41">
        <f>B16+C16</f>
        <v>355.76</v>
      </c>
    </row>
    <row r="18" spans="1:4" x14ac:dyDescent="0.25">
      <c r="A18" s="82" t="s">
        <v>136</v>
      </c>
      <c r="B18" s="82"/>
      <c r="C18" s="82"/>
      <c r="D18" s="82"/>
    </row>
    <row r="20" spans="1:4" ht="28.5" x14ac:dyDescent="0.25">
      <c r="A20" s="47" t="s">
        <v>133</v>
      </c>
      <c r="B20" s="47" t="s">
        <v>132</v>
      </c>
      <c r="C20" s="47" t="s">
        <v>134</v>
      </c>
      <c r="D20" s="45" t="s">
        <v>135</v>
      </c>
    </row>
    <row r="21" spans="1:4" x14ac:dyDescent="0.25">
      <c r="A21" s="42">
        <v>96</v>
      </c>
      <c r="B21" s="41">
        <f>D16</f>
        <v>355.76</v>
      </c>
      <c r="C21" s="41">
        <f>A21*B21</f>
        <v>34152.959999999999</v>
      </c>
      <c r="D21" s="44">
        <f>C21*2</f>
        <v>68305.919999999998</v>
      </c>
    </row>
    <row r="22" spans="1:4" x14ac:dyDescent="0.25">
      <c r="B22" s="39"/>
      <c r="C22" s="39"/>
    </row>
    <row r="23" spans="1:4" x14ac:dyDescent="0.25">
      <c r="C23" s="38"/>
    </row>
  </sheetData>
  <mergeCells count="8">
    <mergeCell ref="A1:D1"/>
    <mergeCell ref="A7:D7"/>
    <mergeCell ref="A13:D13"/>
    <mergeCell ref="A18:D18"/>
    <mergeCell ref="B3:C3"/>
    <mergeCell ref="A3:A4"/>
    <mergeCell ref="D3:D4"/>
    <mergeCell ref="D9:D10"/>
  </mergeCells>
  <pageMargins left="0.511811024" right="0.511811024" top="0.78740157499999996" bottom="0.78740157499999996" header="0.31496062000000002" footer="0.31496062000000002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0" sqref="D10"/>
    </sheetView>
  </sheetViews>
  <sheetFormatPr defaultRowHeight="15" x14ac:dyDescent="0.25"/>
  <cols>
    <col min="1" max="4" width="20.7109375" style="37" customWidth="1"/>
    <col min="5" max="16384" width="9.140625" style="37"/>
  </cols>
  <sheetData>
    <row r="1" spans="1:4" ht="15.75" x14ac:dyDescent="0.25">
      <c r="A1" s="64" t="s">
        <v>138</v>
      </c>
      <c r="B1" s="64"/>
      <c r="C1" s="64"/>
      <c r="D1" s="64"/>
    </row>
    <row r="3" spans="1:4" ht="28.5" x14ac:dyDescent="0.25">
      <c r="A3" s="47" t="s">
        <v>139</v>
      </c>
      <c r="B3" s="78" t="s">
        <v>141</v>
      </c>
      <c r="C3" s="78"/>
      <c r="D3" s="47" t="s">
        <v>140</v>
      </c>
    </row>
    <row r="4" spans="1:4" x14ac:dyDescent="0.25">
      <c r="A4" s="53">
        <v>30000</v>
      </c>
      <c r="B4" s="84">
        <v>0.44819999999999999</v>
      </c>
      <c r="C4" s="84"/>
      <c r="D4" s="41">
        <f>TRUNC(A4*B4,2)</f>
        <v>13446</v>
      </c>
    </row>
    <row r="6" spans="1:4" x14ac:dyDescent="0.25">
      <c r="A6" s="82" t="s">
        <v>131</v>
      </c>
      <c r="B6" s="82"/>
      <c r="C6" s="82"/>
      <c r="D6" s="82"/>
    </row>
    <row r="8" spans="1:4" x14ac:dyDescent="0.25">
      <c r="A8" s="49" t="s">
        <v>65</v>
      </c>
      <c r="B8" s="49" t="s">
        <v>66</v>
      </c>
      <c r="C8" s="49" t="s">
        <v>67</v>
      </c>
      <c r="D8" s="83" t="s">
        <v>137</v>
      </c>
    </row>
    <row r="9" spans="1:4" x14ac:dyDescent="0.25">
      <c r="A9" s="52">
        <f>Editor!C134</f>
        <v>0.05</v>
      </c>
      <c r="B9" s="52">
        <f>Editor!C135</f>
        <v>0.06</v>
      </c>
      <c r="C9" s="52">
        <f>Editor!C136</f>
        <v>8.6499999999999994E-2</v>
      </c>
      <c r="D9" s="83"/>
    </row>
    <row r="10" spans="1:4" x14ac:dyDescent="0.25">
      <c r="A10" s="41">
        <f>TRUNC(D4*A9,2)</f>
        <v>672.3</v>
      </c>
      <c r="B10" s="41">
        <f>TRUNC((D4+A10)*B9,2)</f>
        <v>847.09</v>
      </c>
      <c r="C10" s="41">
        <f>TRUNC(((D4+A10+B10)/(1-C9))*C9,2)</f>
        <v>1417.08</v>
      </c>
      <c r="D10" s="41">
        <f>A10+B10+C10</f>
        <v>2936.47</v>
      </c>
    </row>
    <row r="12" spans="1:4" x14ac:dyDescent="0.25">
      <c r="A12" s="82" t="s">
        <v>142</v>
      </c>
      <c r="B12" s="82"/>
      <c r="C12" s="82"/>
      <c r="D12" s="82"/>
    </row>
    <row r="14" spans="1:4" ht="57" x14ac:dyDescent="0.25">
      <c r="A14" s="47" t="s">
        <v>140</v>
      </c>
      <c r="B14" s="47" t="s">
        <v>137</v>
      </c>
      <c r="C14" s="47" t="s">
        <v>143</v>
      </c>
      <c r="D14" s="45" t="s">
        <v>135</v>
      </c>
    </row>
    <row r="15" spans="1:4" x14ac:dyDescent="0.25">
      <c r="A15" s="51">
        <f>D4</f>
        <v>13446</v>
      </c>
      <c r="B15" s="41">
        <f>D10</f>
        <v>2936.47</v>
      </c>
      <c r="C15" s="41">
        <f>A15+B15</f>
        <v>16382.47</v>
      </c>
      <c r="D15" s="44">
        <f>C15*2</f>
        <v>32764.94</v>
      </c>
    </row>
  </sheetData>
  <mergeCells count="6">
    <mergeCell ref="A12:D12"/>
    <mergeCell ref="A1:D1"/>
    <mergeCell ref="A6:D6"/>
    <mergeCell ref="D8:D9"/>
    <mergeCell ref="B3:C3"/>
    <mergeCell ref="B4:C4"/>
  </mergeCells>
  <pageMargins left="0.511811024" right="0.511811024" top="0.78740157499999996" bottom="0.78740157499999996" header="0.31496062000000002" footer="0.31496062000000002"/>
  <pageSetup paperSize="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topLeftCell="A13" workbookViewId="0">
      <selection activeCell="F16" sqref="F16"/>
    </sheetView>
  </sheetViews>
  <sheetFormatPr defaultRowHeight="15" x14ac:dyDescent="0.25"/>
  <cols>
    <col min="1" max="1" width="13.140625" style="37" customWidth="1"/>
    <col min="2" max="2" width="44.140625" style="50" customWidth="1"/>
    <col min="3" max="5" width="13.140625" style="37" customWidth="1"/>
    <col min="6" max="6" width="14.5703125" style="37" bestFit="1" customWidth="1"/>
    <col min="7" max="16384" width="9.140625" style="37"/>
  </cols>
  <sheetData>
    <row r="1" spans="1:6" x14ac:dyDescent="0.25">
      <c r="A1" s="87" t="s">
        <v>144</v>
      </c>
      <c r="B1" s="87"/>
      <c r="C1" s="87"/>
      <c r="D1" s="87"/>
      <c r="E1" s="87"/>
      <c r="F1" s="87"/>
    </row>
    <row r="3" spans="1:6" x14ac:dyDescent="0.25">
      <c r="A3" s="82" t="s">
        <v>145</v>
      </c>
      <c r="B3" s="82"/>
      <c r="C3" s="82"/>
      <c r="D3" s="82"/>
      <c r="E3" s="82"/>
      <c r="F3" s="82"/>
    </row>
    <row r="5" spans="1:6" x14ac:dyDescent="0.25">
      <c r="A5" s="86" t="s">
        <v>146</v>
      </c>
      <c r="B5" s="86"/>
      <c r="C5" s="86"/>
      <c r="D5" s="86"/>
      <c r="E5" s="86"/>
      <c r="F5" s="86"/>
    </row>
    <row r="7" spans="1:6" ht="28.5" x14ac:dyDescent="0.25">
      <c r="A7" s="47" t="s">
        <v>147</v>
      </c>
      <c r="B7" s="47" t="s">
        <v>148</v>
      </c>
      <c r="C7" s="47" t="s">
        <v>149</v>
      </c>
      <c r="D7" s="47" t="s">
        <v>150</v>
      </c>
      <c r="E7" s="47" t="s">
        <v>151</v>
      </c>
      <c r="F7" s="47" t="s">
        <v>152</v>
      </c>
    </row>
    <row r="8" spans="1:6" x14ac:dyDescent="0.25">
      <c r="A8" s="40">
        <v>1</v>
      </c>
      <c r="B8" s="55" t="str">
        <f>Editor!A13</f>
        <v>Editor</v>
      </c>
      <c r="C8" s="41">
        <f>Editor!D156</f>
        <v>5250.3167999999996</v>
      </c>
      <c r="D8" s="41">
        <f>C8*1</f>
        <v>5250.3167999999996</v>
      </c>
      <c r="E8" s="40">
        <v>1</v>
      </c>
      <c r="F8" s="41">
        <f>D8*E8</f>
        <v>5250.3167999999996</v>
      </c>
    </row>
    <row r="9" spans="1:6" x14ac:dyDescent="0.25">
      <c r="A9" s="40">
        <v>2</v>
      </c>
      <c r="B9" s="55" t="str">
        <f>Redator!A13</f>
        <v>Redator</v>
      </c>
      <c r="C9" s="41">
        <f>Redator!D156</f>
        <v>4267.01</v>
      </c>
      <c r="D9" s="41">
        <f t="shared" ref="D9:D10" si="0">C9*1</f>
        <v>4267.01</v>
      </c>
      <c r="E9" s="40">
        <v>3</v>
      </c>
      <c r="F9" s="41">
        <f t="shared" ref="F9:F10" si="1">D9*E9</f>
        <v>12801.03</v>
      </c>
    </row>
    <row r="10" spans="1:6" x14ac:dyDescent="0.25">
      <c r="A10" s="40">
        <v>3</v>
      </c>
      <c r="B10" s="55" t="str">
        <f>AssCer!A13</f>
        <v>Assistente de Cerimonial</v>
      </c>
      <c r="C10" s="41">
        <f>AssCer!D156</f>
        <v>3822.4280000000003</v>
      </c>
      <c r="D10" s="41">
        <f t="shared" si="0"/>
        <v>3822.4280000000003</v>
      </c>
      <c r="E10" s="40">
        <v>2</v>
      </c>
      <c r="F10" s="41">
        <f t="shared" si="1"/>
        <v>7644.8560000000007</v>
      </c>
    </row>
    <row r="11" spans="1:6" x14ac:dyDescent="0.25">
      <c r="A11" s="81" t="s">
        <v>153</v>
      </c>
      <c r="B11" s="81"/>
      <c r="C11" s="81"/>
      <c r="D11" s="81"/>
      <c r="E11" s="81"/>
      <c r="F11" s="56">
        <f>SUM(F8:F10)</f>
        <v>25696.202799999999</v>
      </c>
    </row>
    <row r="13" spans="1:6" x14ac:dyDescent="0.25">
      <c r="A13" s="86" t="s">
        <v>154</v>
      </c>
      <c r="B13" s="86"/>
      <c r="C13" s="86"/>
      <c r="D13" s="86"/>
      <c r="E13" s="86"/>
      <c r="F13" s="86"/>
    </row>
    <row r="15" spans="1:6" ht="28.5" x14ac:dyDescent="0.25">
      <c r="A15" s="47" t="s">
        <v>157</v>
      </c>
      <c r="B15" s="47" t="s">
        <v>148</v>
      </c>
      <c r="C15" s="47" t="s">
        <v>149</v>
      </c>
      <c r="D15" s="47" t="s">
        <v>150</v>
      </c>
      <c r="E15" s="47" t="s">
        <v>151</v>
      </c>
      <c r="F15" s="47" t="s">
        <v>155</v>
      </c>
    </row>
    <row r="16" spans="1:6" ht="30" x14ac:dyDescent="0.25">
      <c r="A16" s="40">
        <v>7</v>
      </c>
      <c r="B16" s="55" t="str">
        <f>RedTemp1!A13</f>
        <v>Redator - acréscimo temporário em ano eleitoral, de maio a novembro</v>
      </c>
      <c r="C16" s="41">
        <f>RedTemp1!D156</f>
        <v>4040.1400000000003</v>
      </c>
      <c r="D16" s="41">
        <f>C16*1</f>
        <v>4040.1400000000003</v>
      </c>
      <c r="E16" s="57">
        <v>1</v>
      </c>
      <c r="F16" s="41">
        <f>TRUNC((D16*E16)*A16,2)</f>
        <v>28280.98</v>
      </c>
    </row>
    <row r="17" spans="1:6" x14ac:dyDescent="0.25">
      <c r="A17" s="81" t="s">
        <v>156</v>
      </c>
      <c r="B17" s="81"/>
      <c r="C17" s="81"/>
      <c r="D17" s="81"/>
      <c r="E17" s="81"/>
      <c r="F17" s="56">
        <f>SUM(F16:F16)</f>
        <v>28280.98</v>
      </c>
    </row>
    <row r="19" spans="1:6" x14ac:dyDescent="0.25">
      <c r="A19" s="82" t="s">
        <v>158</v>
      </c>
      <c r="B19" s="82"/>
      <c r="C19" s="82"/>
      <c r="D19" s="82"/>
      <c r="E19" s="82"/>
      <c r="F19" s="82"/>
    </row>
    <row r="21" spans="1:6" x14ac:dyDescent="0.25">
      <c r="A21" s="85" t="s">
        <v>159</v>
      </c>
      <c r="B21" s="85"/>
      <c r="C21" s="85"/>
      <c r="D21" s="85"/>
      <c r="E21" s="85"/>
      <c r="F21" s="51">
        <f>F11*12</f>
        <v>308354.43359999999</v>
      </c>
    </row>
    <row r="22" spans="1:6" x14ac:dyDescent="0.25">
      <c r="A22" s="85" t="s">
        <v>160</v>
      </c>
      <c r="B22" s="85"/>
      <c r="C22" s="85"/>
      <c r="D22" s="85"/>
      <c r="E22" s="85"/>
      <c r="F22" s="51">
        <f>Diárias!C21</f>
        <v>34152.959999999999</v>
      </c>
    </row>
    <row r="23" spans="1:6" x14ac:dyDescent="0.25">
      <c r="A23" s="85" t="s">
        <v>161</v>
      </c>
      <c r="B23" s="85"/>
      <c r="C23" s="85"/>
      <c r="D23" s="85"/>
      <c r="E23" s="85"/>
      <c r="F23" s="51">
        <f>Desloc!C15</f>
        <v>16382.47</v>
      </c>
    </row>
    <row r="24" spans="1:6" x14ac:dyDescent="0.25">
      <c r="A24" s="81" t="s">
        <v>162</v>
      </c>
      <c r="B24" s="81"/>
      <c r="C24" s="81"/>
      <c r="D24" s="81"/>
      <c r="E24" s="81"/>
      <c r="F24" s="56">
        <f>SUM(F21:F23)</f>
        <v>358889.86359999998</v>
      </c>
    </row>
    <row r="26" spans="1:6" x14ac:dyDescent="0.25">
      <c r="A26" s="82" t="s">
        <v>163</v>
      </c>
      <c r="B26" s="82"/>
      <c r="C26" s="82"/>
      <c r="D26" s="82"/>
      <c r="E26" s="82"/>
      <c r="F26" s="82"/>
    </row>
    <row r="28" spans="1:6" x14ac:dyDescent="0.25">
      <c r="A28" s="85" t="s">
        <v>159</v>
      </c>
      <c r="B28" s="85"/>
      <c r="C28" s="85"/>
      <c r="D28" s="85"/>
      <c r="E28" s="85"/>
      <c r="F28" s="51">
        <f>F11*12</f>
        <v>308354.43359999999</v>
      </c>
    </row>
    <row r="29" spans="1:6" x14ac:dyDescent="0.25">
      <c r="A29" s="85" t="s">
        <v>164</v>
      </c>
      <c r="B29" s="85"/>
      <c r="C29" s="85"/>
      <c r="D29" s="85"/>
      <c r="E29" s="85"/>
      <c r="F29" s="51">
        <f>F17</f>
        <v>28280.98</v>
      </c>
    </row>
    <row r="30" spans="1:6" x14ac:dyDescent="0.25">
      <c r="A30" s="85" t="s">
        <v>168</v>
      </c>
      <c r="B30" s="85"/>
      <c r="C30" s="85"/>
      <c r="D30" s="85"/>
      <c r="E30" s="85"/>
      <c r="F30" s="51">
        <f>HExtra!F36</f>
        <v>111460.79999999999</v>
      </c>
    </row>
    <row r="31" spans="1:6" x14ac:dyDescent="0.25">
      <c r="A31" s="85" t="s">
        <v>160</v>
      </c>
      <c r="B31" s="85"/>
      <c r="C31" s="85"/>
      <c r="D31" s="85"/>
      <c r="E31" s="85"/>
      <c r="F31" s="51">
        <f>Diárias!C21</f>
        <v>34152.959999999999</v>
      </c>
    </row>
    <row r="32" spans="1:6" x14ac:dyDescent="0.25">
      <c r="A32" s="85" t="s">
        <v>161</v>
      </c>
      <c r="B32" s="85"/>
      <c r="C32" s="85"/>
      <c r="D32" s="85"/>
      <c r="E32" s="85"/>
      <c r="F32" s="51">
        <f>Desloc!C15</f>
        <v>16382.47</v>
      </c>
    </row>
    <row r="33" spans="1:6" x14ac:dyDescent="0.25">
      <c r="A33" s="81" t="s">
        <v>166</v>
      </c>
      <c r="B33" s="81"/>
      <c r="C33" s="81"/>
      <c r="D33" s="81"/>
      <c r="E33" s="81"/>
      <c r="F33" s="56">
        <f>SUM(F28:F32)</f>
        <v>498631.64359999995</v>
      </c>
    </row>
    <row r="35" spans="1:6" x14ac:dyDescent="0.25">
      <c r="A35" s="80" t="s">
        <v>165</v>
      </c>
      <c r="B35" s="80"/>
      <c r="C35" s="80"/>
      <c r="D35" s="80"/>
      <c r="E35" s="80"/>
      <c r="F35" s="54">
        <f>F24+F33</f>
        <v>857521.50719999988</v>
      </c>
    </row>
  </sheetData>
  <mergeCells count="19">
    <mergeCell ref="A1:F1"/>
    <mergeCell ref="A3:F3"/>
    <mergeCell ref="A5:F5"/>
    <mergeCell ref="A11:E11"/>
    <mergeCell ref="A17:E17"/>
    <mergeCell ref="A32:E32"/>
    <mergeCell ref="A35:E35"/>
    <mergeCell ref="A33:E33"/>
    <mergeCell ref="A13:F13"/>
    <mergeCell ref="A19:F19"/>
    <mergeCell ref="A26:F26"/>
    <mergeCell ref="A21:E21"/>
    <mergeCell ref="A22:E22"/>
    <mergeCell ref="A23:E23"/>
    <mergeCell ref="A28:E28"/>
    <mergeCell ref="A29:E29"/>
    <mergeCell ref="A31:E31"/>
    <mergeCell ref="A24:E24"/>
    <mergeCell ref="A30:E30"/>
  </mergeCells>
  <pageMargins left="0.511811024" right="0.511811024" top="0.78740157499999996" bottom="0.78740157499999996" header="0.31496062000000002" footer="0.31496062000000002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Editor</vt:lpstr>
      <vt:lpstr>Redator</vt:lpstr>
      <vt:lpstr>AssCer</vt:lpstr>
      <vt:lpstr>RedTemp1</vt:lpstr>
      <vt:lpstr>HExtra</vt:lpstr>
      <vt:lpstr>Diárias</vt:lpstr>
      <vt:lpstr>Desloc</vt:lpstr>
      <vt:lpstr>Total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Milena Austregesilo Hereda</cp:lastModifiedBy>
  <cp:lastPrinted>2019-10-07T19:43:23Z</cp:lastPrinted>
  <dcterms:created xsi:type="dcterms:W3CDTF">2019-01-29T18:54:26Z</dcterms:created>
  <dcterms:modified xsi:type="dcterms:W3CDTF">2019-10-25T12:20:38Z</dcterms:modified>
</cp:coreProperties>
</file>